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3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4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5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6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7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joy\Documents\Rockfish_SF_mortality\RockfishSportMort\data\raw_dat\2022\"/>
    </mc:Choice>
  </mc:AlternateContent>
  <xr:revisionPtr revIDLastSave="0" documentId="13_ncr:1_{3E64B020-7706-430E-BFF4-EC10AE18CA2B}" xr6:coauthVersionLast="47" xr6:coauthVersionMax="47" xr10:uidLastSave="{00000000-0000-0000-0000-000000000000}"/>
  <bookViews>
    <workbookView xWindow="-57720" yWindow="1560" windowWidth="29040" windowHeight="15840" tabRatio="837" firstSheet="1" activeTab="8" xr2:uid="{A093FB95-EA4F-495F-9C78-120B75CA432D}"/>
  </bookViews>
  <sheets>
    <sheet name="instructions" sheetId="1" r:id="rId1"/>
    <sheet name="rockfish harvests" sheetId="2" r:id="rId2"/>
    <sheet name="rf harv figs" sheetId="14" r:id="rId3"/>
    <sheet name="BRF harvest" sheetId="4" r:id="rId4"/>
    <sheet name="brf harv figs" sheetId="15" r:id="rId5"/>
    <sheet name="YE harvest" sheetId="6" r:id="rId6"/>
    <sheet name="ye harv figs" sheetId="16" r:id="rId7"/>
    <sheet name="DSR harvest" sheetId="20" r:id="rId8"/>
    <sheet name="Slope harvest" sheetId="22" r:id="rId9"/>
    <sheet name="RF harv Kodiak" sheetId="11" r:id="rId10"/>
    <sheet name="RF harv Central" sheetId="18" r:id="rId11"/>
    <sheet name="RF harv SEAK" sheetId="19" r:id="rId12"/>
    <sheet name="SEAK est vs SWHS" sheetId="12" r:id="rId13"/>
    <sheet name="logbook v guiSWHS" sheetId="10" r:id="rId14"/>
    <sheet name="log vs totalSWHS" sheetId="13" r:id="rId15"/>
  </sheets>
  <externalReferences>
    <externalReference r:id="rId16"/>
    <externalReference r:id="rId17"/>
  </externalReferences>
  <definedNames>
    <definedName name="_xlnm._FilterDatabase" localSheetId="3" hidden="1">'BRF harvest'!$A$2:$AC$377</definedName>
    <definedName name="_xlnm._FilterDatabase" localSheetId="7" hidden="1">'DSR harvest'!$A$2:$AD$369</definedName>
    <definedName name="_xlnm._FilterDatabase" localSheetId="1" hidden="1">'rockfish harvests'!$A$1:$Y$376</definedName>
    <definedName name="_xlnm._FilterDatabase" localSheetId="8" hidden="1">'Slope harvest'!$A$2:$AD$368</definedName>
    <definedName name="_xlnm._FilterDatabase" localSheetId="5" hidden="1">'YE harvest'!$A$2:$AG$377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20" i="22" l="1"/>
  <c r="R221" i="22"/>
  <c r="R222" i="22"/>
  <c r="R223" i="22"/>
  <c r="R224" i="22"/>
  <c r="R225" i="22"/>
  <c r="R226" i="22"/>
  <c r="R227" i="22"/>
  <c r="R228" i="22"/>
  <c r="R229" i="22"/>
  <c r="R230" i="22"/>
  <c r="R231" i="22"/>
  <c r="R232" i="22"/>
  <c r="R233" i="22"/>
  <c r="R234" i="22"/>
  <c r="R235" i="22"/>
  <c r="R236" i="22"/>
  <c r="R237" i="22"/>
  <c r="R238" i="22"/>
  <c r="R239" i="22"/>
  <c r="R240" i="22"/>
  <c r="R241" i="22"/>
  <c r="R242" i="22"/>
  <c r="R243" i="22"/>
  <c r="R244" i="22"/>
  <c r="R245" i="22"/>
  <c r="R246" i="22"/>
  <c r="R247" i="22"/>
  <c r="R248" i="22"/>
  <c r="R249" i="22"/>
  <c r="R250" i="22"/>
  <c r="R251" i="22"/>
  <c r="R252" i="22"/>
  <c r="R253" i="22"/>
  <c r="R254" i="22"/>
  <c r="R255" i="22"/>
  <c r="R256" i="22"/>
  <c r="R257" i="22"/>
  <c r="R258" i="22"/>
  <c r="R259" i="22"/>
  <c r="R260" i="22"/>
  <c r="R261" i="22"/>
  <c r="R262" i="22"/>
  <c r="R263" i="22"/>
  <c r="R264" i="22"/>
  <c r="R265" i="22"/>
  <c r="R266" i="22"/>
  <c r="R267" i="22"/>
  <c r="R268" i="22"/>
  <c r="R269" i="22"/>
  <c r="R270" i="22"/>
  <c r="R271" i="22"/>
  <c r="R272" i="22"/>
  <c r="R273" i="22"/>
  <c r="R274" i="22"/>
  <c r="R275" i="22"/>
  <c r="R276" i="22"/>
  <c r="R277" i="22"/>
  <c r="R278" i="22"/>
  <c r="R279" i="22"/>
  <c r="R280" i="22"/>
  <c r="R281" i="22"/>
  <c r="R282" i="22"/>
  <c r="R283" i="22"/>
  <c r="R284" i="22"/>
  <c r="R285" i="22"/>
  <c r="R286" i="22"/>
  <c r="R287" i="22"/>
  <c r="R288" i="22"/>
  <c r="R289" i="22"/>
  <c r="R290" i="22"/>
  <c r="R291" i="22"/>
  <c r="R292" i="22"/>
  <c r="R293" i="22"/>
  <c r="R294" i="22"/>
  <c r="R295" i="22"/>
  <c r="R296" i="22"/>
  <c r="R297" i="22"/>
  <c r="R298" i="22"/>
  <c r="R299" i="22"/>
  <c r="R300" i="22"/>
  <c r="R301" i="22"/>
  <c r="R302" i="22"/>
  <c r="R303" i="22"/>
  <c r="R304" i="22"/>
  <c r="R305" i="22"/>
  <c r="R306" i="22"/>
  <c r="R307" i="22"/>
  <c r="R308" i="22"/>
  <c r="R309" i="22"/>
  <c r="R310" i="22"/>
  <c r="R311" i="22"/>
  <c r="R312" i="22"/>
  <c r="R313" i="22"/>
  <c r="R314" i="22"/>
  <c r="R315" i="22"/>
  <c r="R316" i="22"/>
  <c r="R317" i="22"/>
  <c r="R318" i="22"/>
  <c r="R319" i="22"/>
  <c r="R320" i="22"/>
  <c r="R321" i="22"/>
  <c r="R322" i="22"/>
  <c r="R323" i="22"/>
  <c r="R324" i="22"/>
  <c r="R325" i="22"/>
  <c r="R326" i="22"/>
  <c r="R327" i="22"/>
  <c r="R328" i="22"/>
  <c r="R329" i="22"/>
  <c r="R330" i="22"/>
  <c r="R331" i="22"/>
  <c r="R332" i="22"/>
  <c r="R333" i="22"/>
  <c r="R334" i="22"/>
  <c r="R335" i="22"/>
  <c r="R336" i="22"/>
  <c r="R337" i="22"/>
  <c r="R338" i="22"/>
  <c r="R339" i="22"/>
  <c r="R340" i="22"/>
  <c r="R341" i="22"/>
  <c r="R342" i="22"/>
  <c r="R343" i="22"/>
  <c r="R344" i="22"/>
  <c r="R345" i="22"/>
  <c r="R346" i="22"/>
  <c r="R347" i="22"/>
  <c r="R348" i="22"/>
  <c r="R349" i="22"/>
  <c r="R350" i="22"/>
  <c r="R351" i="22"/>
  <c r="R352" i="22"/>
  <c r="R353" i="22"/>
  <c r="R354" i="22"/>
  <c r="R355" i="22"/>
  <c r="R356" i="22"/>
  <c r="R357" i="22"/>
  <c r="R358" i="22"/>
  <c r="R359" i="22"/>
  <c r="R360" i="22"/>
  <c r="R361" i="22"/>
  <c r="R362" i="22"/>
  <c r="R363" i="22"/>
  <c r="R364" i="22"/>
  <c r="R365" i="22"/>
  <c r="R366" i="22"/>
  <c r="R367" i="22"/>
  <c r="R368" i="22"/>
  <c r="R219" i="22"/>
  <c r="R3" i="22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254" i="20"/>
  <c r="R255" i="20"/>
  <c r="R256" i="20"/>
  <c r="R257" i="20"/>
  <c r="R258" i="20"/>
  <c r="R259" i="20"/>
  <c r="R260" i="20"/>
  <c r="R261" i="20"/>
  <c r="R262" i="20"/>
  <c r="R263" i="20"/>
  <c r="R264" i="20"/>
  <c r="R265" i="20"/>
  <c r="R266" i="20"/>
  <c r="R267" i="20"/>
  <c r="R268" i="20"/>
  <c r="R269" i="20"/>
  <c r="R270" i="20"/>
  <c r="R271" i="20"/>
  <c r="R272" i="20"/>
  <c r="R273" i="20"/>
  <c r="R274" i="20"/>
  <c r="R275" i="20"/>
  <c r="R276" i="20"/>
  <c r="R277" i="20"/>
  <c r="R278" i="20"/>
  <c r="R279" i="20"/>
  <c r="R280" i="20"/>
  <c r="R281" i="20"/>
  <c r="R282" i="20"/>
  <c r="R283" i="20"/>
  <c r="R284" i="20"/>
  <c r="R285" i="20"/>
  <c r="R286" i="20"/>
  <c r="R287" i="20"/>
  <c r="R288" i="20"/>
  <c r="R289" i="20"/>
  <c r="R290" i="20"/>
  <c r="R291" i="20"/>
  <c r="R292" i="20"/>
  <c r="R293" i="20"/>
  <c r="R294" i="20"/>
  <c r="R295" i="20"/>
  <c r="R296" i="20"/>
  <c r="R297" i="20"/>
  <c r="R298" i="20"/>
  <c r="R299" i="20"/>
  <c r="R300" i="20"/>
  <c r="R301" i="20"/>
  <c r="R302" i="20"/>
  <c r="R303" i="20"/>
  <c r="R304" i="20"/>
  <c r="R305" i="20"/>
  <c r="R306" i="20"/>
  <c r="R307" i="20"/>
  <c r="R308" i="20"/>
  <c r="R309" i="20"/>
  <c r="R310" i="20"/>
  <c r="R311" i="20"/>
  <c r="R312" i="20"/>
  <c r="R313" i="20"/>
  <c r="R314" i="20"/>
  <c r="R315" i="20"/>
  <c r="R316" i="20"/>
  <c r="R317" i="20"/>
  <c r="R318" i="20"/>
  <c r="R319" i="20"/>
  <c r="R320" i="20"/>
  <c r="R321" i="20"/>
  <c r="R322" i="20"/>
  <c r="R323" i="20"/>
  <c r="R324" i="20"/>
  <c r="R325" i="20"/>
  <c r="R326" i="20"/>
  <c r="R327" i="20"/>
  <c r="R328" i="20"/>
  <c r="R329" i="20"/>
  <c r="R330" i="20"/>
  <c r="R331" i="20"/>
  <c r="R332" i="20"/>
  <c r="R333" i="20"/>
  <c r="R334" i="20"/>
  <c r="R335" i="20"/>
  <c r="R336" i="20"/>
  <c r="R337" i="20"/>
  <c r="R338" i="20"/>
  <c r="R339" i="20"/>
  <c r="R340" i="20"/>
  <c r="R341" i="20"/>
  <c r="R342" i="20"/>
  <c r="R343" i="20"/>
  <c r="R344" i="20"/>
  <c r="R345" i="20"/>
  <c r="R346" i="20"/>
  <c r="R347" i="20"/>
  <c r="R348" i="20"/>
  <c r="R349" i="20"/>
  <c r="R350" i="20"/>
  <c r="R351" i="20"/>
  <c r="R352" i="20"/>
  <c r="R353" i="20"/>
  <c r="R354" i="20"/>
  <c r="R355" i="20"/>
  <c r="R356" i="20"/>
  <c r="R357" i="20"/>
  <c r="R358" i="20"/>
  <c r="R359" i="20"/>
  <c r="R360" i="20"/>
  <c r="R361" i="20"/>
  <c r="R362" i="20"/>
  <c r="R363" i="20"/>
  <c r="R364" i="20"/>
  <c r="R365" i="20"/>
  <c r="R366" i="20"/>
  <c r="R367" i="20"/>
  <c r="R368" i="20"/>
  <c r="R369" i="20"/>
  <c r="R220" i="20"/>
  <c r="R3" i="20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U272" i="6"/>
  <c r="U273" i="6"/>
  <c r="U274" i="6"/>
  <c r="U275" i="6"/>
  <c r="U276" i="6"/>
  <c r="U277" i="6"/>
  <c r="U278" i="6"/>
  <c r="U279" i="6"/>
  <c r="U280" i="6"/>
  <c r="U281" i="6"/>
  <c r="U282" i="6"/>
  <c r="U283" i="6"/>
  <c r="U284" i="6"/>
  <c r="U285" i="6"/>
  <c r="U286" i="6"/>
  <c r="U287" i="6"/>
  <c r="U288" i="6"/>
  <c r="U289" i="6"/>
  <c r="U290" i="6"/>
  <c r="U291" i="6"/>
  <c r="U292" i="6"/>
  <c r="U293" i="6"/>
  <c r="U294" i="6"/>
  <c r="U295" i="6"/>
  <c r="U296" i="6"/>
  <c r="U297" i="6"/>
  <c r="U298" i="6"/>
  <c r="U299" i="6"/>
  <c r="U300" i="6"/>
  <c r="U301" i="6"/>
  <c r="U302" i="6"/>
  <c r="U303" i="6"/>
  <c r="U304" i="6"/>
  <c r="U305" i="6"/>
  <c r="U306" i="6"/>
  <c r="U307" i="6"/>
  <c r="U308" i="6"/>
  <c r="U309" i="6"/>
  <c r="U310" i="6"/>
  <c r="U311" i="6"/>
  <c r="U312" i="6"/>
  <c r="U313" i="6"/>
  <c r="U314" i="6"/>
  <c r="U315" i="6"/>
  <c r="U316" i="6"/>
  <c r="U317" i="6"/>
  <c r="U318" i="6"/>
  <c r="U319" i="6"/>
  <c r="U320" i="6"/>
  <c r="U321" i="6"/>
  <c r="U322" i="6"/>
  <c r="U323" i="6"/>
  <c r="U324" i="6"/>
  <c r="U325" i="6"/>
  <c r="U326" i="6"/>
  <c r="U327" i="6"/>
  <c r="U328" i="6"/>
  <c r="U329" i="6"/>
  <c r="U330" i="6"/>
  <c r="U331" i="6"/>
  <c r="U332" i="6"/>
  <c r="U333" i="6"/>
  <c r="U334" i="6"/>
  <c r="U335" i="6"/>
  <c r="U336" i="6"/>
  <c r="U337" i="6"/>
  <c r="U338" i="6"/>
  <c r="U339" i="6"/>
  <c r="U340" i="6"/>
  <c r="U341" i="6"/>
  <c r="U342" i="6"/>
  <c r="U343" i="6"/>
  <c r="U344" i="6"/>
  <c r="U345" i="6"/>
  <c r="U346" i="6"/>
  <c r="U347" i="6"/>
  <c r="U348" i="6"/>
  <c r="U349" i="6"/>
  <c r="U350" i="6"/>
  <c r="U351" i="6"/>
  <c r="U352" i="6"/>
  <c r="U353" i="6"/>
  <c r="U354" i="6"/>
  <c r="U355" i="6"/>
  <c r="U356" i="6"/>
  <c r="U357" i="6"/>
  <c r="U358" i="6"/>
  <c r="U359" i="6"/>
  <c r="U360" i="6"/>
  <c r="U361" i="6"/>
  <c r="U362" i="6"/>
  <c r="U363" i="6"/>
  <c r="U364" i="6"/>
  <c r="U365" i="6"/>
  <c r="U366" i="6"/>
  <c r="U367" i="6"/>
  <c r="U368" i="6"/>
  <c r="U369" i="6"/>
  <c r="U370" i="6"/>
  <c r="U371" i="6"/>
  <c r="U372" i="6"/>
  <c r="U373" i="6"/>
  <c r="U374" i="6"/>
  <c r="U375" i="6"/>
  <c r="U376" i="6"/>
  <c r="U377" i="6"/>
  <c r="U128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03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78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3" i="6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" i="4"/>
  <c r="B28" i="19"/>
  <c r="C28" i="19"/>
  <c r="D28" i="19"/>
  <c r="E28" i="19"/>
  <c r="F28" i="19"/>
  <c r="G28" i="19"/>
  <c r="H28" i="19"/>
  <c r="I28" i="19"/>
  <c r="J28" i="19"/>
  <c r="K28" i="19"/>
  <c r="L28" i="19"/>
  <c r="M28" i="19"/>
  <c r="N28" i="19"/>
  <c r="O28" i="19"/>
  <c r="P28" i="19"/>
  <c r="Q28" i="19" s="1"/>
  <c r="P326" i="4" l="1"/>
  <c r="O326" i="4"/>
  <c r="S368" i="22" l="1"/>
  <c r="Q368" i="22"/>
  <c r="N368" i="22"/>
  <c r="M368" i="22"/>
  <c r="D368" i="22"/>
  <c r="E368" i="22"/>
  <c r="I368" i="22" s="1"/>
  <c r="Q343" i="22"/>
  <c r="N343" i="22"/>
  <c r="M343" i="22"/>
  <c r="D343" i="22"/>
  <c r="E343" i="22"/>
  <c r="I343" i="22" s="1"/>
  <c r="Q293" i="22"/>
  <c r="N293" i="22"/>
  <c r="M293" i="22"/>
  <c r="D293" i="22"/>
  <c r="E293" i="22"/>
  <c r="I293" i="22" s="1"/>
  <c r="S318" i="22"/>
  <c r="Q318" i="22"/>
  <c r="S268" i="22"/>
  <c r="Q268" i="22"/>
  <c r="O317" i="22"/>
  <c r="P317" i="22"/>
  <c r="G317" i="22"/>
  <c r="F317" i="22"/>
  <c r="H318" i="22"/>
  <c r="N318" i="22"/>
  <c r="M318" i="22"/>
  <c r="N268" i="22"/>
  <c r="M268" i="22"/>
  <c r="F267" i="22"/>
  <c r="G267" i="22"/>
  <c r="F268" i="22"/>
  <c r="G268" i="22"/>
  <c r="D318" i="22"/>
  <c r="E318" i="22"/>
  <c r="I318" i="22" s="1"/>
  <c r="F268" i="20"/>
  <c r="G268" i="20"/>
  <c r="F269" i="20"/>
  <c r="G269" i="20"/>
  <c r="D268" i="22"/>
  <c r="E268" i="22"/>
  <c r="Q243" i="22"/>
  <c r="N243" i="22"/>
  <c r="M243" i="22"/>
  <c r="D243" i="22"/>
  <c r="E243" i="22"/>
  <c r="I243" i="22" s="1"/>
  <c r="A368" i="22"/>
  <c r="B368" i="22"/>
  <c r="C368" i="22"/>
  <c r="A343" i="22"/>
  <c r="B343" i="22"/>
  <c r="C343" i="22"/>
  <c r="A318" i="22"/>
  <c r="B318" i="22"/>
  <c r="C318" i="22"/>
  <c r="A293" i="22"/>
  <c r="B293" i="22"/>
  <c r="C293" i="22"/>
  <c r="A268" i="22"/>
  <c r="B268" i="22"/>
  <c r="C268" i="22"/>
  <c r="S369" i="20"/>
  <c r="Q369" i="20"/>
  <c r="N369" i="20"/>
  <c r="M369" i="20"/>
  <c r="D369" i="20"/>
  <c r="E369" i="20"/>
  <c r="I369" i="20" s="1"/>
  <c r="Q344" i="20"/>
  <c r="N344" i="20"/>
  <c r="M344" i="20"/>
  <c r="D344" i="20"/>
  <c r="E344" i="20"/>
  <c r="I344" i="20" s="1"/>
  <c r="Q319" i="20"/>
  <c r="N319" i="20"/>
  <c r="M319" i="20"/>
  <c r="D319" i="20"/>
  <c r="E319" i="20"/>
  <c r="H319" i="20" s="1"/>
  <c r="S294" i="20"/>
  <c r="Q294" i="20"/>
  <c r="M294" i="20"/>
  <c r="N294" i="20"/>
  <c r="D294" i="20"/>
  <c r="E294" i="20"/>
  <c r="I294" i="20" s="1"/>
  <c r="S269" i="20"/>
  <c r="Q269" i="20"/>
  <c r="M269" i="20"/>
  <c r="N269" i="20"/>
  <c r="D269" i="20"/>
  <c r="E269" i="20"/>
  <c r="I269" i="20" s="1"/>
  <c r="Q244" i="20"/>
  <c r="N244" i="20"/>
  <c r="M244" i="20"/>
  <c r="D244" i="20"/>
  <c r="E244" i="20"/>
  <c r="H244" i="20" s="1"/>
  <c r="C344" i="20"/>
  <c r="A344" i="20"/>
  <c r="V377" i="6"/>
  <c r="W377" i="6" s="1"/>
  <c r="T377" i="6"/>
  <c r="I377" i="6"/>
  <c r="J377" i="6"/>
  <c r="K377" i="6" s="1"/>
  <c r="L377" i="6" s="1"/>
  <c r="N377" i="6"/>
  <c r="O377" i="6"/>
  <c r="D377" i="6"/>
  <c r="T352" i="6"/>
  <c r="V352" i="6"/>
  <c r="W352" i="6" s="1"/>
  <c r="N352" i="6"/>
  <c r="O352" i="6"/>
  <c r="I352" i="6"/>
  <c r="J352" i="6"/>
  <c r="K352" i="6" s="1"/>
  <c r="L352" i="6" s="1"/>
  <c r="D352" i="6"/>
  <c r="T327" i="6"/>
  <c r="V327" i="6"/>
  <c r="W327" i="6" s="1"/>
  <c r="N327" i="6"/>
  <c r="O327" i="6"/>
  <c r="I327" i="6"/>
  <c r="J327" i="6"/>
  <c r="K327" i="6" s="1"/>
  <c r="L327" i="6" s="1"/>
  <c r="D327" i="6"/>
  <c r="T302" i="6"/>
  <c r="V302" i="6"/>
  <c r="W302" i="6" s="1"/>
  <c r="N302" i="6"/>
  <c r="O302" i="6"/>
  <c r="I302" i="6"/>
  <c r="J302" i="6"/>
  <c r="K302" i="6" s="1"/>
  <c r="L302" i="6" s="1"/>
  <c r="D302" i="6"/>
  <c r="T277" i="6"/>
  <c r="N277" i="6"/>
  <c r="O277" i="6"/>
  <c r="I277" i="6"/>
  <c r="D277" i="6"/>
  <c r="J277" i="6"/>
  <c r="K277" i="6" s="1"/>
  <c r="L277" i="6" s="1"/>
  <c r="T252" i="6"/>
  <c r="V252" i="6"/>
  <c r="W252" i="6" s="1"/>
  <c r="N252" i="6"/>
  <c r="O252" i="6"/>
  <c r="I252" i="6"/>
  <c r="J252" i="6"/>
  <c r="K252" i="6" s="1"/>
  <c r="L252" i="6" s="1"/>
  <c r="D252" i="6"/>
  <c r="Q377" i="4"/>
  <c r="S377" i="4"/>
  <c r="T377" i="4" s="1"/>
  <c r="H377" i="4"/>
  <c r="I377" i="4"/>
  <c r="J377" i="4" s="1"/>
  <c r="K377" i="4" s="1"/>
  <c r="M377" i="4"/>
  <c r="N377" i="4"/>
  <c r="Q352" i="4"/>
  <c r="S352" i="4"/>
  <c r="T352" i="4" s="1"/>
  <c r="H352" i="4"/>
  <c r="I352" i="4"/>
  <c r="J352" i="4" s="1"/>
  <c r="K352" i="4" s="1"/>
  <c r="M352" i="4"/>
  <c r="N352" i="4"/>
  <c r="Q327" i="4"/>
  <c r="S327" i="4"/>
  <c r="T327" i="4" s="1"/>
  <c r="M327" i="4"/>
  <c r="N327" i="4"/>
  <c r="H327" i="4"/>
  <c r="I327" i="4"/>
  <c r="J327" i="4" s="1"/>
  <c r="K327" i="4" s="1"/>
  <c r="Q302" i="4"/>
  <c r="S302" i="4"/>
  <c r="T302" i="4" s="1"/>
  <c r="M302" i="4"/>
  <c r="N302" i="4"/>
  <c r="H302" i="4"/>
  <c r="I302" i="4"/>
  <c r="J302" i="4" s="1"/>
  <c r="K302" i="4" s="1"/>
  <c r="Q277" i="4"/>
  <c r="S277" i="4"/>
  <c r="T277" i="4" s="1"/>
  <c r="H277" i="4"/>
  <c r="I277" i="4"/>
  <c r="J277" i="4" s="1"/>
  <c r="K277" i="4" s="1"/>
  <c r="M277" i="4"/>
  <c r="N277" i="4"/>
  <c r="Q252" i="4"/>
  <c r="N252" i="4"/>
  <c r="M252" i="4"/>
  <c r="H252" i="4"/>
  <c r="I252" i="4"/>
  <c r="J252" i="4" s="1"/>
  <c r="K252" i="4" s="1"/>
  <c r="Y377" i="6" l="1"/>
  <c r="L84" i="19" s="1"/>
  <c r="I319" i="20"/>
  <c r="W319" i="20" s="1"/>
  <c r="X319" i="20" s="1"/>
  <c r="H344" i="20"/>
  <c r="V344" i="20" s="1"/>
  <c r="I244" i="20"/>
  <c r="W244" i="20" s="1"/>
  <c r="X244" i="20" s="1"/>
  <c r="Y244" i="20" s="1"/>
  <c r="H368" i="22"/>
  <c r="H268" i="22"/>
  <c r="H243" i="22"/>
  <c r="Z377" i="6"/>
  <c r="H293" i="22"/>
  <c r="H369" i="20"/>
  <c r="V369" i="20" s="1"/>
  <c r="H269" i="20"/>
  <c r="V269" i="20" s="1"/>
  <c r="H343" i="22"/>
  <c r="V343" i="22" s="1"/>
  <c r="I268" i="22"/>
  <c r="W268" i="22" s="1"/>
  <c r="X268" i="22" s="1"/>
  <c r="V377" i="4"/>
  <c r="L56" i="19" s="1"/>
  <c r="W343" i="22"/>
  <c r="X343" i="22" s="1"/>
  <c r="Y343" i="22" s="1"/>
  <c r="V368" i="22"/>
  <c r="W368" i="22"/>
  <c r="X368" i="22" s="1"/>
  <c r="S343" i="22"/>
  <c r="V293" i="22"/>
  <c r="W293" i="22"/>
  <c r="X293" i="22" s="1"/>
  <c r="S293" i="22"/>
  <c r="V318" i="22"/>
  <c r="V268" i="22"/>
  <c r="W318" i="22"/>
  <c r="X318" i="22" s="1"/>
  <c r="V243" i="22"/>
  <c r="W243" i="22"/>
  <c r="X243" i="22" s="1"/>
  <c r="S243" i="22"/>
  <c r="W369" i="20"/>
  <c r="X369" i="20" s="1"/>
  <c r="V319" i="20"/>
  <c r="W344" i="20"/>
  <c r="X344" i="20" s="1"/>
  <c r="Y344" i="20" s="1"/>
  <c r="S344" i="20"/>
  <c r="S319" i="20"/>
  <c r="H294" i="20"/>
  <c r="V294" i="20" s="1"/>
  <c r="Y352" i="6"/>
  <c r="J84" i="19" s="1"/>
  <c r="W294" i="20"/>
  <c r="X294" i="20" s="1"/>
  <c r="Y294" i="20" s="1"/>
  <c r="W269" i="20"/>
  <c r="X269" i="20" s="1"/>
  <c r="V244" i="20"/>
  <c r="Y252" i="6"/>
  <c r="B84" i="19" s="1"/>
  <c r="Z352" i="6"/>
  <c r="Y327" i="6"/>
  <c r="H84" i="19" s="1"/>
  <c r="Z327" i="6"/>
  <c r="Y302" i="6"/>
  <c r="F84" i="19" s="1"/>
  <c r="Z302" i="6"/>
  <c r="Z277" i="6"/>
  <c r="Y277" i="6"/>
  <c r="D84" i="19" s="1"/>
  <c r="V277" i="6"/>
  <c r="W277" i="6" s="1"/>
  <c r="Z252" i="6"/>
  <c r="W377" i="4"/>
  <c r="V352" i="4"/>
  <c r="J56" i="19" s="1"/>
  <c r="W352" i="4"/>
  <c r="V327" i="4"/>
  <c r="H56" i="19" s="1"/>
  <c r="W327" i="4"/>
  <c r="V277" i="4"/>
  <c r="D56" i="19" s="1"/>
  <c r="V302" i="4"/>
  <c r="F56" i="19" s="1"/>
  <c r="W302" i="4"/>
  <c r="V252" i="4"/>
  <c r="B56" i="19" s="1"/>
  <c r="W252" i="4"/>
  <c r="W277" i="4"/>
  <c r="S252" i="4"/>
  <c r="T252" i="4" s="1"/>
  <c r="AA252" i="6" l="1"/>
  <c r="AB252" i="6" s="1"/>
  <c r="C84" i="19"/>
  <c r="AA277" i="6"/>
  <c r="AB277" i="6" s="1"/>
  <c r="E84" i="19"/>
  <c r="AA302" i="6"/>
  <c r="G84" i="19"/>
  <c r="AA377" i="6"/>
  <c r="AC377" i="6" s="1"/>
  <c r="M84" i="19"/>
  <c r="AA327" i="6"/>
  <c r="AB327" i="6" s="1"/>
  <c r="I84" i="19"/>
  <c r="AA352" i="6"/>
  <c r="K84" i="19"/>
  <c r="N84" i="19"/>
  <c r="X252" i="4"/>
  <c r="C56" i="19"/>
  <c r="X327" i="4"/>
  <c r="I56" i="19"/>
  <c r="X277" i="4"/>
  <c r="E56" i="19"/>
  <c r="X352" i="4"/>
  <c r="K56" i="19"/>
  <c r="N56" i="19"/>
  <c r="X302" i="4"/>
  <c r="G56" i="19"/>
  <c r="X377" i="4"/>
  <c r="Z377" i="4" s="1"/>
  <c r="M56" i="19"/>
  <c r="Z243" i="22"/>
  <c r="AB377" i="6"/>
  <c r="Z319" i="20"/>
  <c r="Z343" i="22"/>
  <c r="Z344" i="20"/>
  <c r="Z293" i="22"/>
  <c r="Y319" i="20"/>
  <c r="Z368" i="22"/>
  <c r="Y368" i="22"/>
  <c r="Y293" i="22"/>
  <c r="Z318" i="22"/>
  <c r="Y318" i="22"/>
  <c r="Z268" i="22"/>
  <c r="Y268" i="22"/>
  <c r="Z369" i="20"/>
  <c r="Y243" i="22"/>
  <c r="Y369" i="20"/>
  <c r="Z294" i="20"/>
  <c r="Z269" i="20"/>
  <c r="Y269" i="20"/>
  <c r="Z244" i="20"/>
  <c r="AB352" i="6"/>
  <c r="AC352" i="6"/>
  <c r="AB302" i="6"/>
  <c r="AC302" i="6"/>
  <c r="AC252" i="6"/>
  <c r="Z252" i="4"/>
  <c r="Y352" i="4"/>
  <c r="Z352" i="4"/>
  <c r="Y327" i="4"/>
  <c r="Z327" i="4"/>
  <c r="Y252" i="4"/>
  <c r="Y302" i="4"/>
  <c r="Z302" i="4"/>
  <c r="Y277" i="4"/>
  <c r="Z277" i="4"/>
  <c r="O84" i="19" l="1"/>
  <c r="P84" i="19" s="1"/>
  <c r="Q84" i="19" s="1"/>
  <c r="Y377" i="4"/>
  <c r="O56" i="19"/>
  <c r="P56" i="19" s="1"/>
  <c r="Q56" i="19" s="1"/>
  <c r="P149" i="4"/>
  <c r="O149" i="4"/>
  <c r="P148" i="4"/>
  <c r="O148" i="4"/>
  <c r="P147" i="4"/>
  <c r="O147" i="4"/>
  <c r="P146" i="4"/>
  <c r="O146" i="4"/>
  <c r="P145" i="4"/>
  <c r="O145" i="4"/>
  <c r="P144" i="4"/>
  <c r="O144" i="4"/>
  <c r="P143" i="4"/>
  <c r="O143" i="4"/>
  <c r="P142" i="4"/>
  <c r="O142" i="4"/>
  <c r="P141" i="4"/>
  <c r="O141" i="4"/>
  <c r="P140" i="4"/>
  <c r="O140" i="4"/>
  <c r="P139" i="4"/>
  <c r="O139" i="4"/>
  <c r="P138" i="4"/>
  <c r="O138" i="4"/>
  <c r="P137" i="4"/>
  <c r="O137" i="4"/>
  <c r="P136" i="4"/>
  <c r="O136" i="4"/>
  <c r="P135" i="4"/>
  <c r="O135" i="4"/>
  <c r="P134" i="4"/>
  <c r="O134" i="4"/>
  <c r="P133" i="4"/>
  <c r="O133" i="4"/>
  <c r="P132" i="4"/>
  <c r="O132" i="4"/>
  <c r="P131" i="4"/>
  <c r="O131" i="4"/>
  <c r="P130" i="4"/>
  <c r="O130" i="4"/>
  <c r="P129" i="4"/>
  <c r="O129" i="4"/>
  <c r="P128" i="4"/>
  <c r="O128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P224" i="4"/>
  <c r="O224" i="4"/>
  <c r="P223" i="4"/>
  <c r="O223" i="4"/>
  <c r="P222" i="4"/>
  <c r="O222" i="4"/>
  <c r="P221" i="4"/>
  <c r="O221" i="4"/>
  <c r="P220" i="4"/>
  <c r="O220" i="4"/>
  <c r="P219" i="4"/>
  <c r="O219" i="4"/>
  <c r="P218" i="4"/>
  <c r="O218" i="4"/>
  <c r="P217" i="4"/>
  <c r="O217" i="4"/>
  <c r="P216" i="4"/>
  <c r="O216" i="4"/>
  <c r="P215" i="4"/>
  <c r="O215" i="4"/>
  <c r="P214" i="4"/>
  <c r="O214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P199" i="4" l="1"/>
  <c r="O199" i="4"/>
  <c r="P198" i="4"/>
  <c r="O198" i="4"/>
  <c r="P197" i="4"/>
  <c r="O197" i="4"/>
  <c r="P196" i="4"/>
  <c r="O196" i="4"/>
  <c r="P195" i="4"/>
  <c r="O195" i="4"/>
  <c r="P194" i="4"/>
  <c r="O194" i="4"/>
  <c r="P193" i="4"/>
  <c r="O193" i="4"/>
  <c r="P192" i="4"/>
  <c r="O192" i="4"/>
  <c r="P191" i="4"/>
  <c r="O191" i="4"/>
  <c r="P190" i="4"/>
  <c r="O190" i="4"/>
  <c r="P189" i="4"/>
  <c r="O189" i="4"/>
  <c r="P188" i="4"/>
  <c r="O188" i="4"/>
  <c r="P187" i="4"/>
  <c r="O187" i="4"/>
  <c r="P186" i="4"/>
  <c r="O186" i="4"/>
  <c r="P185" i="4"/>
  <c r="O185" i="4"/>
  <c r="P184" i="4"/>
  <c r="O184" i="4"/>
  <c r="P183" i="4"/>
  <c r="O183" i="4"/>
  <c r="P182" i="4"/>
  <c r="O182" i="4"/>
  <c r="P181" i="4"/>
  <c r="O181" i="4"/>
  <c r="P180" i="4"/>
  <c r="O180" i="4"/>
  <c r="P179" i="4"/>
  <c r="O179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C193" i="10" l="1"/>
  <c r="D193" i="10"/>
  <c r="E193" i="10"/>
  <c r="F193" i="10" s="1"/>
  <c r="G193" i="10" s="1"/>
  <c r="C181" i="10"/>
  <c r="D181" i="10"/>
  <c r="E181" i="10"/>
  <c r="F181" i="10" s="1"/>
  <c r="G181" i="10" s="1"/>
  <c r="C169" i="10"/>
  <c r="D169" i="10"/>
  <c r="E169" i="10"/>
  <c r="F169" i="10" s="1"/>
  <c r="G169" i="10" s="1"/>
  <c r="C157" i="10"/>
  <c r="D157" i="10"/>
  <c r="E157" i="10"/>
  <c r="F157" i="10" s="1"/>
  <c r="G157" i="10" s="1"/>
  <c r="C145" i="10"/>
  <c r="D145" i="10"/>
  <c r="E145" i="10"/>
  <c r="F145" i="10" s="1"/>
  <c r="G145" i="10" s="1"/>
  <c r="C133" i="10"/>
  <c r="C121" i="10"/>
  <c r="D121" i="10"/>
  <c r="E121" i="10"/>
  <c r="F121" i="10" s="1"/>
  <c r="G121" i="10" s="1"/>
  <c r="C109" i="10"/>
  <c r="F109" i="10"/>
  <c r="G109" i="10" s="1"/>
  <c r="F97" i="10"/>
  <c r="G97" i="10" s="1"/>
  <c r="C85" i="10"/>
  <c r="D85" i="10"/>
  <c r="E85" i="10"/>
  <c r="F85" i="10" s="1"/>
  <c r="G85" i="10" s="1"/>
  <c r="C73" i="10"/>
  <c r="D73" i="10"/>
  <c r="E73" i="10"/>
  <c r="F73" i="10" s="1"/>
  <c r="G73" i="10" s="1"/>
  <c r="C61" i="10"/>
  <c r="D61" i="10"/>
  <c r="E61" i="10"/>
  <c r="F61" i="10" s="1"/>
  <c r="G61" i="10" s="1"/>
  <c r="C49" i="10"/>
  <c r="D49" i="10"/>
  <c r="E49" i="10"/>
  <c r="F49" i="10" s="1"/>
  <c r="G49" i="10" s="1"/>
  <c r="C37" i="10"/>
  <c r="D37" i="10"/>
  <c r="E37" i="10"/>
  <c r="F37" i="10" s="1"/>
  <c r="G37" i="10" s="1"/>
  <c r="C25" i="10"/>
  <c r="D25" i="10"/>
  <c r="E25" i="10"/>
  <c r="F25" i="10" s="1"/>
  <c r="G25" i="10" s="1"/>
  <c r="C13" i="10"/>
  <c r="D13" i="10"/>
  <c r="E13" i="10"/>
  <c r="F13" i="10" s="1"/>
  <c r="G13" i="10" s="1"/>
  <c r="D27" i="20" l="1"/>
  <c r="E27" i="20"/>
  <c r="I52" i="6"/>
  <c r="J52" i="6"/>
  <c r="K52" i="6" s="1"/>
  <c r="L52" i="6" s="1"/>
  <c r="I77" i="6"/>
  <c r="J77" i="6"/>
  <c r="K77" i="6" s="1"/>
  <c r="L77" i="6" s="1"/>
  <c r="I227" i="6"/>
  <c r="J227" i="6"/>
  <c r="K227" i="6" s="1"/>
  <c r="L227" i="6" s="1"/>
  <c r="I202" i="6"/>
  <c r="J202" i="6"/>
  <c r="K202" i="6" s="1"/>
  <c r="L202" i="6" s="1"/>
  <c r="I177" i="6"/>
  <c r="J177" i="6"/>
  <c r="K177" i="6" s="1"/>
  <c r="L177" i="6" s="1"/>
  <c r="I152" i="6"/>
  <c r="J152" i="6"/>
  <c r="K152" i="6" s="1"/>
  <c r="L152" i="6" s="1"/>
  <c r="I127" i="6"/>
  <c r="J127" i="6"/>
  <c r="K127" i="6" s="1"/>
  <c r="L127" i="6" s="1"/>
  <c r="D127" i="6"/>
  <c r="I102" i="6"/>
  <c r="J102" i="6"/>
  <c r="K102" i="6" s="1"/>
  <c r="L102" i="6" s="1"/>
  <c r="D102" i="6"/>
  <c r="I27" i="6"/>
  <c r="J27" i="6"/>
  <c r="K27" i="6" s="1"/>
  <c r="L27" i="6" s="1"/>
  <c r="D27" i="6"/>
  <c r="F77" i="4"/>
  <c r="H77" i="4" s="1"/>
  <c r="G77" i="4"/>
  <c r="I77" i="4" s="1"/>
  <c r="J77" i="4" s="1"/>
  <c r="K77" i="4" s="1"/>
  <c r="H227" i="4"/>
  <c r="I227" i="4"/>
  <c r="J227" i="4" s="1"/>
  <c r="K227" i="4" s="1"/>
  <c r="I202" i="4"/>
  <c r="J202" i="4" s="1"/>
  <c r="K202" i="4" s="1"/>
  <c r="H202" i="4"/>
  <c r="I177" i="4"/>
  <c r="J177" i="4" s="1"/>
  <c r="K177" i="4" s="1"/>
  <c r="H177" i="4"/>
  <c r="I152" i="4"/>
  <c r="J152" i="4" s="1"/>
  <c r="K152" i="4" s="1"/>
  <c r="H152" i="4"/>
  <c r="O127" i="4"/>
  <c r="P127" i="4"/>
  <c r="P77" i="4" s="1"/>
  <c r="I127" i="4"/>
  <c r="J127" i="4" s="1"/>
  <c r="K127" i="4" s="1"/>
  <c r="H127" i="4"/>
  <c r="I102" i="4"/>
  <c r="J102" i="4" s="1"/>
  <c r="K102" i="4" s="1"/>
  <c r="H102" i="4"/>
  <c r="P27" i="4"/>
  <c r="P52" i="4" s="1"/>
  <c r="O27" i="4"/>
  <c r="O52" i="4" s="1"/>
  <c r="G27" i="4"/>
  <c r="I27" i="4" s="1"/>
  <c r="F27" i="4"/>
  <c r="H27" i="4" s="1"/>
  <c r="H26" i="4"/>
  <c r="F52" i="4" l="1"/>
  <c r="H52" i="4" s="1"/>
  <c r="G52" i="4"/>
  <c r="I52" i="4" s="1"/>
  <c r="J52" i="4" s="1"/>
  <c r="K52" i="4" s="1"/>
  <c r="O77" i="4"/>
  <c r="J27" i="4"/>
  <c r="K27" i="4" s="1"/>
  <c r="D377" i="4" l="1"/>
  <c r="D352" i="4"/>
  <c r="D327" i="4"/>
  <c r="D302" i="4"/>
  <c r="D277" i="4"/>
  <c r="D252" i="4"/>
  <c r="D227" i="4"/>
  <c r="D202" i="4"/>
  <c r="D177" i="4"/>
  <c r="D152" i="4"/>
  <c r="D127" i="4"/>
  <c r="D102" i="4"/>
  <c r="D77" i="4"/>
  <c r="D52" i="4"/>
  <c r="D27" i="4"/>
  <c r="J376" i="2"/>
  <c r="J351" i="2"/>
  <c r="L351" i="2" s="1"/>
  <c r="M351" i="2" s="1"/>
  <c r="N351" i="2" s="1"/>
  <c r="J326" i="2"/>
  <c r="J301" i="2"/>
  <c r="J276" i="2"/>
  <c r="J251" i="2"/>
  <c r="J226" i="2"/>
  <c r="J201" i="2"/>
  <c r="J176" i="2"/>
  <c r="L176" i="2" s="1"/>
  <c r="J151" i="2"/>
  <c r="J101" i="2"/>
  <c r="J26" i="2"/>
  <c r="H376" i="2"/>
  <c r="H351" i="2"/>
  <c r="H326" i="2"/>
  <c r="H301" i="2"/>
  <c r="H276" i="2"/>
  <c r="H251" i="2"/>
  <c r="H226" i="2"/>
  <c r="H201" i="2"/>
  <c r="H176" i="2"/>
  <c r="H151" i="2"/>
  <c r="H126" i="2"/>
  <c r="H101" i="2"/>
  <c r="H76" i="2"/>
  <c r="H51" i="2"/>
  <c r="G51" i="2"/>
  <c r="I51" i="2" s="1"/>
  <c r="K51" i="2" s="1"/>
  <c r="H26" i="2"/>
  <c r="I376" i="2"/>
  <c r="K376" i="2" s="1"/>
  <c r="O376" i="2" s="1"/>
  <c r="I351" i="2"/>
  <c r="K351" i="2" s="1"/>
  <c r="O351" i="2" s="1"/>
  <c r="I326" i="2"/>
  <c r="K326" i="2" s="1"/>
  <c r="O326" i="2" s="1"/>
  <c r="I301" i="2"/>
  <c r="K301" i="2" s="1"/>
  <c r="O301" i="2" s="1"/>
  <c r="I276" i="2"/>
  <c r="K276" i="2" s="1"/>
  <c r="O276" i="2" s="1"/>
  <c r="I251" i="2"/>
  <c r="K251" i="2" s="1"/>
  <c r="O251" i="2" s="1"/>
  <c r="I226" i="2"/>
  <c r="K226" i="2" s="1"/>
  <c r="O226" i="2" s="1"/>
  <c r="I201" i="2"/>
  <c r="K201" i="2" s="1"/>
  <c r="O201" i="2" s="1"/>
  <c r="I176" i="2"/>
  <c r="K176" i="2" s="1"/>
  <c r="I151" i="2"/>
  <c r="K151" i="2" s="1"/>
  <c r="O151" i="2" s="1"/>
  <c r="G126" i="2"/>
  <c r="I101" i="2"/>
  <c r="K101" i="2" s="1"/>
  <c r="O101" i="2" s="1"/>
  <c r="G76" i="2"/>
  <c r="I26" i="2"/>
  <c r="K26" i="2" s="1"/>
  <c r="F376" i="2"/>
  <c r="F351" i="2"/>
  <c r="F326" i="2"/>
  <c r="F301" i="2"/>
  <c r="F276" i="2"/>
  <c r="F251" i="2"/>
  <c r="F226" i="2"/>
  <c r="F201" i="2"/>
  <c r="F176" i="2"/>
  <c r="F151" i="2"/>
  <c r="F126" i="2"/>
  <c r="E133" i="10" s="1"/>
  <c r="F133" i="10" s="1"/>
  <c r="G133" i="10" s="1"/>
  <c r="F101" i="2"/>
  <c r="F76" i="2"/>
  <c r="F51" i="2"/>
  <c r="F26" i="2"/>
  <c r="E126" i="2"/>
  <c r="D133" i="10" s="1"/>
  <c r="E76" i="2"/>
  <c r="F51" i="4"/>
  <c r="H51" i="4" s="1"/>
  <c r="G51" i="4"/>
  <c r="I51" i="4" s="1"/>
  <c r="J51" i="4" s="1"/>
  <c r="K51" i="4" s="1"/>
  <c r="O26" i="2" l="1"/>
  <c r="B28" i="11"/>
  <c r="L26" i="2"/>
  <c r="C28" i="11" s="1"/>
  <c r="N102" i="6"/>
  <c r="M102" i="4"/>
  <c r="M176" i="2"/>
  <c r="N176" i="2" s="1"/>
  <c r="G28" i="11"/>
  <c r="M202" i="4"/>
  <c r="N202" i="6"/>
  <c r="O176" i="2"/>
  <c r="F28" i="11"/>
  <c r="M152" i="4"/>
  <c r="N152" i="6"/>
  <c r="M227" i="4"/>
  <c r="N227" i="6"/>
  <c r="O51" i="2"/>
  <c r="H28" i="11"/>
  <c r="L201" i="2"/>
  <c r="P201" i="2" s="1"/>
  <c r="L226" i="2"/>
  <c r="M226" i="2" s="1"/>
  <c r="N226" i="2" s="1"/>
  <c r="L326" i="2"/>
  <c r="P326" i="2" s="1"/>
  <c r="Q326" i="2" s="1"/>
  <c r="R326" i="2" s="1"/>
  <c r="L151" i="2"/>
  <c r="M151" i="2" s="1"/>
  <c r="N151" i="2" s="1"/>
  <c r="I126" i="2"/>
  <c r="K126" i="2" s="1"/>
  <c r="J51" i="2"/>
  <c r="L51" i="2" s="1"/>
  <c r="J126" i="2"/>
  <c r="L376" i="2"/>
  <c r="M376" i="2" s="1"/>
  <c r="N376" i="2" s="1"/>
  <c r="J76" i="2"/>
  <c r="I76" i="2"/>
  <c r="K76" i="2" s="1"/>
  <c r="L101" i="2"/>
  <c r="M101" i="2" s="1"/>
  <c r="N101" i="2" s="1"/>
  <c r="M26" i="2"/>
  <c r="N26" i="2" s="1"/>
  <c r="P351" i="2"/>
  <c r="Q351" i="2" s="1"/>
  <c r="R351" i="2" s="1"/>
  <c r="L276" i="2"/>
  <c r="M276" i="2" s="1"/>
  <c r="N276" i="2" s="1"/>
  <c r="L251" i="2"/>
  <c r="M251" i="2" s="1"/>
  <c r="N251" i="2" s="1"/>
  <c r="L301" i="2"/>
  <c r="P301" i="2" s="1"/>
  <c r="Q301" i="2" s="1"/>
  <c r="R301" i="2" s="1"/>
  <c r="P176" i="2"/>
  <c r="H224" i="13"/>
  <c r="I224" i="13"/>
  <c r="H196" i="13"/>
  <c r="I196" i="13"/>
  <c r="B168" i="13"/>
  <c r="C168" i="13"/>
  <c r="H168" i="13"/>
  <c r="I168" i="13"/>
  <c r="B140" i="13"/>
  <c r="C140" i="13"/>
  <c r="H140" i="13"/>
  <c r="I140" i="13"/>
  <c r="B112" i="13"/>
  <c r="C112" i="13"/>
  <c r="H112" i="13"/>
  <c r="I112" i="13"/>
  <c r="B84" i="13"/>
  <c r="C84" i="13"/>
  <c r="H84" i="13"/>
  <c r="I84" i="13"/>
  <c r="B56" i="13"/>
  <c r="C56" i="13"/>
  <c r="H56" i="13"/>
  <c r="I56" i="13"/>
  <c r="B28" i="13"/>
  <c r="C28" i="13"/>
  <c r="H28" i="13"/>
  <c r="I28" i="13"/>
  <c r="C12" i="10"/>
  <c r="D12" i="10"/>
  <c r="E12" i="10"/>
  <c r="F12" i="10" s="1"/>
  <c r="G12" i="10" s="1"/>
  <c r="C24" i="10"/>
  <c r="D24" i="10"/>
  <c r="E24" i="10"/>
  <c r="F24" i="10" s="1"/>
  <c r="G24" i="10" s="1"/>
  <c r="C36" i="10"/>
  <c r="D36" i="10"/>
  <c r="E36" i="10"/>
  <c r="F36" i="10" s="1"/>
  <c r="G36" i="10" s="1"/>
  <c r="C48" i="10"/>
  <c r="D48" i="10"/>
  <c r="E48" i="10"/>
  <c r="F48" i="10" s="1"/>
  <c r="G48" i="10" s="1"/>
  <c r="C60" i="10"/>
  <c r="D60" i="10"/>
  <c r="E60" i="10"/>
  <c r="F60" i="10" s="1"/>
  <c r="G60" i="10" s="1"/>
  <c r="C72" i="10"/>
  <c r="D72" i="10"/>
  <c r="E72" i="10"/>
  <c r="F72" i="10" s="1"/>
  <c r="G72" i="10" s="1"/>
  <c r="C84" i="10"/>
  <c r="D84" i="10"/>
  <c r="E84" i="10"/>
  <c r="F84" i="10" s="1"/>
  <c r="G84" i="10" s="1"/>
  <c r="F96" i="10"/>
  <c r="G96" i="10" s="1"/>
  <c r="C108" i="10"/>
  <c r="F108" i="10"/>
  <c r="G108" i="10" s="1"/>
  <c r="C120" i="10"/>
  <c r="D120" i="10"/>
  <c r="E120" i="10"/>
  <c r="F120" i="10" s="1"/>
  <c r="G120" i="10" s="1"/>
  <c r="C132" i="10"/>
  <c r="D132" i="10"/>
  <c r="E132" i="10"/>
  <c r="F132" i="10" s="1"/>
  <c r="G132" i="10" s="1"/>
  <c r="C144" i="10"/>
  <c r="D144" i="10"/>
  <c r="E144" i="10"/>
  <c r="F144" i="10" s="1"/>
  <c r="G144" i="10" s="1"/>
  <c r="C156" i="10"/>
  <c r="D156" i="10"/>
  <c r="E156" i="10"/>
  <c r="F156" i="10" s="1"/>
  <c r="G156" i="10" s="1"/>
  <c r="C168" i="10"/>
  <c r="D168" i="10"/>
  <c r="E168" i="10"/>
  <c r="F168" i="10" s="1"/>
  <c r="G168" i="10" s="1"/>
  <c r="C180" i="10"/>
  <c r="D180" i="10"/>
  <c r="E180" i="10"/>
  <c r="F180" i="10" s="1"/>
  <c r="G180" i="10" s="1"/>
  <c r="C192" i="10"/>
  <c r="D192" i="10"/>
  <c r="E192" i="10"/>
  <c r="F192" i="10" s="1"/>
  <c r="G192" i="10" s="1"/>
  <c r="D67" i="12"/>
  <c r="D56" i="12"/>
  <c r="D45" i="12"/>
  <c r="D34" i="12"/>
  <c r="D23" i="12"/>
  <c r="D12" i="12"/>
  <c r="I376" i="6"/>
  <c r="J376" i="6"/>
  <c r="K376" i="6" s="1"/>
  <c r="L376" i="6" s="1"/>
  <c r="I351" i="6"/>
  <c r="J351" i="6"/>
  <c r="K351" i="6" s="1"/>
  <c r="L351" i="6" s="1"/>
  <c r="I326" i="6"/>
  <c r="J326" i="6"/>
  <c r="K326" i="6" s="1"/>
  <c r="L326" i="6" s="1"/>
  <c r="I301" i="6"/>
  <c r="J301" i="6"/>
  <c r="K301" i="6" s="1"/>
  <c r="L301" i="6" s="1"/>
  <c r="I276" i="6"/>
  <c r="J276" i="6"/>
  <c r="K276" i="6" s="1"/>
  <c r="L276" i="6" s="1"/>
  <c r="I251" i="6"/>
  <c r="J251" i="6"/>
  <c r="K251" i="6" s="1"/>
  <c r="L251" i="6" s="1"/>
  <c r="M201" i="2" l="1"/>
  <c r="N201" i="2" s="1"/>
  <c r="L126" i="2"/>
  <c r="M126" i="2" s="1"/>
  <c r="N126" i="2" s="1"/>
  <c r="P226" i="2"/>
  <c r="I28" i="11"/>
  <c r="M51" i="2"/>
  <c r="N51" i="2" s="1"/>
  <c r="P51" i="2"/>
  <c r="Q201" i="2"/>
  <c r="R201" i="2" s="1"/>
  <c r="O202" i="6"/>
  <c r="N202" i="4"/>
  <c r="O76" i="2"/>
  <c r="J28" i="11"/>
  <c r="O126" i="2"/>
  <c r="D28" i="11"/>
  <c r="N52" i="6"/>
  <c r="M52" i="4"/>
  <c r="T227" i="6"/>
  <c r="Y227" i="6" s="1"/>
  <c r="H85" i="18" s="1"/>
  <c r="Q227" i="4"/>
  <c r="V227" i="4" s="1"/>
  <c r="H56" i="18" s="1"/>
  <c r="T152" i="6"/>
  <c r="Y152" i="6" s="1"/>
  <c r="D85" i="18" s="1"/>
  <c r="S85" i="18" s="1"/>
  <c r="Q176" i="2"/>
  <c r="R176" i="2" s="1"/>
  <c r="N177" i="4"/>
  <c r="O177" i="6"/>
  <c r="Q152" i="4"/>
  <c r="V152" i="4" s="1"/>
  <c r="D56" i="18" s="1"/>
  <c r="S56" i="18" s="1"/>
  <c r="Q226" i="2"/>
  <c r="R226" i="2" s="1"/>
  <c r="O227" i="6"/>
  <c r="N227" i="4"/>
  <c r="P151" i="2"/>
  <c r="M177" i="4"/>
  <c r="N177" i="6"/>
  <c r="T202" i="6"/>
  <c r="Y202" i="6" s="1"/>
  <c r="F85" i="18" s="1"/>
  <c r="U85" i="18" s="1"/>
  <c r="Q202" i="4"/>
  <c r="V202" i="4" s="1"/>
  <c r="F56" i="18" s="1"/>
  <c r="U56" i="18" s="1"/>
  <c r="M326" i="2"/>
  <c r="N326" i="2" s="1"/>
  <c r="Q102" i="4"/>
  <c r="V102" i="4" s="1"/>
  <c r="B56" i="18" s="1"/>
  <c r="Q56" i="18" s="1"/>
  <c r="T102" i="6"/>
  <c r="Y102" i="6" s="1"/>
  <c r="B85" i="18" s="1"/>
  <c r="Q85" i="18" s="1"/>
  <c r="P26" i="2"/>
  <c r="M27" i="4"/>
  <c r="N27" i="6"/>
  <c r="P376" i="2"/>
  <c r="Q376" i="2" s="1"/>
  <c r="R376" i="2" s="1"/>
  <c r="P101" i="2"/>
  <c r="D168" i="13"/>
  <c r="E168" i="13" s="1"/>
  <c r="P126" i="2"/>
  <c r="D28" i="13"/>
  <c r="M301" i="2"/>
  <c r="N301" i="2" s="1"/>
  <c r="J84" i="13"/>
  <c r="P276" i="2"/>
  <c r="Q276" i="2" s="1"/>
  <c r="R276" i="2" s="1"/>
  <c r="J224" i="13"/>
  <c r="K224" i="13" s="1"/>
  <c r="L76" i="2"/>
  <c r="K28" i="11" s="1"/>
  <c r="J196" i="13"/>
  <c r="P251" i="2"/>
  <c r="Q251" i="2" s="1"/>
  <c r="R251" i="2" s="1"/>
  <c r="J56" i="13"/>
  <c r="D140" i="13"/>
  <c r="J168" i="13"/>
  <c r="J140" i="13"/>
  <c r="K140" i="13" s="1"/>
  <c r="J112" i="13"/>
  <c r="D112" i="13"/>
  <c r="D84" i="13"/>
  <c r="E84" i="13" s="1"/>
  <c r="D56" i="13"/>
  <c r="J28" i="13"/>
  <c r="E28" i="11" l="1"/>
  <c r="V227" i="6"/>
  <c r="W227" i="6" s="1"/>
  <c r="Z227" i="6"/>
  <c r="S202" i="4"/>
  <c r="T202" i="4" s="1"/>
  <c r="W202" i="4"/>
  <c r="S227" i="4"/>
  <c r="T227" i="4" s="1"/>
  <c r="W227" i="4"/>
  <c r="V202" i="6"/>
  <c r="W202" i="6" s="1"/>
  <c r="Z202" i="6"/>
  <c r="T177" i="6"/>
  <c r="Y177" i="6" s="1"/>
  <c r="F86" i="11" s="1"/>
  <c r="W86" i="11" s="1"/>
  <c r="Q151" i="2"/>
  <c r="R151" i="2" s="1"/>
  <c r="O152" i="6"/>
  <c r="N152" i="4"/>
  <c r="Q177" i="4"/>
  <c r="V177" i="4" s="1"/>
  <c r="F57" i="11" s="1"/>
  <c r="W57" i="11" s="1"/>
  <c r="W56" i="18"/>
  <c r="Y56" i="18" s="1"/>
  <c r="J56" i="18"/>
  <c r="W85" i="18"/>
  <c r="Y85" i="18" s="1"/>
  <c r="J85" i="18"/>
  <c r="Q126" i="2"/>
  <c r="R126" i="2" s="1"/>
  <c r="N127" i="4"/>
  <c r="O127" i="6"/>
  <c r="T52" i="6"/>
  <c r="Y52" i="6" s="1"/>
  <c r="H86" i="11" s="1"/>
  <c r="Y86" i="11" s="1"/>
  <c r="Q101" i="2"/>
  <c r="R101" i="2" s="1"/>
  <c r="O102" i="6"/>
  <c r="N102" i="4"/>
  <c r="T27" i="6"/>
  <c r="Y27" i="6" s="1"/>
  <c r="B86" i="11" s="1"/>
  <c r="S86" i="11" s="1"/>
  <c r="Q51" i="2"/>
  <c r="R51" i="2" s="1"/>
  <c r="N52" i="4"/>
  <c r="O52" i="6"/>
  <c r="Q52" i="4"/>
  <c r="V52" i="4" s="1"/>
  <c r="H57" i="11" s="1"/>
  <c r="Y57" i="11" s="1"/>
  <c r="Q27" i="4"/>
  <c r="V27" i="4" s="1"/>
  <c r="B57" i="11" s="1"/>
  <c r="S57" i="11" s="1"/>
  <c r="N77" i="6"/>
  <c r="M77" i="4"/>
  <c r="M127" i="4"/>
  <c r="N127" i="6"/>
  <c r="Q26" i="2"/>
  <c r="R26" i="2" s="1"/>
  <c r="O27" i="6"/>
  <c r="N27" i="4"/>
  <c r="M76" i="2"/>
  <c r="N76" i="2" s="1"/>
  <c r="P76" i="2"/>
  <c r="H376" i="4"/>
  <c r="I376" i="4"/>
  <c r="H351" i="4"/>
  <c r="I351" i="4"/>
  <c r="H326" i="4"/>
  <c r="I326" i="4"/>
  <c r="H301" i="4"/>
  <c r="I301" i="4"/>
  <c r="H276" i="4"/>
  <c r="I276" i="4"/>
  <c r="J276" i="4" s="1"/>
  <c r="K276" i="4" s="1"/>
  <c r="H251" i="4"/>
  <c r="I251" i="4"/>
  <c r="J251" i="4" s="1"/>
  <c r="K251" i="4" s="1"/>
  <c r="W52" i="4" l="1"/>
  <c r="S52" i="4"/>
  <c r="T52" i="4" s="1"/>
  <c r="S27" i="4"/>
  <c r="T27" i="4" s="1"/>
  <c r="W27" i="4"/>
  <c r="S102" i="4"/>
  <c r="T102" i="4" s="1"/>
  <c r="W102" i="4"/>
  <c r="V52" i="6"/>
  <c r="W52" i="6" s="1"/>
  <c r="Z52" i="6"/>
  <c r="V102" i="6"/>
  <c r="W102" i="6" s="1"/>
  <c r="Z102" i="6"/>
  <c r="G85" i="18"/>
  <c r="V85" i="18" s="1"/>
  <c r="AA202" i="6"/>
  <c r="S177" i="4"/>
  <c r="T177" i="4" s="1"/>
  <c r="W177" i="4"/>
  <c r="V152" i="6"/>
  <c r="W152" i="6" s="1"/>
  <c r="Z152" i="6"/>
  <c r="V177" i="6"/>
  <c r="W177" i="6" s="1"/>
  <c r="Z177" i="6"/>
  <c r="Q127" i="4"/>
  <c r="V127" i="4" s="1"/>
  <c r="D57" i="11" s="1"/>
  <c r="U57" i="11" s="1"/>
  <c r="Q77" i="4"/>
  <c r="V77" i="4" s="1"/>
  <c r="J57" i="11" s="1"/>
  <c r="I56" i="18"/>
  <c r="X56" i="18" s="1"/>
  <c r="X227" i="4"/>
  <c r="V27" i="6"/>
  <c r="W27" i="6" s="1"/>
  <c r="Z27" i="6"/>
  <c r="S152" i="4"/>
  <c r="T152" i="4" s="1"/>
  <c r="W152" i="4"/>
  <c r="T77" i="6"/>
  <c r="Y77" i="6" s="1"/>
  <c r="J86" i="11" s="1"/>
  <c r="Q76" i="2"/>
  <c r="R76" i="2" s="1"/>
  <c r="O77" i="6"/>
  <c r="N77" i="4"/>
  <c r="T127" i="6"/>
  <c r="Y127" i="6" s="1"/>
  <c r="D86" i="11" s="1"/>
  <c r="U86" i="11" s="1"/>
  <c r="X202" i="4"/>
  <c r="G56" i="18"/>
  <c r="V56" i="18" s="1"/>
  <c r="I85" i="18"/>
  <c r="X85" i="18" s="1"/>
  <c r="AA227" i="6"/>
  <c r="J351" i="4"/>
  <c r="K351" i="4" s="1"/>
  <c r="J376" i="4"/>
  <c r="K376" i="4" s="1"/>
  <c r="J301" i="4"/>
  <c r="K301" i="4" s="1"/>
  <c r="J326" i="4"/>
  <c r="K326" i="4" s="1"/>
  <c r="V77" i="6" l="1"/>
  <c r="W77" i="6" s="1"/>
  <c r="Z77" i="6"/>
  <c r="Y227" i="4"/>
  <c r="Z227" i="4"/>
  <c r="W127" i="4"/>
  <c r="S127" i="4"/>
  <c r="T127" i="4" s="1"/>
  <c r="E56" i="18"/>
  <c r="T56" i="18" s="1"/>
  <c r="X152" i="4"/>
  <c r="C86" i="11"/>
  <c r="T86" i="11" s="1"/>
  <c r="AA27" i="6"/>
  <c r="AA86" i="11"/>
  <c r="AC86" i="11" s="1"/>
  <c r="L86" i="11"/>
  <c r="C56" i="18"/>
  <c r="X102" i="4"/>
  <c r="G86" i="11"/>
  <c r="X86" i="11" s="1"/>
  <c r="AA177" i="6"/>
  <c r="G57" i="11"/>
  <c r="X57" i="11" s="1"/>
  <c r="X177" i="4"/>
  <c r="W77" i="4"/>
  <c r="S77" i="4"/>
  <c r="T77" i="4" s="1"/>
  <c r="AA152" i="6"/>
  <c r="E85" i="18"/>
  <c r="T85" i="18" s="1"/>
  <c r="AB227" i="6"/>
  <c r="AC227" i="6"/>
  <c r="Y202" i="4"/>
  <c r="Z202" i="4"/>
  <c r="X27" i="4"/>
  <c r="C57" i="11"/>
  <c r="T57" i="11" s="1"/>
  <c r="AB202" i="6"/>
  <c r="AC202" i="6"/>
  <c r="V127" i="6"/>
  <c r="W127" i="6" s="1"/>
  <c r="Z127" i="6"/>
  <c r="C85" i="18"/>
  <c r="AA102" i="6"/>
  <c r="AA57" i="11"/>
  <c r="AC57" i="11" s="1"/>
  <c r="L57" i="11"/>
  <c r="I86" i="11"/>
  <c r="Z86" i="11" s="1"/>
  <c r="AA52" i="6"/>
  <c r="I57" i="11"/>
  <c r="Z57" i="11" s="1"/>
  <c r="X52" i="4"/>
  <c r="I226" i="6"/>
  <c r="J226" i="6"/>
  <c r="K226" i="6" s="1"/>
  <c r="L226" i="6" s="1"/>
  <c r="I201" i="6"/>
  <c r="J201" i="6"/>
  <c r="K201" i="6" s="1"/>
  <c r="L201" i="6" s="1"/>
  <c r="I176" i="6"/>
  <c r="J176" i="6"/>
  <c r="K176" i="6" s="1"/>
  <c r="L176" i="6" s="1"/>
  <c r="I151" i="6"/>
  <c r="J151" i="6"/>
  <c r="K151" i="6" s="1"/>
  <c r="L151" i="6" s="1"/>
  <c r="I126" i="6"/>
  <c r="J126" i="6"/>
  <c r="K126" i="6" s="1"/>
  <c r="L126" i="6" s="1"/>
  <c r="I101" i="6"/>
  <c r="J101" i="6"/>
  <c r="K101" i="6" s="1"/>
  <c r="L101" i="6" s="1"/>
  <c r="I76" i="6"/>
  <c r="J76" i="6"/>
  <c r="K76" i="6" s="1"/>
  <c r="L76" i="6" s="1"/>
  <c r="I51" i="6"/>
  <c r="J51" i="6"/>
  <c r="K51" i="6" s="1"/>
  <c r="L51" i="6" s="1"/>
  <c r="I26" i="6"/>
  <c r="J26" i="6"/>
  <c r="K26" i="6" s="1"/>
  <c r="L26" i="6" s="1"/>
  <c r="O126" i="4"/>
  <c r="O76" i="4" s="1"/>
  <c r="P126" i="4"/>
  <c r="P76" i="4" s="1"/>
  <c r="F76" i="4"/>
  <c r="H76" i="4" s="1"/>
  <c r="G76" i="4"/>
  <c r="I76" i="4" s="1"/>
  <c r="J76" i="4" s="1"/>
  <c r="K76" i="4" s="1"/>
  <c r="O26" i="4"/>
  <c r="O51" i="4" s="1"/>
  <c r="P26" i="4"/>
  <c r="H226" i="4"/>
  <c r="I226" i="4"/>
  <c r="J226" i="4" s="1"/>
  <c r="K226" i="4" s="1"/>
  <c r="H201" i="4"/>
  <c r="I201" i="4"/>
  <c r="J201" i="4" s="1"/>
  <c r="K201" i="4" s="1"/>
  <c r="H176" i="4"/>
  <c r="I176" i="4"/>
  <c r="J176" i="4" s="1"/>
  <c r="K176" i="4" s="1"/>
  <c r="H151" i="4"/>
  <c r="I151" i="4"/>
  <c r="J151" i="4" s="1"/>
  <c r="K151" i="4" s="1"/>
  <c r="H126" i="4"/>
  <c r="I126" i="4"/>
  <c r="J126" i="4" s="1"/>
  <c r="K126" i="4" s="1"/>
  <c r="H101" i="4"/>
  <c r="I101" i="4"/>
  <c r="J101" i="4" s="1"/>
  <c r="K101" i="4" s="1"/>
  <c r="O25" i="4"/>
  <c r="I26" i="4"/>
  <c r="J26" i="4" s="1"/>
  <c r="K26" i="4" s="1"/>
  <c r="E86" i="11" l="1"/>
  <c r="AA127" i="6"/>
  <c r="Y52" i="4"/>
  <c r="Z52" i="4"/>
  <c r="Z102" i="4"/>
  <c r="Y102" i="4"/>
  <c r="R56" i="18"/>
  <c r="K56" i="18"/>
  <c r="L56" i="18" s="1"/>
  <c r="M56" i="18" s="1"/>
  <c r="Z56" i="18" s="1"/>
  <c r="AC27" i="6"/>
  <c r="AB27" i="6"/>
  <c r="AB52" i="6"/>
  <c r="AC52" i="6"/>
  <c r="X77" i="4"/>
  <c r="K57" i="11"/>
  <c r="AB57" i="11" s="1"/>
  <c r="X127" i="4"/>
  <c r="E57" i="11"/>
  <c r="Y152" i="4"/>
  <c r="Z152" i="4"/>
  <c r="Z27" i="4"/>
  <c r="Y27" i="4"/>
  <c r="AB152" i="6"/>
  <c r="AC152" i="6"/>
  <c r="Y177" i="4"/>
  <c r="Z177" i="4"/>
  <c r="AB102" i="6"/>
  <c r="AC102" i="6"/>
  <c r="K86" i="11"/>
  <c r="AB86" i="11" s="1"/>
  <c r="AA77" i="6"/>
  <c r="AB177" i="6"/>
  <c r="AC177" i="6"/>
  <c r="R85" i="18"/>
  <c r="K85" i="18"/>
  <c r="L85" i="18" s="1"/>
  <c r="M85" i="18" s="1"/>
  <c r="Z85" i="18" s="1"/>
  <c r="P51" i="4"/>
  <c r="AB77" i="6" l="1"/>
  <c r="AC77" i="6"/>
  <c r="V57" i="11"/>
  <c r="M57" i="11"/>
  <c r="N57" i="11" s="1"/>
  <c r="O57" i="11" s="1"/>
  <c r="AD57" i="11" s="1"/>
  <c r="Z77" i="4"/>
  <c r="Y77" i="4"/>
  <c r="Y127" i="4"/>
  <c r="Z127" i="4"/>
  <c r="AB127" i="6"/>
  <c r="AC127" i="6"/>
  <c r="V86" i="11"/>
  <c r="M86" i="11"/>
  <c r="N86" i="11" s="1"/>
  <c r="O86" i="11" s="1"/>
  <c r="AD86" i="11" s="1"/>
  <c r="I375" i="2"/>
  <c r="K375" i="2" s="1"/>
  <c r="O375" i="2" s="1"/>
  <c r="J375" i="2"/>
  <c r="I350" i="2"/>
  <c r="K350" i="2" s="1"/>
  <c r="O350" i="2" s="1"/>
  <c r="J350" i="2"/>
  <c r="I325" i="2"/>
  <c r="K325" i="2" s="1"/>
  <c r="O325" i="2" s="1"/>
  <c r="J325" i="2"/>
  <c r="I300" i="2"/>
  <c r="K300" i="2" s="1"/>
  <c r="J300" i="2"/>
  <c r="I275" i="2"/>
  <c r="K275" i="2" s="1"/>
  <c r="J275" i="2"/>
  <c r="I250" i="2"/>
  <c r="K250" i="2" s="1"/>
  <c r="J250" i="2"/>
  <c r="I225" i="2"/>
  <c r="K225" i="2" s="1"/>
  <c r="H27" i="18" s="1"/>
  <c r="J225" i="2"/>
  <c r="I200" i="2"/>
  <c r="K200" i="2" s="1"/>
  <c r="J200" i="2"/>
  <c r="I175" i="2"/>
  <c r="K175" i="2" s="1"/>
  <c r="F27" i="11" s="1"/>
  <c r="J175" i="2"/>
  <c r="I150" i="2"/>
  <c r="K150" i="2" s="1"/>
  <c r="D27" i="18" s="1"/>
  <c r="J150" i="2"/>
  <c r="I100" i="2"/>
  <c r="K100" i="2" s="1"/>
  <c r="J100" i="2"/>
  <c r="I125" i="2"/>
  <c r="K125" i="2" s="1"/>
  <c r="J125" i="2"/>
  <c r="L375" i="2" l="1"/>
  <c r="M27" i="19" s="1"/>
  <c r="L225" i="2"/>
  <c r="I27" i="18" s="1"/>
  <c r="L100" i="2"/>
  <c r="L325" i="2"/>
  <c r="L200" i="2"/>
  <c r="G27" i="18" s="1"/>
  <c r="L250" i="2"/>
  <c r="C27" i="19" s="1"/>
  <c r="L300" i="2"/>
  <c r="P300" i="2" s="1"/>
  <c r="L175" i="2"/>
  <c r="G27" i="11" s="1"/>
  <c r="L150" i="2"/>
  <c r="E27" i="18" s="1"/>
  <c r="L350" i="2"/>
  <c r="K27" i="19" s="1"/>
  <c r="I27" i="19"/>
  <c r="P325" i="2"/>
  <c r="M325" i="2"/>
  <c r="N325" i="2" s="1"/>
  <c r="M367" i="22"/>
  <c r="M376" i="4"/>
  <c r="M368" i="20"/>
  <c r="N376" i="6"/>
  <c r="M343" i="20"/>
  <c r="N351" i="6"/>
  <c r="M342" i="22"/>
  <c r="M351" i="4"/>
  <c r="D27" i="11"/>
  <c r="O125" i="2"/>
  <c r="D27" i="19"/>
  <c r="C23" i="12"/>
  <c r="E23" i="12" s="1"/>
  <c r="O275" i="2"/>
  <c r="M317" i="22"/>
  <c r="M326" i="4"/>
  <c r="M318" i="20"/>
  <c r="N326" i="6"/>
  <c r="L275" i="2"/>
  <c r="O200" i="2"/>
  <c r="F27" i="18"/>
  <c r="B27" i="19"/>
  <c r="C12" i="12"/>
  <c r="E12" i="12" s="1"/>
  <c r="O150" i="2"/>
  <c r="M100" i="2"/>
  <c r="N100" i="2" s="1"/>
  <c r="C27" i="18"/>
  <c r="L125" i="2"/>
  <c r="E27" i="11" s="1"/>
  <c r="O100" i="2"/>
  <c r="B27" i="18"/>
  <c r="O175" i="2"/>
  <c r="O225" i="2"/>
  <c r="O250" i="2"/>
  <c r="O300" i="2"/>
  <c r="F27" i="19"/>
  <c r="C34" i="12"/>
  <c r="E34" i="12" s="1"/>
  <c r="C45" i="12"/>
  <c r="E45" i="12" s="1"/>
  <c r="H27" i="19"/>
  <c r="C56" i="12"/>
  <c r="E56" i="12" s="1"/>
  <c r="J27" i="19"/>
  <c r="C67" i="12"/>
  <c r="E67" i="12" s="1"/>
  <c r="L27" i="19"/>
  <c r="P375" i="2"/>
  <c r="M375" i="2"/>
  <c r="N375" i="2" s="1"/>
  <c r="P250" i="2"/>
  <c r="M250" i="2"/>
  <c r="N250" i="2" s="1"/>
  <c r="M225" i="2"/>
  <c r="N225" i="2" s="1"/>
  <c r="P225" i="2"/>
  <c r="M200" i="2"/>
  <c r="N200" i="2" s="1"/>
  <c r="P200" i="2"/>
  <c r="P100" i="2"/>
  <c r="I75" i="2"/>
  <c r="K75" i="2" s="1"/>
  <c r="J75" i="2"/>
  <c r="I50" i="2"/>
  <c r="K50" i="2" s="1"/>
  <c r="J50" i="2"/>
  <c r="I25" i="2"/>
  <c r="K25" i="2" s="1"/>
  <c r="B27" i="11" s="1"/>
  <c r="J25" i="2"/>
  <c r="P150" i="2" l="1"/>
  <c r="M150" i="2"/>
  <c r="N150" i="2" s="1"/>
  <c r="M125" i="2"/>
  <c r="N125" i="2" s="1"/>
  <c r="P125" i="2"/>
  <c r="M175" i="2"/>
  <c r="N175" i="2" s="1"/>
  <c r="G27" i="19"/>
  <c r="M300" i="2"/>
  <c r="N300" i="2" s="1"/>
  <c r="P175" i="2"/>
  <c r="N176" i="4" s="1"/>
  <c r="L25" i="2"/>
  <c r="M25" i="2" s="1"/>
  <c r="N25" i="2" s="1"/>
  <c r="P350" i="2"/>
  <c r="O351" i="6" s="1"/>
  <c r="M350" i="2"/>
  <c r="N350" i="2" s="1"/>
  <c r="N27" i="19"/>
  <c r="Q250" i="2"/>
  <c r="R250" i="2" s="1"/>
  <c r="N243" i="20"/>
  <c r="O251" i="6"/>
  <c r="N242" i="22"/>
  <c r="N251" i="4"/>
  <c r="M293" i="20"/>
  <c r="N301" i="6"/>
  <c r="M292" i="22"/>
  <c r="M301" i="4"/>
  <c r="M275" i="2"/>
  <c r="N275" i="2" s="1"/>
  <c r="E27" i="19"/>
  <c r="P275" i="2"/>
  <c r="Q317" i="22"/>
  <c r="Q150" i="2"/>
  <c r="R150" i="2" s="1"/>
  <c r="N147" i="20"/>
  <c r="O151" i="6"/>
  <c r="N146" i="22"/>
  <c r="N151" i="4"/>
  <c r="Q343" i="20"/>
  <c r="Q367" i="22"/>
  <c r="O50" i="2"/>
  <c r="H27" i="11"/>
  <c r="O25" i="2"/>
  <c r="L75" i="2"/>
  <c r="K27" i="11" s="1"/>
  <c r="Q100" i="2"/>
  <c r="R100" i="2" s="1"/>
  <c r="N99" i="20"/>
  <c r="O101" i="6"/>
  <c r="N98" i="22"/>
  <c r="N101" i="4"/>
  <c r="Q225" i="2"/>
  <c r="R225" i="2" s="1"/>
  <c r="N218" i="22"/>
  <c r="N226" i="4"/>
  <c r="N219" i="20"/>
  <c r="O226" i="6"/>
  <c r="Q375" i="2"/>
  <c r="R375" i="2" s="1"/>
  <c r="N367" i="22"/>
  <c r="N376" i="4"/>
  <c r="N368" i="20"/>
  <c r="O376" i="6"/>
  <c r="M243" i="20"/>
  <c r="N251" i="6"/>
  <c r="M242" i="22"/>
  <c r="M251" i="4"/>
  <c r="M99" i="20"/>
  <c r="N101" i="6"/>
  <c r="M98" i="22"/>
  <c r="M101" i="4"/>
  <c r="M147" i="20"/>
  <c r="N151" i="6"/>
  <c r="M146" i="22"/>
  <c r="M151" i="4"/>
  <c r="M195" i="20"/>
  <c r="N201" i="6"/>
  <c r="M194" i="22"/>
  <c r="M201" i="4"/>
  <c r="T326" i="6"/>
  <c r="Y326" i="6" s="1"/>
  <c r="H83" i="19" s="1"/>
  <c r="M267" i="22"/>
  <c r="M276" i="4"/>
  <c r="M268" i="20"/>
  <c r="N276" i="6"/>
  <c r="Q351" i="4"/>
  <c r="V351" i="4" s="1"/>
  <c r="J55" i="19" s="1"/>
  <c r="T376" i="6"/>
  <c r="Y376" i="6" s="1"/>
  <c r="L83" i="19" s="1"/>
  <c r="O75" i="2"/>
  <c r="J27" i="11"/>
  <c r="M218" i="22"/>
  <c r="M226" i="4"/>
  <c r="M219" i="20"/>
  <c r="N226" i="6"/>
  <c r="Q318" i="20"/>
  <c r="Q342" i="22"/>
  <c r="Q368" i="20"/>
  <c r="Q325" i="2"/>
  <c r="R325" i="2" s="1"/>
  <c r="N317" i="22"/>
  <c r="N326" i="4"/>
  <c r="N318" i="20"/>
  <c r="O326" i="6"/>
  <c r="L50" i="2"/>
  <c r="I27" i="11" s="1"/>
  <c r="Q125" i="2"/>
  <c r="R125" i="2" s="1"/>
  <c r="N122" i="22"/>
  <c r="N126" i="4"/>
  <c r="N123" i="20"/>
  <c r="O126" i="6"/>
  <c r="Q200" i="2"/>
  <c r="R200" i="2" s="1"/>
  <c r="N195" i="20"/>
  <c r="O201" i="6"/>
  <c r="N194" i="22"/>
  <c r="N201" i="4"/>
  <c r="M170" i="22"/>
  <c r="M176" i="4"/>
  <c r="M171" i="20"/>
  <c r="N176" i="6"/>
  <c r="Q300" i="2"/>
  <c r="R300" i="2" s="1"/>
  <c r="N293" i="20"/>
  <c r="O301" i="6"/>
  <c r="N292" i="22"/>
  <c r="N301" i="4"/>
  <c r="Q326" i="4"/>
  <c r="V326" i="4" s="1"/>
  <c r="H55" i="19" s="1"/>
  <c r="M122" i="22"/>
  <c r="M126" i="4"/>
  <c r="M123" i="20"/>
  <c r="N126" i="6"/>
  <c r="T351" i="6"/>
  <c r="Y351" i="6" s="1"/>
  <c r="J83" i="19" s="1"/>
  <c r="Q376" i="4"/>
  <c r="V376" i="4" s="1"/>
  <c r="L55" i="19" s="1"/>
  <c r="A367" i="22"/>
  <c r="B367" i="22"/>
  <c r="C367" i="22"/>
  <c r="D367" i="22"/>
  <c r="E367" i="22"/>
  <c r="A342" i="22"/>
  <c r="B342" i="22"/>
  <c r="C342" i="22"/>
  <c r="D342" i="22"/>
  <c r="E342" i="22"/>
  <c r="A317" i="22"/>
  <c r="B317" i="22"/>
  <c r="C317" i="22"/>
  <c r="D317" i="22"/>
  <c r="E317" i="22"/>
  <c r="A292" i="22"/>
  <c r="B292" i="22"/>
  <c r="C292" i="22"/>
  <c r="D292" i="22"/>
  <c r="E292" i="22"/>
  <c r="A267" i="22"/>
  <c r="B267" i="22"/>
  <c r="C267" i="22"/>
  <c r="D267" i="22"/>
  <c r="E267" i="22"/>
  <c r="A242" i="22"/>
  <c r="B242" i="22"/>
  <c r="C242" i="22"/>
  <c r="D242" i="22"/>
  <c r="E242" i="22"/>
  <c r="A218" i="22"/>
  <c r="B218" i="22"/>
  <c r="C218" i="22"/>
  <c r="D218" i="22"/>
  <c r="E218" i="22"/>
  <c r="A194" i="22"/>
  <c r="B194" i="22"/>
  <c r="C194" i="22"/>
  <c r="D194" i="22"/>
  <c r="E194" i="22"/>
  <c r="A170" i="22"/>
  <c r="B170" i="22"/>
  <c r="C170" i="22"/>
  <c r="D170" i="22"/>
  <c r="E170" i="22"/>
  <c r="A146" i="22"/>
  <c r="B146" i="22"/>
  <c r="C146" i="22"/>
  <c r="D146" i="22"/>
  <c r="E146" i="22"/>
  <c r="A122" i="22"/>
  <c r="B122" i="22"/>
  <c r="C122" i="22"/>
  <c r="D122" i="22"/>
  <c r="E122" i="22"/>
  <c r="A98" i="22"/>
  <c r="B98" i="22"/>
  <c r="C98" i="22"/>
  <c r="D98" i="22"/>
  <c r="E98" i="22"/>
  <c r="A74" i="22"/>
  <c r="B74" i="22"/>
  <c r="C74" i="22"/>
  <c r="D74" i="22"/>
  <c r="E74" i="22"/>
  <c r="A50" i="22"/>
  <c r="B50" i="22"/>
  <c r="C50" i="22"/>
  <c r="D50" i="22"/>
  <c r="E50" i="22"/>
  <c r="A26" i="22"/>
  <c r="B26" i="22"/>
  <c r="C26" i="22"/>
  <c r="D26" i="22"/>
  <c r="E26" i="22"/>
  <c r="A368" i="20"/>
  <c r="B368" i="20"/>
  <c r="C368" i="20"/>
  <c r="D368" i="20"/>
  <c r="E368" i="20"/>
  <c r="A343" i="20"/>
  <c r="B343" i="20"/>
  <c r="C343" i="20"/>
  <c r="D343" i="20"/>
  <c r="E343" i="20"/>
  <c r="A318" i="20"/>
  <c r="B318" i="20"/>
  <c r="C318" i="20"/>
  <c r="D318" i="20"/>
  <c r="E318" i="20"/>
  <c r="A293" i="20"/>
  <c r="B293" i="20"/>
  <c r="C293" i="20"/>
  <c r="D293" i="20"/>
  <c r="E293" i="20"/>
  <c r="A268" i="20"/>
  <c r="B268" i="20"/>
  <c r="C268" i="20"/>
  <c r="D268" i="20"/>
  <c r="E268" i="20"/>
  <c r="A243" i="20"/>
  <c r="B243" i="20"/>
  <c r="C243" i="20"/>
  <c r="D243" i="20"/>
  <c r="E243" i="20"/>
  <c r="A219" i="20"/>
  <c r="B219" i="20"/>
  <c r="C219" i="20"/>
  <c r="D219" i="20"/>
  <c r="E219" i="20"/>
  <c r="A195" i="20"/>
  <c r="B195" i="20"/>
  <c r="C195" i="20"/>
  <c r="D195" i="20"/>
  <c r="E195" i="20"/>
  <c r="A171" i="20"/>
  <c r="B171" i="20"/>
  <c r="C171" i="20"/>
  <c r="D171" i="20"/>
  <c r="E171" i="20"/>
  <c r="A147" i="20"/>
  <c r="B147" i="20"/>
  <c r="C147" i="20"/>
  <c r="D147" i="20"/>
  <c r="E147" i="20"/>
  <c r="A123" i="20"/>
  <c r="B123" i="20"/>
  <c r="C123" i="20"/>
  <c r="D123" i="20"/>
  <c r="E123" i="20"/>
  <c r="A99" i="20"/>
  <c r="B99" i="20"/>
  <c r="C99" i="20"/>
  <c r="D99" i="20"/>
  <c r="E99" i="20"/>
  <c r="A75" i="20"/>
  <c r="B75" i="20"/>
  <c r="C75" i="20"/>
  <c r="D75" i="20"/>
  <c r="E75" i="20"/>
  <c r="A51" i="20"/>
  <c r="B51" i="20"/>
  <c r="C51" i="20"/>
  <c r="D51" i="20"/>
  <c r="E51" i="20"/>
  <c r="A26" i="20"/>
  <c r="B26" i="20"/>
  <c r="C26" i="20"/>
  <c r="D26" i="20"/>
  <c r="E26" i="20"/>
  <c r="A376" i="6"/>
  <c r="B376" i="6"/>
  <c r="C376" i="6"/>
  <c r="D376" i="6"/>
  <c r="A351" i="6"/>
  <c r="B351" i="6"/>
  <c r="C351" i="6"/>
  <c r="D351" i="6"/>
  <c r="A326" i="6"/>
  <c r="B326" i="6"/>
  <c r="C326" i="6"/>
  <c r="D326" i="6"/>
  <c r="A301" i="6"/>
  <c r="B301" i="6"/>
  <c r="C301" i="6"/>
  <c r="D301" i="6"/>
  <c r="A276" i="6"/>
  <c r="B276" i="6"/>
  <c r="C276" i="6"/>
  <c r="D276" i="6"/>
  <c r="A251" i="6"/>
  <c r="B251" i="6"/>
  <c r="C251" i="6"/>
  <c r="D251" i="6"/>
  <c r="A226" i="6"/>
  <c r="B226" i="6"/>
  <c r="C226" i="6"/>
  <c r="D226" i="6"/>
  <c r="A201" i="6"/>
  <c r="B201" i="6"/>
  <c r="C201" i="6"/>
  <c r="D201" i="6"/>
  <c r="A176" i="6"/>
  <c r="B176" i="6"/>
  <c r="C176" i="6"/>
  <c r="D176" i="6"/>
  <c r="A151" i="6"/>
  <c r="B151" i="6"/>
  <c r="C151" i="6"/>
  <c r="D151" i="6"/>
  <c r="A126" i="6"/>
  <c r="B126" i="6"/>
  <c r="C126" i="6"/>
  <c r="D126" i="6"/>
  <c r="A101" i="6"/>
  <c r="B101" i="6"/>
  <c r="C101" i="6"/>
  <c r="D101" i="6"/>
  <c r="A76" i="6"/>
  <c r="B76" i="6"/>
  <c r="C76" i="6"/>
  <c r="D76" i="6"/>
  <c r="A51" i="6"/>
  <c r="B51" i="6"/>
  <c r="C51" i="6"/>
  <c r="D51" i="6"/>
  <c r="A26" i="6"/>
  <c r="B26" i="6"/>
  <c r="C26" i="6"/>
  <c r="D26" i="6"/>
  <c r="A376" i="4"/>
  <c r="B376" i="4"/>
  <c r="C376" i="4"/>
  <c r="D376" i="4"/>
  <c r="A351" i="4"/>
  <c r="B351" i="4"/>
  <c r="C351" i="4"/>
  <c r="D351" i="4"/>
  <c r="A326" i="4"/>
  <c r="B326" i="4"/>
  <c r="C326" i="4"/>
  <c r="D326" i="4"/>
  <c r="A301" i="4"/>
  <c r="B301" i="4"/>
  <c r="C301" i="4"/>
  <c r="D301" i="4"/>
  <c r="D276" i="4"/>
  <c r="A276" i="4"/>
  <c r="B276" i="4"/>
  <c r="C276" i="4"/>
  <c r="A251" i="4"/>
  <c r="B251" i="4"/>
  <c r="C251" i="4"/>
  <c r="D251" i="4"/>
  <c r="A226" i="4"/>
  <c r="B226" i="4"/>
  <c r="C226" i="4"/>
  <c r="D226" i="4"/>
  <c r="A201" i="4"/>
  <c r="B201" i="4"/>
  <c r="C201" i="4"/>
  <c r="D201" i="4"/>
  <c r="A176" i="4"/>
  <c r="B176" i="4"/>
  <c r="C176" i="4"/>
  <c r="D176" i="4"/>
  <c r="A151" i="4"/>
  <c r="B151" i="4"/>
  <c r="C151" i="4"/>
  <c r="D151" i="4"/>
  <c r="A126" i="4"/>
  <c r="B126" i="4"/>
  <c r="C126" i="4"/>
  <c r="D126" i="4"/>
  <c r="D101" i="4"/>
  <c r="A101" i="4"/>
  <c r="B101" i="4"/>
  <c r="C101" i="4"/>
  <c r="D76" i="4"/>
  <c r="A76" i="4"/>
  <c r="B76" i="4"/>
  <c r="C76" i="4"/>
  <c r="D51" i="4"/>
  <c r="A51" i="4"/>
  <c r="B51" i="4"/>
  <c r="C51" i="4"/>
  <c r="A26" i="4"/>
  <c r="B26" i="4"/>
  <c r="C26" i="4"/>
  <c r="D26" i="4"/>
  <c r="N343" i="20" l="1"/>
  <c r="S343" i="20" s="1"/>
  <c r="T343" i="20" s="1"/>
  <c r="P25" i="2"/>
  <c r="I268" i="20"/>
  <c r="H268" i="20"/>
  <c r="H292" i="22"/>
  <c r="I292" i="22"/>
  <c r="I317" i="22"/>
  <c r="W317" i="22" s="1"/>
  <c r="X317" i="22" s="1"/>
  <c r="H317" i="22"/>
  <c r="V317" i="22" s="1"/>
  <c r="I318" i="20"/>
  <c r="W318" i="20" s="1"/>
  <c r="X318" i="20" s="1"/>
  <c r="H318" i="20"/>
  <c r="V318" i="20" s="1"/>
  <c r="H242" i="22"/>
  <c r="I242" i="22"/>
  <c r="H342" i="22"/>
  <c r="V342" i="22" s="1"/>
  <c r="I342" i="22"/>
  <c r="I368" i="20"/>
  <c r="W368" i="20" s="1"/>
  <c r="X368" i="20" s="1"/>
  <c r="H368" i="20"/>
  <c r="V368" i="20" s="1"/>
  <c r="H293" i="20"/>
  <c r="I293" i="20"/>
  <c r="H243" i="20"/>
  <c r="I243" i="20"/>
  <c r="H343" i="20"/>
  <c r="V343" i="20" s="1"/>
  <c r="I343" i="20"/>
  <c r="W343" i="20" s="1"/>
  <c r="X343" i="20" s="1"/>
  <c r="I267" i="22"/>
  <c r="H267" i="22"/>
  <c r="I367" i="22"/>
  <c r="W367" i="22" s="1"/>
  <c r="X367" i="22" s="1"/>
  <c r="H367" i="22"/>
  <c r="V367" i="22" s="1"/>
  <c r="O27" i="19"/>
  <c r="P27" i="19" s="1"/>
  <c r="Q27" i="19" s="1"/>
  <c r="N170" i="22"/>
  <c r="N171" i="20"/>
  <c r="O176" i="6"/>
  <c r="Q175" i="2"/>
  <c r="R175" i="2" s="1"/>
  <c r="Q350" i="2"/>
  <c r="R350" i="2" s="1"/>
  <c r="C27" i="11"/>
  <c r="M50" i="2"/>
  <c r="N50" i="2" s="1"/>
  <c r="N342" i="22"/>
  <c r="S342" i="22" s="1"/>
  <c r="T342" i="22" s="1"/>
  <c r="N351" i="4"/>
  <c r="S351" i="4" s="1"/>
  <c r="T351" i="4" s="1"/>
  <c r="P75" i="2"/>
  <c r="N76" i="4" s="1"/>
  <c r="M75" i="2"/>
  <c r="N75" i="2" s="1"/>
  <c r="P50" i="2"/>
  <c r="O51" i="6" s="1"/>
  <c r="V326" i="6"/>
  <c r="W326" i="6" s="1"/>
  <c r="Z326" i="6"/>
  <c r="S318" i="20"/>
  <c r="T318" i="20" s="1"/>
  <c r="S367" i="22"/>
  <c r="T367" i="22" s="1"/>
  <c r="S317" i="22"/>
  <c r="T317" i="22" s="1"/>
  <c r="S326" i="4"/>
  <c r="T326" i="4" s="1"/>
  <c r="W326" i="4"/>
  <c r="Q176" i="4"/>
  <c r="V176" i="4" s="1"/>
  <c r="F56" i="11" s="1"/>
  <c r="W56" i="11" s="1"/>
  <c r="Q226" i="4"/>
  <c r="V226" i="4" s="1"/>
  <c r="H55" i="18" s="1"/>
  <c r="W55" i="18" s="1"/>
  <c r="M74" i="22"/>
  <c r="M76" i="4"/>
  <c r="M75" i="20"/>
  <c r="N76" i="6"/>
  <c r="Q267" i="22"/>
  <c r="Q242" i="22"/>
  <c r="Q301" i="4"/>
  <c r="V301" i="4" s="1"/>
  <c r="F55" i="19" s="1"/>
  <c r="Q75" i="2"/>
  <c r="R75" i="2" s="1"/>
  <c r="V351" i="6"/>
  <c r="W351" i="6" s="1"/>
  <c r="Z351" i="6"/>
  <c r="Q126" i="4"/>
  <c r="V126" i="4" s="1"/>
  <c r="D56" i="11" s="1"/>
  <c r="U56" i="11" s="1"/>
  <c r="V376" i="6"/>
  <c r="W376" i="6" s="1"/>
  <c r="Z376" i="6"/>
  <c r="T276" i="6"/>
  <c r="Y276" i="6" s="1"/>
  <c r="D83" i="19" s="1"/>
  <c r="T201" i="6"/>
  <c r="Y201" i="6" s="1"/>
  <c r="F84" i="18" s="1"/>
  <c r="U84" i="18" s="1"/>
  <c r="T151" i="6"/>
  <c r="Y151" i="6" s="1"/>
  <c r="D84" i="18" s="1"/>
  <c r="S84" i="18" s="1"/>
  <c r="T101" i="6"/>
  <c r="Y101" i="6" s="1"/>
  <c r="B84" i="18" s="1"/>
  <c r="Q84" i="18" s="1"/>
  <c r="T251" i="6"/>
  <c r="Y251" i="6" s="1"/>
  <c r="B83" i="19" s="1"/>
  <c r="M51" i="20"/>
  <c r="N51" i="6"/>
  <c r="M50" i="22"/>
  <c r="M51" i="4"/>
  <c r="Q275" i="2"/>
  <c r="R275" i="2" s="1"/>
  <c r="N267" i="22"/>
  <c r="N276" i="4"/>
  <c r="N268" i="20"/>
  <c r="O276" i="6"/>
  <c r="Q292" i="22"/>
  <c r="Q25" i="2"/>
  <c r="R25" i="2" s="1"/>
  <c r="N26" i="22"/>
  <c r="N26" i="20"/>
  <c r="N26" i="4"/>
  <c r="O26" i="6"/>
  <c r="T176" i="6"/>
  <c r="Y176" i="6" s="1"/>
  <c r="F85" i="11" s="1"/>
  <c r="W85" i="11" s="1"/>
  <c r="T226" i="6"/>
  <c r="Y226" i="6" s="1"/>
  <c r="H84" i="18" s="1"/>
  <c r="W84" i="18" s="1"/>
  <c r="Q268" i="20"/>
  <c r="Q243" i="20"/>
  <c r="T301" i="6"/>
  <c r="Y301" i="6" s="1"/>
  <c r="F83" i="19" s="1"/>
  <c r="S376" i="4"/>
  <c r="T376" i="4" s="1"/>
  <c r="W376" i="4"/>
  <c r="T126" i="6"/>
  <c r="Y126" i="6" s="1"/>
  <c r="D85" i="11" s="1"/>
  <c r="U85" i="11" s="1"/>
  <c r="S368" i="20"/>
  <c r="T368" i="20" s="1"/>
  <c r="Q276" i="4"/>
  <c r="V276" i="4" s="1"/>
  <c r="D55" i="19" s="1"/>
  <c r="Q201" i="4"/>
  <c r="V201" i="4" s="1"/>
  <c r="F55" i="18" s="1"/>
  <c r="U55" i="18" s="1"/>
  <c r="Q151" i="4"/>
  <c r="V151" i="4" s="1"/>
  <c r="D55" i="18" s="1"/>
  <c r="S55" i="18" s="1"/>
  <c r="Q101" i="4"/>
  <c r="V101" i="4" s="1"/>
  <c r="B55" i="18" s="1"/>
  <c r="Q55" i="18" s="1"/>
  <c r="Q251" i="4"/>
  <c r="V251" i="4" s="1"/>
  <c r="B55" i="19" s="1"/>
  <c r="M26" i="22"/>
  <c r="M26" i="20"/>
  <c r="M26" i="4"/>
  <c r="N26" i="6"/>
  <c r="Q293" i="20"/>
  <c r="O50" i="4"/>
  <c r="P25" i="4"/>
  <c r="P50" i="4" s="1"/>
  <c r="F25" i="4"/>
  <c r="F50" i="4" s="1"/>
  <c r="G25" i="4"/>
  <c r="G50" i="4" s="1"/>
  <c r="F75" i="4"/>
  <c r="G75" i="4"/>
  <c r="O125" i="4"/>
  <c r="O75" i="4" s="1"/>
  <c r="P125" i="4"/>
  <c r="P75" i="4" s="1"/>
  <c r="Y55" i="18" l="1"/>
  <c r="Y84" i="18"/>
  <c r="V242" i="22"/>
  <c r="V243" i="20"/>
  <c r="Q50" i="2"/>
  <c r="R50" i="2" s="1"/>
  <c r="V268" i="20"/>
  <c r="V293" i="20"/>
  <c r="V267" i="22"/>
  <c r="V292" i="22"/>
  <c r="O76" i="6"/>
  <c r="N74" i="22"/>
  <c r="N75" i="20"/>
  <c r="N51" i="4"/>
  <c r="N51" i="20"/>
  <c r="W351" i="4"/>
  <c r="K55" i="19" s="1"/>
  <c r="W342" i="22"/>
  <c r="X342" i="22" s="1"/>
  <c r="Y342" i="22" s="1"/>
  <c r="N50" i="22"/>
  <c r="N83" i="19"/>
  <c r="N55" i="19"/>
  <c r="J84" i="18"/>
  <c r="S267" i="22"/>
  <c r="T267" i="22" s="1"/>
  <c r="W267" i="22"/>
  <c r="X267" i="22" s="1"/>
  <c r="V276" i="6"/>
  <c r="W276" i="6" s="1"/>
  <c r="Z276" i="6"/>
  <c r="Q26" i="4"/>
  <c r="V26" i="4" s="1"/>
  <c r="B56" i="11" s="1"/>
  <c r="S56" i="11" s="1"/>
  <c r="S101" i="4"/>
  <c r="T101" i="4" s="1"/>
  <c r="W101" i="4"/>
  <c r="T26" i="6"/>
  <c r="Y26" i="6" s="1"/>
  <c r="B85" i="11" s="1"/>
  <c r="S85" i="11" s="1"/>
  <c r="S251" i="4"/>
  <c r="T251" i="4" s="1"/>
  <c r="W251" i="4"/>
  <c r="S151" i="4"/>
  <c r="T151" i="4" s="1"/>
  <c r="W151" i="4"/>
  <c r="S276" i="4"/>
  <c r="T276" i="4" s="1"/>
  <c r="W276" i="4"/>
  <c r="V126" i="6"/>
  <c r="W126" i="6" s="1"/>
  <c r="Z126" i="6"/>
  <c r="V226" i="6"/>
  <c r="W226" i="6" s="1"/>
  <c r="Z226" i="6"/>
  <c r="Q51" i="4"/>
  <c r="V51" i="4" s="1"/>
  <c r="H56" i="11" s="1"/>
  <c r="Y56" i="11" s="1"/>
  <c r="V151" i="6"/>
  <c r="W151" i="6" s="1"/>
  <c r="Z151" i="6"/>
  <c r="K83" i="19"/>
  <c r="AA351" i="6"/>
  <c r="Z317" i="22"/>
  <c r="Y317" i="22"/>
  <c r="Z367" i="22"/>
  <c r="Y367" i="22"/>
  <c r="AA326" i="6"/>
  <c r="AB326" i="6" s="1"/>
  <c r="I83" i="19"/>
  <c r="V301" i="6"/>
  <c r="W301" i="6" s="1"/>
  <c r="Z301" i="6"/>
  <c r="S268" i="20"/>
  <c r="T268" i="20" s="1"/>
  <c r="W268" i="20"/>
  <c r="X268" i="20" s="1"/>
  <c r="S292" i="22"/>
  <c r="T292" i="22" s="1"/>
  <c r="W292" i="22"/>
  <c r="X292" i="22" s="1"/>
  <c r="V251" i="6"/>
  <c r="W251" i="6" s="1"/>
  <c r="Z251" i="6"/>
  <c r="S242" i="22"/>
  <c r="T242" i="22" s="1"/>
  <c r="W242" i="22"/>
  <c r="X242" i="22" s="1"/>
  <c r="T76" i="6"/>
  <c r="Y76" i="6" s="1"/>
  <c r="J85" i="11" s="1"/>
  <c r="AA85" i="11" s="1"/>
  <c r="S226" i="4"/>
  <c r="T226" i="4" s="1"/>
  <c r="W226" i="4"/>
  <c r="X326" i="4"/>
  <c r="I55" i="19"/>
  <c r="S293" i="20"/>
  <c r="T293" i="20" s="1"/>
  <c r="W293" i="20"/>
  <c r="X293" i="20" s="1"/>
  <c r="Y368" i="20"/>
  <c r="Z368" i="20"/>
  <c r="M55" i="19"/>
  <c r="X376" i="4"/>
  <c r="V176" i="6"/>
  <c r="W176" i="6" s="1"/>
  <c r="Z176" i="6"/>
  <c r="T51" i="6"/>
  <c r="Y51" i="6" s="1"/>
  <c r="H85" i="11" s="1"/>
  <c r="Y85" i="11" s="1"/>
  <c r="V101" i="6"/>
  <c r="W101" i="6" s="1"/>
  <c r="Z101" i="6"/>
  <c r="V201" i="6"/>
  <c r="W201" i="6" s="1"/>
  <c r="Z201" i="6"/>
  <c r="AA376" i="6"/>
  <c r="M83" i="19"/>
  <c r="J55" i="18"/>
  <c r="Z343" i="20"/>
  <c r="Y343" i="20"/>
  <c r="S201" i="4"/>
  <c r="T201" i="4" s="1"/>
  <c r="W201" i="4"/>
  <c r="S243" i="20"/>
  <c r="T243" i="20" s="1"/>
  <c r="W243" i="20"/>
  <c r="X243" i="20" s="1"/>
  <c r="S126" i="4"/>
  <c r="T126" i="4" s="1"/>
  <c r="W126" i="4"/>
  <c r="S301" i="4"/>
  <c r="T301" i="4" s="1"/>
  <c r="W301" i="4"/>
  <c r="Q76" i="4"/>
  <c r="V76" i="4" s="1"/>
  <c r="J56" i="11" s="1"/>
  <c r="AA56" i="11" s="1"/>
  <c r="S176" i="4"/>
  <c r="T176" i="4" s="1"/>
  <c r="W176" i="4"/>
  <c r="Y318" i="20"/>
  <c r="Z318" i="20"/>
  <c r="P316" i="22"/>
  <c r="O316" i="22"/>
  <c r="G316" i="22"/>
  <c r="F316" i="22"/>
  <c r="G366" i="22"/>
  <c r="F366" i="22"/>
  <c r="G266" i="22"/>
  <c r="F266" i="22"/>
  <c r="P317" i="20"/>
  <c r="O317" i="20"/>
  <c r="G367" i="20"/>
  <c r="F367" i="20"/>
  <c r="G317" i="20"/>
  <c r="G267" i="20" s="1"/>
  <c r="F317" i="20"/>
  <c r="F267" i="20" s="1"/>
  <c r="Q325" i="6"/>
  <c r="P325" i="6"/>
  <c r="P325" i="4"/>
  <c r="O325" i="4"/>
  <c r="AC85" i="11" l="1"/>
  <c r="AC56" i="11"/>
  <c r="L56" i="11"/>
  <c r="X351" i="4"/>
  <c r="Y351" i="4" s="1"/>
  <c r="Z342" i="22"/>
  <c r="S76" i="4"/>
  <c r="T76" i="4" s="1"/>
  <c r="W76" i="4"/>
  <c r="AA201" i="6"/>
  <c r="G84" i="18"/>
  <c r="V84" i="18" s="1"/>
  <c r="V51" i="6"/>
  <c r="W51" i="6" s="1"/>
  <c r="Z51" i="6"/>
  <c r="Y376" i="4"/>
  <c r="Z376" i="4"/>
  <c r="Z293" i="20"/>
  <c r="Y293" i="20"/>
  <c r="I55" i="18"/>
  <c r="X55" i="18" s="1"/>
  <c r="X226" i="4"/>
  <c r="Z242" i="22"/>
  <c r="Y242" i="22"/>
  <c r="Z292" i="22"/>
  <c r="Y292" i="22"/>
  <c r="AA301" i="6"/>
  <c r="G83" i="19"/>
  <c r="AB351" i="6"/>
  <c r="AC351" i="6"/>
  <c r="AA151" i="6"/>
  <c r="E84" i="18"/>
  <c r="T84" i="18" s="1"/>
  <c r="AA226" i="6"/>
  <c r="I84" i="18"/>
  <c r="X84" i="18" s="1"/>
  <c r="X276" i="4"/>
  <c r="E55" i="19"/>
  <c r="C55" i="19"/>
  <c r="X251" i="4"/>
  <c r="C55" i="18"/>
  <c r="R55" i="18" s="1"/>
  <c r="X101" i="4"/>
  <c r="AA276" i="6"/>
  <c r="AB276" i="6" s="1"/>
  <c r="E83" i="19"/>
  <c r="X176" i="4"/>
  <c r="G56" i="11"/>
  <c r="X56" i="11" s="1"/>
  <c r="X301" i="4"/>
  <c r="G55" i="19"/>
  <c r="AA101" i="6"/>
  <c r="C84" i="18"/>
  <c r="R84" i="18" s="1"/>
  <c r="AA176" i="6"/>
  <c r="G85" i="11"/>
  <c r="X85" i="11" s="1"/>
  <c r="L85" i="11"/>
  <c r="AA251" i="6"/>
  <c r="C83" i="19"/>
  <c r="Z268" i="20"/>
  <c r="Y268" i="20"/>
  <c r="S51" i="4"/>
  <c r="T51" i="4" s="1"/>
  <c r="W51" i="4"/>
  <c r="AA126" i="6"/>
  <c r="E85" i="11"/>
  <c r="V85" i="11" s="1"/>
  <c r="E55" i="18"/>
  <c r="T55" i="18" s="1"/>
  <c r="X151" i="4"/>
  <c r="V26" i="6"/>
  <c r="W26" i="6" s="1"/>
  <c r="Z26" i="6"/>
  <c r="W26" i="4"/>
  <c r="S26" i="4"/>
  <c r="T26" i="4" s="1"/>
  <c r="Z267" i="22"/>
  <c r="Y267" i="22"/>
  <c r="Z243" i="20"/>
  <c r="Y243" i="20"/>
  <c r="X126" i="4"/>
  <c r="E56" i="11"/>
  <c r="V56" i="11" s="1"/>
  <c r="G55" i="18"/>
  <c r="V55" i="18" s="1"/>
  <c r="X201" i="4"/>
  <c r="AC376" i="6"/>
  <c r="AB376" i="6"/>
  <c r="Y326" i="4"/>
  <c r="Z326" i="4"/>
  <c r="V76" i="6"/>
  <c r="W76" i="6" s="1"/>
  <c r="Z76" i="6"/>
  <c r="J48" i="2"/>
  <c r="I45" i="2"/>
  <c r="Z351" i="4" l="1"/>
  <c r="O83" i="19"/>
  <c r="P83" i="19" s="1"/>
  <c r="Q83" i="19" s="1"/>
  <c r="AA76" i="6"/>
  <c r="K85" i="11"/>
  <c r="AB85" i="11" s="1"/>
  <c r="AA26" i="6"/>
  <c r="C85" i="11"/>
  <c r="T85" i="11" s="1"/>
  <c r="AC251" i="6"/>
  <c r="AB251" i="6"/>
  <c r="O55" i="19"/>
  <c r="P55" i="19" s="1"/>
  <c r="Q55" i="19" s="1"/>
  <c r="Z251" i="4"/>
  <c r="Y251" i="4"/>
  <c r="Z226" i="4"/>
  <c r="Y226" i="4"/>
  <c r="K84" i="18"/>
  <c r="L84" i="18" s="1"/>
  <c r="M84" i="18" s="1"/>
  <c r="Z84" i="18" s="1"/>
  <c r="Z126" i="4"/>
  <c r="Y126" i="4"/>
  <c r="AC126" i="6"/>
  <c r="AB126" i="6"/>
  <c r="AB101" i="6"/>
  <c r="AC101" i="6"/>
  <c r="Z301" i="4"/>
  <c r="Y301" i="4"/>
  <c r="AC226" i="6"/>
  <c r="AB226" i="6"/>
  <c r="AB201" i="6"/>
  <c r="AC201" i="6"/>
  <c r="Z201" i="4"/>
  <c r="Y201" i="4"/>
  <c r="Z151" i="4"/>
  <c r="Y151" i="4"/>
  <c r="I56" i="11"/>
  <c r="Z56" i="11" s="1"/>
  <c r="X51" i="4"/>
  <c r="Z101" i="4"/>
  <c r="Y101" i="4"/>
  <c r="AA51" i="6"/>
  <c r="I85" i="11"/>
  <c r="Z85" i="11" s="1"/>
  <c r="X76" i="4"/>
  <c r="K56" i="11"/>
  <c r="AB56" i="11" s="1"/>
  <c r="X26" i="4"/>
  <c r="C56" i="11"/>
  <c r="T56" i="11" s="1"/>
  <c r="K55" i="18"/>
  <c r="L55" i="18" s="1"/>
  <c r="M55" i="18" s="1"/>
  <c r="Z55" i="18" s="1"/>
  <c r="AB176" i="6"/>
  <c r="AC176" i="6"/>
  <c r="Y176" i="4"/>
  <c r="Z176" i="4"/>
  <c r="Z276" i="4"/>
  <c r="Y276" i="4"/>
  <c r="AB151" i="6"/>
  <c r="AC151" i="6"/>
  <c r="AC301" i="6"/>
  <c r="AB301" i="6"/>
  <c r="I48" i="2"/>
  <c r="I121" i="2"/>
  <c r="I375" i="6"/>
  <c r="J375" i="6"/>
  <c r="K375" i="6" s="1"/>
  <c r="L375" i="6" s="1"/>
  <c r="I350" i="6"/>
  <c r="J350" i="6"/>
  <c r="K350" i="6" s="1"/>
  <c r="L350" i="6" s="1"/>
  <c r="I325" i="6"/>
  <c r="J325" i="6"/>
  <c r="K325" i="6" s="1"/>
  <c r="L325" i="6" s="1"/>
  <c r="I300" i="6"/>
  <c r="J300" i="6"/>
  <c r="K300" i="6" s="1"/>
  <c r="L300" i="6" s="1"/>
  <c r="I275" i="6"/>
  <c r="J275" i="6"/>
  <c r="K275" i="6" s="1"/>
  <c r="L275" i="6" s="1"/>
  <c r="I250" i="6"/>
  <c r="J250" i="6"/>
  <c r="K250" i="6" s="1"/>
  <c r="L250" i="6" s="1"/>
  <c r="I225" i="6"/>
  <c r="J225" i="6"/>
  <c r="K225" i="6" s="1"/>
  <c r="L225" i="6" s="1"/>
  <c r="I200" i="6"/>
  <c r="J200" i="6"/>
  <c r="K200" i="6" s="1"/>
  <c r="L200" i="6" s="1"/>
  <c r="I175" i="6"/>
  <c r="J175" i="6"/>
  <c r="K175" i="6" s="1"/>
  <c r="L175" i="6" s="1"/>
  <c r="I150" i="6"/>
  <c r="J150" i="6"/>
  <c r="K150" i="6" s="1"/>
  <c r="L150" i="6" s="1"/>
  <c r="I125" i="6"/>
  <c r="J125" i="6"/>
  <c r="K125" i="6" s="1"/>
  <c r="L125" i="6" s="1"/>
  <c r="I100" i="6"/>
  <c r="J100" i="6"/>
  <c r="K100" i="6" s="1"/>
  <c r="L100" i="6" s="1"/>
  <c r="I75" i="6"/>
  <c r="J75" i="6"/>
  <c r="K75" i="6" s="1"/>
  <c r="L75" i="6" s="1"/>
  <c r="I50" i="6"/>
  <c r="J50" i="6"/>
  <c r="K50" i="6" s="1"/>
  <c r="L50" i="6" s="1"/>
  <c r="I25" i="6"/>
  <c r="J25" i="6"/>
  <c r="K25" i="6" s="1"/>
  <c r="L25" i="6" s="1"/>
  <c r="H375" i="4"/>
  <c r="I375" i="4"/>
  <c r="J375" i="4" s="1"/>
  <c r="K375" i="4" s="1"/>
  <c r="H350" i="4"/>
  <c r="I350" i="4"/>
  <c r="J350" i="4" s="1"/>
  <c r="K350" i="4" s="1"/>
  <c r="H325" i="4"/>
  <c r="I325" i="4"/>
  <c r="J325" i="4" s="1"/>
  <c r="K325" i="4" s="1"/>
  <c r="H300" i="4"/>
  <c r="I300" i="4"/>
  <c r="J300" i="4" s="1"/>
  <c r="K300" i="4" s="1"/>
  <c r="H275" i="4"/>
  <c r="I275" i="4"/>
  <c r="J275" i="4" s="1"/>
  <c r="K275" i="4" s="1"/>
  <c r="H250" i="4"/>
  <c r="I250" i="4"/>
  <c r="J250" i="4" s="1"/>
  <c r="K250" i="4" s="1"/>
  <c r="H225" i="4"/>
  <c r="I225" i="4"/>
  <c r="J225" i="4" s="1"/>
  <c r="K225" i="4" s="1"/>
  <c r="H200" i="4"/>
  <c r="I200" i="4"/>
  <c r="J200" i="4" s="1"/>
  <c r="K200" i="4" s="1"/>
  <c r="H175" i="4"/>
  <c r="I175" i="4"/>
  <c r="J175" i="4" s="1"/>
  <c r="K175" i="4" s="1"/>
  <c r="H150" i="4"/>
  <c r="I150" i="4"/>
  <c r="J150" i="4" s="1"/>
  <c r="K150" i="4" s="1"/>
  <c r="H125" i="4"/>
  <c r="I125" i="4"/>
  <c r="J125" i="4" s="1"/>
  <c r="K125" i="4" s="1"/>
  <c r="H100" i="4"/>
  <c r="I100" i="4"/>
  <c r="J100" i="4" s="1"/>
  <c r="K100" i="4" s="1"/>
  <c r="H75" i="4"/>
  <c r="I75" i="4"/>
  <c r="J75" i="4" s="1"/>
  <c r="K75" i="4" s="1"/>
  <c r="H50" i="4"/>
  <c r="I50" i="4"/>
  <c r="J50" i="4" s="1"/>
  <c r="K50" i="4" s="1"/>
  <c r="H25" i="4"/>
  <c r="I25" i="4"/>
  <c r="J25" i="4" s="1"/>
  <c r="K25" i="4" s="1"/>
  <c r="I374" i="2"/>
  <c r="K374" i="2" s="1"/>
  <c r="O374" i="2" s="1"/>
  <c r="M367" i="20" s="1"/>
  <c r="J374" i="2"/>
  <c r="I349" i="2"/>
  <c r="K349" i="2" s="1"/>
  <c r="O349" i="2" s="1"/>
  <c r="M341" i="22" s="1"/>
  <c r="J349" i="2"/>
  <c r="I324" i="2"/>
  <c r="K324" i="2" s="1"/>
  <c r="O324" i="2" s="1"/>
  <c r="N325" i="6" s="1"/>
  <c r="J324" i="2"/>
  <c r="I299" i="2"/>
  <c r="K299" i="2" s="1"/>
  <c r="O299" i="2" s="1"/>
  <c r="M292" i="20" s="1"/>
  <c r="J299" i="2"/>
  <c r="I274" i="2"/>
  <c r="K274" i="2" s="1"/>
  <c r="O274" i="2" s="1"/>
  <c r="M266" i="22" s="1"/>
  <c r="J274" i="2"/>
  <c r="I249" i="2"/>
  <c r="K249" i="2" s="1"/>
  <c r="O249" i="2" s="1"/>
  <c r="M241" i="22" s="1"/>
  <c r="J249" i="2"/>
  <c r="I224" i="2"/>
  <c r="K224" i="2" s="1"/>
  <c r="O224" i="2" s="1"/>
  <c r="M218" i="20" s="1"/>
  <c r="J224" i="2"/>
  <c r="I199" i="2"/>
  <c r="K199" i="2" s="1"/>
  <c r="O199" i="2" s="1"/>
  <c r="M194" i="20" s="1"/>
  <c r="J199" i="2"/>
  <c r="I174" i="2"/>
  <c r="K174" i="2" s="1"/>
  <c r="O174" i="2" s="1"/>
  <c r="N175" i="6" s="1"/>
  <c r="J174" i="2"/>
  <c r="I149" i="2"/>
  <c r="K149" i="2" s="1"/>
  <c r="O149" i="2" s="1"/>
  <c r="N150" i="6" s="1"/>
  <c r="J149" i="2"/>
  <c r="I124" i="2"/>
  <c r="K124" i="2" s="1"/>
  <c r="O124" i="2" s="1"/>
  <c r="M121" i="22" s="1"/>
  <c r="J124" i="2"/>
  <c r="I99" i="2"/>
  <c r="K99" i="2" s="1"/>
  <c r="O99" i="2" s="1"/>
  <c r="M98" i="20" s="1"/>
  <c r="J99" i="2"/>
  <c r="I74" i="2"/>
  <c r="K74" i="2" s="1"/>
  <c r="O74" i="2" s="1"/>
  <c r="M74" i="20" s="1"/>
  <c r="J74" i="2"/>
  <c r="I49" i="2"/>
  <c r="K49" i="2" s="1"/>
  <c r="O49" i="2" s="1"/>
  <c r="J49" i="2"/>
  <c r="J23" i="2"/>
  <c r="I24" i="2"/>
  <c r="J24" i="2"/>
  <c r="I23" i="2"/>
  <c r="K23" i="2" s="1"/>
  <c r="D74" i="4"/>
  <c r="M85" i="11" l="1"/>
  <c r="N85" i="11" s="1"/>
  <c r="O85" i="11" s="1"/>
  <c r="AD85" i="11" s="1"/>
  <c r="L99" i="2"/>
  <c r="L299" i="2"/>
  <c r="M299" i="2" s="1"/>
  <c r="N299" i="2" s="1"/>
  <c r="Z76" i="4"/>
  <c r="Y76" i="4"/>
  <c r="AB26" i="6"/>
  <c r="AC26" i="6"/>
  <c r="N50" i="6"/>
  <c r="T50" i="6" s="1"/>
  <c r="Y50" i="6" s="1"/>
  <c r="M50" i="20"/>
  <c r="K24" i="2"/>
  <c r="O24" i="2" s="1"/>
  <c r="Z26" i="4"/>
  <c r="Y26" i="4"/>
  <c r="AC51" i="6"/>
  <c r="AB51" i="6"/>
  <c r="Y51" i="4"/>
  <c r="Z51" i="4"/>
  <c r="M56" i="11"/>
  <c r="N56" i="11" s="1"/>
  <c r="O56" i="11" s="1"/>
  <c r="AD56" i="11" s="1"/>
  <c r="AC76" i="6"/>
  <c r="AB76" i="6"/>
  <c r="L149" i="2"/>
  <c r="M149" i="2" s="1"/>
  <c r="N149" i="2" s="1"/>
  <c r="L249" i="2"/>
  <c r="M249" i="2" s="1"/>
  <c r="N249" i="2" s="1"/>
  <c r="L349" i="2"/>
  <c r="M349" i="2" s="1"/>
  <c r="N349" i="2" s="1"/>
  <c r="L74" i="2"/>
  <c r="P74" i="2" s="1"/>
  <c r="L174" i="2"/>
  <c r="M174" i="2" s="1"/>
  <c r="N174" i="2" s="1"/>
  <c r="L274" i="2"/>
  <c r="P274" i="2" s="1"/>
  <c r="L374" i="2"/>
  <c r="P374" i="2" s="1"/>
  <c r="M146" i="20"/>
  <c r="M97" i="22"/>
  <c r="L49" i="2"/>
  <c r="M49" i="2" s="1"/>
  <c r="N49" i="2" s="1"/>
  <c r="M100" i="4"/>
  <c r="Q100" i="4" s="1"/>
  <c r="V100" i="4" s="1"/>
  <c r="M342" i="20"/>
  <c r="Q342" i="20" s="1"/>
  <c r="M200" i="4"/>
  <c r="Q200" i="4" s="1"/>
  <c r="V200" i="4" s="1"/>
  <c r="M170" i="20"/>
  <c r="M73" i="22"/>
  <c r="M300" i="4"/>
  <c r="Q300" i="4" s="1"/>
  <c r="V300" i="4" s="1"/>
  <c r="L24" i="2"/>
  <c r="M24" i="2" s="1"/>
  <c r="N24" i="2" s="1"/>
  <c r="M267" i="20"/>
  <c r="Q267" i="20" s="1"/>
  <c r="Q341" i="22"/>
  <c r="T325" i="6"/>
  <c r="Y325" i="6" s="1"/>
  <c r="T150" i="6"/>
  <c r="Y150" i="6" s="1"/>
  <c r="Q241" i="22"/>
  <c r="T175" i="6"/>
  <c r="Y175" i="6" s="1"/>
  <c r="Q367" i="20"/>
  <c r="Q266" i="22"/>
  <c r="Q292" i="20"/>
  <c r="M217" i="22"/>
  <c r="M316" i="22"/>
  <c r="N125" i="6"/>
  <c r="N225" i="6"/>
  <c r="M75" i="4"/>
  <c r="M175" i="4"/>
  <c r="M275" i="4"/>
  <c r="M375" i="4"/>
  <c r="M122" i="20"/>
  <c r="M49" i="22"/>
  <c r="M193" i="22"/>
  <c r="N100" i="6"/>
  <c r="N200" i="6"/>
  <c r="N300" i="6"/>
  <c r="M317" i="20"/>
  <c r="M366" i="22"/>
  <c r="M50" i="4"/>
  <c r="M150" i="4"/>
  <c r="M250" i="4"/>
  <c r="M350" i="4"/>
  <c r="M242" i="20"/>
  <c r="M169" i="22"/>
  <c r="N75" i="6"/>
  <c r="N275" i="6"/>
  <c r="N375" i="6"/>
  <c r="M291" i="22"/>
  <c r="M125" i="4"/>
  <c r="M225" i="4"/>
  <c r="M325" i="4"/>
  <c r="M145" i="22"/>
  <c r="L124" i="2"/>
  <c r="M124" i="2" s="1"/>
  <c r="N124" i="2" s="1"/>
  <c r="L324" i="2"/>
  <c r="P324" i="2" s="1"/>
  <c r="N250" i="6"/>
  <c r="N350" i="6"/>
  <c r="L224" i="2"/>
  <c r="L199" i="2"/>
  <c r="M99" i="2"/>
  <c r="N99" i="2" s="1"/>
  <c r="P99" i="2"/>
  <c r="P349" i="2" l="1"/>
  <c r="P49" i="2"/>
  <c r="N50" i="20" s="1"/>
  <c r="M74" i="2"/>
  <c r="N74" i="2" s="1"/>
  <c r="P299" i="2"/>
  <c r="N292" i="20" s="1"/>
  <c r="S292" i="20" s="1"/>
  <c r="T292" i="20" s="1"/>
  <c r="M25" i="20"/>
  <c r="M25" i="4"/>
  <c r="N25" i="6"/>
  <c r="T25" i="6" s="1"/>
  <c r="Y25" i="6" s="1"/>
  <c r="M25" i="22"/>
  <c r="T100" i="6"/>
  <c r="Y100" i="6" s="1"/>
  <c r="P174" i="2"/>
  <c r="Q174" i="2" s="1"/>
  <c r="R174" i="2" s="1"/>
  <c r="M274" i="2"/>
  <c r="N274" i="2" s="1"/>
  <c r="P149" i="2"/>
  <c r="O150" i="6" s="1"/>
  <c r="M374" i="2"/>
  <c r="N374" i="2" s="1"/>
  <c r="P249" i="2"/>
  <c r="N242" i="20" s="1"/>
  <c r="P24" i="2"/>
  <c r="N25" i="20" s="1"/>
  <c r="P124" i="2"/>
  <c r="N122" i="20" s="1"/>
  <c r="Q324" i="2"/>
  <c r="R324" i="2" s="1"/>
  <c r="O325" i="6"/>
  <c r="N325" i="4"/>
  <c r="N317" i="20"/>
  <c r="N316" i="22"/>
  <c r="T75" i="6"/>
  <c r="Y75" i="6" s="1"/>
  <c r="Q50" i="4"/>
  <c r="V50" i="4" s="1"/>
  <c r="Q99" i="2"/>
  <c r="R99" i="2" s="1"/>
  <c r="N97" i="22"/>
  <c r="N100" i="4"/>
  <c r="N98" i="20"/>
  <c r="O100" i="6"/>
  <c r="M324" i="2"/>
  <c r="N324" i="2" s="1"/>
  <c r="Q325" i="4"/>
  <c r="V325" i="4" s="1"/>
  <c r="Q366" i="22"/>
  <c r="Q75" i="4"/>
  <c r="V75" i="4" s="1"/>
  <c r="Q175" i="4"/>
  <c r="V175" i="4" s="1"/>
  <c r="Q225" i="4"/>
  <c r="V225" i="4" s="1"/>
  <c r="T225" i="6"/>
  <c r="Y225" i="6" s="1"/>
  <c r="T275" i="6"/>
  <c r="Y275" i="6" s="1"/>
  <c r="T350" i="6"/>
  <c r="Y350" i="6" s="1"/>
  <c r="Q242" i="20"/>
  <c r="Q317" i="20"/>
  <c r="T125" i="6"/>
  <c r="Y125" i="6" s="1"/>
  <c r="Q150" i="4"/>
  <c r="V150" i="4" s="1"/>
  <c r="Q349" i="2"/>
  <c r="R349" i="2" s="1"/>
  <c r="N342" i="20"/>
  <c r="S342" i="20" s="1"/>
  <c r="T342" i="20" s="1"/>
  <c r="N341" i="22"/>
  <c r="S341" i="22" s="1"/>
  <c r="T341" i="22" s="1"/>
  <c r="O350" i="6"/>
  <c r="N350" i="4"/>
  <c r="Q125" i="4"/>
  <c r="V125" i="4" s="1"/>
  <c r="T250" i="6"/>
  <c r="Y250" i="6" s="1"/>
  <c r="Q25" i="4"/>
  <c r="V25" i="4" s="1"/>
  <c r="T300" i="6"/>
  <c r="Y300" i="6" s="1"/>
  <c r="Q316" i="22"/>
  <c r="Q350" i="4"/>
  <c r="V350" i="4" s="1"/>
  <c r="Q49" i="2"/>
  <c r="R49" i="2" s="1"/>
  <c r="O50" i="6"/>
  <c r="N49" i="22"/>
  <c r="N50" i="4"/>
  <c r="Q274" i="2"/>
  <c r="R274" i="2" s="1"/>
  <c r="N266" i="22"/>
  <c r="N267" i="20"/>
  <c r="O275" i="6"/>
  <c r="N275" i="4"/>
  <c r="Q374" i="2"/>
  <c r="R374" i="2" s="1"/>
  <c r="N367" i="20"/>
  <c r="O375" i="6"/>
  <c r="N366" i="22"/>
  <c r="N375" i="4"/>
  <c r="Q291" i="22"/>
  <c r="T200" i="6"/>
  <c r="Y200" i="6" s="1"/>
  <c r="T375" i="6"/>
  <c r="Y375" i="6" s="1"/>
  <c r="Q250" i="4"/>
  <c r="V250" i="4" s="1"/>
  <c r="Q375" i="4"/>
  <c r="V375" i="4" s="1"/>
  <c r="Q74" i="2"/>
  <c r="R74" i="2" s="1"/>
  <c r="N74" i="20"/>
  <c r="O75" i="6"/>
  <c r="N75" i="4"/>
  <c r="N73" i="22"/>
  <c r="Q275" i="4"/>
  <c r="V275" i="4" s="1"/>
  <c r="M224" i="2"/>
  <c r="N224" i="2" s="1"/>
  <c r="P224" i="2"/>
  <c r="M199" i="2"/>
  <c r="N199" i="2" s="1"/>
  <c r="P199" i="2"/>
  <c r="O300" i="6" l="1"/>
  <c r="N291" i="22"/>
  <c r="S291" i="22" s="1"/>
  <c r="T291" i="22" s="1"/>
  <c r="N300" i="4"/>
  <c r="Q299" i="2"/>
  <c r="R299" i="2" s="1"/>
  <c r="N150" i="4"/>
  <c r="S150" i="4" s="1"/>
  <c r="T150" i="4" s="1"/>
  <c r="Q149" i="2"/>
  <c r="R149" i="2" s="1"/>
  <c r="N250" i="4"/>
  <c r="W250" i="4" s="1"/>
  <c r="X250" i="4" s="1"/>
  <c r="O25" i="6"/>
  <c r="Z25" i="6" s="1"/>
  <c r="AA25" i="6" s="1"/>
  <c r="Q24" i="2"/>
  <c r="R24" i="2" s="1"/>
  <c r="N175" i="4"/>
  <c r="S175" i="4" s="1"/>
  <c r="T175" i="4" s="1"/>
  <c r="N169" i="22"/>
  <c r="O175" i="6"/>
  <c r="Z175" i="6" s="1"/>
  <c r="AA175" i="6" s="1"/>
  <c r="N170" i="20"/>
  <c r="N121" i="22"/>
  <c r="N146" i="20"/>
  <c r="Q124" i="2"/>
  <c r="R124" i="2" s="1"/>
  <c r="N145" i="22"/>
  <c r="O125" i="6"/>
  <c r="Z125" i="6" s="1"/>
  <c r="AA125" i="6" s="1"/>
  <c r="N125" i="4"/>
  <c r="S125" i="4" s="1"/>
  <c r="T125" i="4" s="1"/>
  <c r="O250" i="6"/>
  <c r="V250" i="6" s="1"/>
  <c r="W250" i="6" s="1"/>
  <c r="N241" i="22"/>
  <c r="Q249" i="2"/>
  <c r="R249" i="2" s="1"/>
  <c r="N25" i="22"/>
  <c r="N25" i="4"/>
  <c r="S25" i="4" s="1"/>
  <c r="T25" i="4" s="1"/>
  <c r="V275" i="6"/>
  <c r="W275" i="6" s="1"/>
  <c r="Z275" i="6"/>
  <c r="AA275" i="6" s="1"/>
  <c r="S350" i="4"/>
  <c r="T350" i="4" s="1"/>
  <c r="W350" i="4"/>
  <c r="X350" i="4" s="1"/>
  <c r="W150" i="4"/>
  <c r="X150" i="4" s="1"/>
  <c r="S250" i="4"/>
  <c r="T250" i="4" s="1"/>
  <c r="V350" i="6"/>
  <c r="W350" i="6" s="1"/>
  <c r="Z350" i="6"/>
  <c r="AA350" i="6" s="1"/>
  <c r="V75" i="6"/>
  <c r="W75" i="6" s="1"/>
  <c r="Z75" i="6"/>
  <c r="AA75" i="6" s="1"/>
  <c r="S366" i="22"/>
  <c r="T366" i="22" s="1"/>
  <c r="S75" i="4"/>
  <c r="T75" i="4" s="1"/>
  <c r="W75" i="4"/>
  <c r="X75" i="4" s="1"/>
  <c r="S275" i="4"/>
  <c r="T275" i="4" s="1"/>
  <c r="W275" i="4"/>
  <c r="X275" i="4" s="1"/>
  <c r="V300" i="6"/>
  <c r="W300" i="6" s="1"/>
  <c r="Z300" i="6"/>
  <c r="AA300" i="6" s="1"/>
  <c r="S325" i="4"/>
  <c r="T325" i="4" s="1"/>
  <c r="W325" i="4"/>
  <c r="X325" i="4" s="1"/>
  <c r="Q224" i="2"/>
  <c r="R224" i="2" s="1"/>
  <c r="N217" i="22"/>
  <c r="N218" i="20"/>
  <c r="N225" i="4"/>
  <c r="O225" i="6"/>
  <c r="V150" i="6"/>
  <c r="W150" i="6" s="1"/>
  <c r="Z150" i="6"/>
  <c r="AA150" i="6" s="1"/>
  <c r="S367" i="20"/>
  <c r="T367" i="20" s="1"/>
  <c r="S317" i="20"/>
  <c r="T317" i="20" s="1"/>
  <c r="V100" i="6"/>
  <c r="W100" i="6" s="1"/>
  <c r="Z100" i="6"/>
  <c r="AA100" i="6" s="1"/>
  <c r="S300" i="4"/>
  <c r="T300" i="4" s="1"/>
  <c r="W300" i="4"/>
  <c r="X300" i="4" s="1"/>
  <c r="S100" i="4"/>
  <c r="T100" i="4" s="1"/>
  <c r="W100" i="4"/>
  <c r="X100" i="4" s="1"/>
  <c r="Q199" i="2"/>
  <c r="R199" i="2" s="1"/>
  <c r="N200" i="4"/>
  <c r="N194" i="20"/>
  <c r="O200" i="6"/>
  <c r="N193" i="22"/>
  <c r="V50" i="6"/>
  <c r="W50" i="6" s="1"/>
  <c r="Z50" i="6"/>
  <c r="AA50" i="6" s="1"/>
  <c r="S242" i="20"/>
  <c r="T242" i="20" s="1"/>
  <c r="S266" i="22"/>
  <c r="T266" i="22" s="1"/>
  <c r="S50" i="4"/>
  <c r="T50" i="4" s="1"/>
  <c r="W50" i="4"/>
  <c r="X50" i="4" s="1"/>
  <c r="V375" i="6"/>
  <c r="W375" i="6" s="1"/>
  <c r="Z375" i="6"/>
  <c r="AA375" i="6" s="1"/>
  <c r="S316" i="22"/>
  <c r="T316" i="22" s="1"/>
  <c r="V325" i="6"/>
  <c r="W325" i="6" s="1"/>
  <c r="Z325" i="6"/>
  <c r="AA325" i="6" s="1"/>
  <c r="S375" i="4"/>
  <c r="T375" i="4" s="1"/>
  <c r="W375" i="4"/>
  <c r="X375" i="4" s="1"/>
  <c r="S267" i="20"/>
  <c r="T267" i="20" s="1"/>
  <c r="H223" i="13"/>
  <c r="I223" i="13"/>
  <c r="H195" i="13"/>
  <c r="I195" i="13"/>
  <c r="B167" i="13"/>
  <c r="C167" i="13"/>
  <c r="H167" i="13"/>
  <c r="I167" i="13"/>
  <c r="B139" i="13"/>
  <c r="C139" i="13"/>
  <c r="H139" i="13"/>
  <c r="I139" i="13"/>
  <c r="B111" i="13"/>
  <c r="C111" i="13"/>
  <c r="H111" i="13"/>
  <c r="I111" i="13"/>
  <c r="B83" i="13"/>
  <c r="C83" i="13"/>
  <c r="H83" i="13"/>
  <c r="I83" i="13"/>
  <c r="B55" i="13"/>
  <c r="C55" i="13"/>
  <c r="H55" i="13"/>
  <c r="I55" i="13"/>
  <c r="B27" i="13"/>
  <c r="C27" i="13"/>
  <c r="H27" i="13"/>
  <c r="I27" i="13"/>
  <c r="C191" i="10"/>
  <c r="D191" i="10"/>
  <c r="E191" i="10"/>
  <c r="F191" i="10" s="1"/>
  <c r="G191" i="10" s="1"/>
  <c r="C179" i="10"/>
  <c r="D179" i="10"/>
  <c r="E179" i="10"/>
  <c r="F179" i="10" s="1"/>
  <c r="G179" i="10" s="1"/>
  <c r="C167" i="10"/>
  <c r="D167" i="10"/>
  <c r="E167" i="10"/>
  <c r="F167" i="10" s="1"/>
  <c r="G167" i="10" s="1"/>
  <c r="C155" i="10"/>
  <c r="D155" i="10"/>
  <c r="E155" i="10"/>
  <c r="F155" i="10" s="1"/>
  <c r="G155" i="10" s="1"/>
  <c r="C143" i="10"/>
  <c r="D143" i="10"/>
  <c r="E143" i="10"/>
  <c r="F143" i="10" s="1"/>
  <c r="G143" i="10" s="1"/>
  <c r="C131" i="10"/>
  <c r="D131" i="10"/>
  <c r="E131" i="10"/>
  <c r="F131" i="10" s="1"/>
  <c r="G131" i="10" s="1"/>
  <c r="C119" i="10"/>
  <c r="D119" i="10"/>
  <c r="E119" i="10"/>
  <c r="F119" i="10" s="1"/>
  <c r="G119" i="10" s="1"/>
  <c r="C107" i="10"/>
  <c r="F107" i="10"/>
  <c r="G107" i="10" s="1"/>
  <c r="F95" i="10"/>
  <c r="G95" i="10" s="1"/>
  <c r="C83" i="10"/>
  <c r="D83" i="10"/>
  <c r="E83" i="10"/>
  <c r="F83" i="10" s="1"/>
  <c r="G83" i="10" s="1"/>
  <c r="C71" i="10"/>
  <c r="D71" i="10"/>
  <c r="E71" i="10"/>
  <c r="F71" i="10" s="1"/>
  <c r="G71" i="10" s="1"/>
  <c r="C59" i="10"/>
  <c r="D59" i="10"/>
  <c r="E59" i="10"/>
  <c r="F59" i="10" s="1"/>
  <c r="G59" i="10" s="1"/>
  <c r="C35" i="10"/>
  <c r="D35" i="10"/>
  <c r="E35" i="10"/>
  <c r="F35" i="10" s="1"/>
  <c r="G35" i="10" s="1"/>
  <c r="C47" i="10"/>
  <c r="D47" i="10"/>
  <c r="E47" i="10"/>
  <c r="F47" i="10" s="1"/>
  <c r="G47" i="10" s="1"/>
  <c r="C23" i="10"/>
  <c r="D23" i="10"/>
  <c r="E23" i="10"/>
  <c r="F23" i="10" s="1"/>
  <c r="G23" i="10" s="1"/>
  <c r="C11" i="10"/>
  <c r="D11" i="10"/>
  <c r="E11" i="10"/>
  <c r="F11" i="10" s="1"/>
  <c r="G11" i="10" s="1"/>
  <c r="C66" i="12"/>
  <c r="D66" i="12"/>
  <c r="C55" i="12"/>
  <c r="D55" i="12"/>
  <c r="C44" i="12"/>
  <c r="D44" i="12"/>
  <c r="C33" i="12"/>
  <c r="D33" i="12"/>
  <c r="C22" i="12"/>
  <c r="D22" i="12"/>
  <c r="C11" i="12"/>
  <c r="D11" i="12"/>
  <c r="B82" i="19"/>
  <c r="D82" i="19"/>
  <c r="F82" i="19"/>
  <c r="H82" i="19"/>
  <c r="J82" i="19"/>
  <c r="L82" i="19"/>
  <c r="B54" i="19"/>
  <c r="D54" i="19"/>
  <c r="F54" i="19"/>
  <c r="H54" i="19"/>
  <c r="J54" i="19"/>
  <c r="L54" i="19"/>
  <c r="B26" i="19"/>
  <c r="C26" i="19"/>
  <c r="D26" i="19"/>
  <c r="E26" i="19"/>
  <c r="F26" i="19"/>
  <c r="G26" i="19"/>
  <c r="H26" i="19"/>
  <c r="I26" i="19"/>
  <c r="J26" i="19"/>
  <c r="K26" i="19"/>
  <c r="L26" i="19"/>
  <c r="M26" i="19"/>
  <c r="B83" i="18"/>
  <c r="Q83" i="18" s="1"/>
  <c r="D83" i="18"/>
  <c r="S83" i="18" s="1"/>
  <c r="F83" i="18"/>
  <c r="U83" i="18" s="1"/>
  <c r="H83" i="18"/>
  <c r="W83" i="18" s="1"/>
  <c r="B54" i="18"/>
  <c r="Q54" i="18" s="1"/>
  <c r="D54" i="18"/>
  <c r="S54" i="18" s="1"/>
  <c r="F54" i="18"/>
  <c r="U54" i="18" s="1"/>
  <c r="H54" i="18"/>
  <c r="W54" i="18" s="1"/>
  <c r="B26" i="18"/>
  <c r="C26" i="18"/>
  <c r="D26" i="18"/>
  <c r="E26" i="18"/>
  <c r="F26" i="18"/>
  <c r="G26" i="18"/>
  <c r="H26" i="18"/>
  <c r="I26" i="18"/>
  <c r="B84" i="11"/>
  <c r="S84" i="11" s="1"/>
  <c r="D84" i="11"/>
  <c r="U84" i="11" s="1"/>
  <c r="F84" i="11"/>
  <c r="W84" i="11" s="1"/>
  <c r="H84" i="11"/>
  <c r="Y84" i="11" s="1"/>
  <c r="J84" i="11"/>
  <c r="AA84" i="11" s="1"/>
  <c r="B55" i="11"/>
  <c r="S55" i="11" s="1"/>
  <c r="D55" i="11"/>
  <c r="U55" i="11" s="1"/>
  <c r="F55" i="11"/>
  <c r="W55" i="11" s="1"/>
  <c r="H55" i="11"/>
  <c r="Y55" i="11" s="1"/>
  <c r="J55" i="11"/>
  <c r="AA55" i="11" s="1"/>
  <c r="B26" i="11"/>
  <c r="C26" i="11"/>
  <c r="D26" i="11"/>
  <c r="E26" i="11"/>
  <c r="F26" i="11"/>
  <c r="G26" i="11"/>
  <c r="H26" i="11"/>
  <c r="I26" i="11"/>
  <c r="J26" i="11"/>
  <c r="K26" i="11"/>
  <c r="A25" i="22"/>
  <c r="B25" i="22"/>
  <c r="C25" i="22"/>
  <c r="D25" i="22"/>
  <c r="E25" i="22"/>
  <c r="I25" i="22" s="1"/>
  <c r="J25" i="22" s="1"/>
  <c r="K25" i="22" s="1"/>
  <c r="A49" i="22"/>
  <c r="B49" i="22"/>
  <c r="C49" i="22"/>
  <c r="D49" i="22"/>
  <c r="E49" i="22"/>
  <c r="I49" i="22" s="1"/>
  <c r="J49" i="22" s="1"/>
  <c r="K49" i="22" s="1"/>
  <c r="A73" i="22"/>
  <c r="B73" i="22"/>
  <c r="C73" i="22"/>
  <c r="D73" i="22"/>
  <c r="E73" i="22"/>
  <c r="I73" i="22" s="1"/>
  <c r="J73" i="22" s="1"/>
  <c r="K73" i="22" s="1"/>
  <c r="A97" i="22"/>
  <c r="B97" i="22"/>
  <c r="C97" i="22"/>
  <c r="D97" i="22"/>
  <c r="E97" i="22"/>
  <c r="I97" i="22" s="1"/>
  <c r="J97" i="22" s="1"/>
  <c r="K97" i="22" s="1"/>
  <c r="A121" i="22"/>
  <c r="B121" i="22"/>
  <c r="C121" i="22"/>
  <c r="D121" i="22"/>
  <c r="E121" i="22"/>
  <c r="I121" i="22" s="1"/>
  <c r="J121" i="22" s="1"/>
  <c r="K121" i="22" s="1"/>
  <c r="A145" i="22"/>
  <c r="B145" i="22"/>
  <c r="C145" i="22"/>
  <c r="D145" i="22"/>
  <c r="E145" i="22"/>
  <c r="I145" i="22" s="1"/>
  <c r="J145" i="22" s="1"/>
  <c r="K145" i="22" s="1"/>
  <c r="A169" i="22"/>
  <c r="B169" i="22"/>
  <c r="C169" i="22"/>
  <c r="D169" i="22"/>
  <c r="E169" i="22"/>
  <c r="I169" i="22" s="1"/>
  <c r="J169" i="22" s="1"/>
  <c r="K169" i="22" s="1"/>
  <c r="A193" i="22"/>
  <c r="B193" i="22"/>
  <c r="C193" i="22"/>
  <c r="D193" i="22"/>
  <c r="E193" i="22"/>
  <c r="I193" i="22" s="1"/>
  <c r="J193" i="22" s="1"/>
  <c r="K193" i="22" s="1"/>
  <c r="A217" i="22"/>
  <c r="B217" i="22"/>
  <c r="C217" i="22"/>
  <c r="D217" i="22"/>
  <c r="E217" i="22"/>
  <c r="I217" i="22" s="1"/>
  <c r="J217" i="22" s="1"/>
  <c r="K217" i="22" s="1"/>
  <c r="A241" i="22"/>
  <c r="B241" i="22"/>
  <c r="C241" i="22"/>
  <c r="D241" i="22"/>
  <c r="E241" i="22"/>
  <c r="H241" i="22" s="1"/>
  <c r="A266" i="22"/>
  <c r="B266" i="22"/>
  <c r="C266" i="22"/>
  <c r="D266" i="22"/>
  <c r="E266" i="22"/>
  <c r="A291" i="22"/>
  <c r="B291" i="22"/>
  <c r="C291" i="22"/>
  <c r="D291" i="22"/>
  <c r="E291" i="22"/>
  <c r="A316" i="22"/>
  <c r="B316" i="22"/>
  <c r="C316" i="22"/>
  <c r="D316" i="22"/>
  <c r="E316" i="22"/>
  <c r="A341" i="22"/>
  <c r="B341" i="22"/>
  <c r="C341" i="22"/>
  <c r="D341" i="22"/>
  <c r="E341" i="22"/>
  <c r="A366" i="22"/>
  <c r="B366" i="22"/>
  <c r="C366" i="22"/>
  <c r="D366" i="22"/>
  <c r="E366" i="22"/>
  <c r="A25" i="20"/>
  <c r="B25" i="20"/>
  <c r="C25" i="20"/>
  <c r="D25" i="20"/>
  <c r="E25" i="20"/>
  <c r="I25" i="20" s="1"/>
  <c r="J25" i="20" s="1"/>
  <c r="K25" i="20" s="1"/>
  <c r="A50" i="20"/>
  <c r="B50" i="20"/>
  <c r="C50" i="20"/>
  <c r="D50" i="20"/>
  <c r="E50" i="20"/>
  <c r="I50" i="20" s="1"/>
  <c r="J50" i="20" s="1"/>
  <c r="K50" i="20" s="1"/>
  <c r="A74" i="20"/>
  <c r="B74" i="20"/>
  <c r="C74" i="20"/>
  <c r="D74" i="20"/>
  <c r="E74" i="20"/>
  <c r="I74" i="20" s="1"/>
  <c r="J74" i="20" s="1"/>
  <c r="K74" i="20" s="1"/>
  <c r="A98" i="20"/>
  <c r="B98" i="20"/>
  <c r="C98" i="20"/>
  <c r="D98" i="20"/>
  <c r="E98" i="20"/>
  <c r="I98" i="20" s="1"/>
  <c r="J98" i="20" s="1"/>
  <c r="K98" i="20" s="1"/>
  <c r="A122" i="20"/>
  <c r="B122" i="20"/>
  <c r="C122" i="20"/>
  <c r="D122" i="20"/>
  <c r="E122" i="20"/>
  <c r="I122" i="20" s="1"/>
  <c r="J122" i="20" s="1"/>
  <c r="K122" i="20" s="1"/>
  <c r="A146" i="20"/>
  <c r="B146" i="20"/>
  <c r="C146" i="20"/>
  <c r="D146" i="20"/>
  <c r="E146" i="20"/>
  <c r="I146" i="20" s="1"/>
  <c r="J146" i="20" s="1"/>
  <c r="K146" i="20" s="1"/>
  <c r="A170" i="20"/>
  <c r="B170" i="20"/>
  <c r="C170" i="20"/>
  <c r="D170" i="20"/>
  <c r="E170" i="20"/>
  <c r="I170" i="20" s="1"/>
  <c r="J170" i="20" s="1"/>
  <c r="K170" i="20" s="1"/>
  <c r="A194" i="20"/>
  <c r="B194" i="20"/>
  <c r="C194" i="20"/>
  <c r="D194" i="20"/>
  <c r="E194" i="20"/>
  <c r="I194" i="20" s="1"/>
  <c r="J194" i="20" s="1"/>
  <c r="K194" i="20" s="1"/>
  <c r="A218" i="20"/>
  <c r="B218" i="20"/>
  <c r="C218" i="20"/>
  <c r="D218" i="20"/>
  <c r="E218" i="20"/>
  <c r="I218" i="20" s="1"/>
  <c r="J218" i="20" s="1"/>
  <c r="K218" i="20" s="1"/>
  <c r="A242" i="20"/>
  <c r="B242" i="20"/>
  <c r="C242" i="20"/>
  <c r="D242" i="20"/>
  <c r="E242" i="20"/>
  <c r="H242" i="20" s="1"/>
  <c r="I242" i="20" s="1"/>
  <c r="J242" i="20" s="1"/>
  <c r="K242" i="20" s="1"/>
  <c r="A267" i="20"/>
  <c r="B267" i="20"/>
  <c r="C267" i="20"/>
  <c r="D267" i="20"/>
  <c r="E267" i="20"/>
  <c r="E292" i="20"/>
  <c r="E317" i="20"/>
  <c r="E342" i="20"/>
  <c r="A292" i="20"/>
  <c r="B292" i="20"/>
  <c r="C292" i="20"/>
  <c r="D292" i="20"/>
  <c r="A317" i="20"/>
  <c r="B317" i="20"/>
  <c r="C317" i="20"/>
  <c r="D317" i="20"/>
  <c r="A342" i="20"/>
  <c r="B342" i="20"/>
  <c r="C342" i="20"/>
  <c r="D342" i="20"/>
  <c r="A367" i="20"/>
  <c r="B367" i="20"/>
  <c r="C367" i="20"/>
  <c r="D367" i="20"/>
  <c r="E367" i="20"/>
  <c r="A375" i="6"/>
  <c r="B375" i="6"/>
  <c r="C375" i="6"/>
  <c r="D375" i="6"/>
  <c r="A350" i="6"/>
  <c r="B350" i="6"/>
  <c r="C350" i="6"/>
  <c r="D350" i="6"/>
  <c r="A325" i="6"/>
  <c r="B325" i="6"/>
  <c r="C325" i="6"/>
  <c r="D325" i="6"/>
  <c r="A300" i="6"/>
  <c r="B300" i="6"/>
  <c r="C300" i="6"/>
  <c r="D300" i="6"/>
  <c r="A275" i="6"/>
  <c r="B275" i="6"/>
  <c r="C275" i="6"/>
  <c r="D275" i="6"/>
  <c r="A250" i="6"/>
  <c r="B250" i="6"/>
  <c r="C250" i="6"/>
  <c r="D250" i="6"/>
  <c r="A225" i="6"/>
  <c r="B225" i="6"/>
  <c r="C225" i="6"/>
  <c r="D225" i="6"/>
  <c r="A200" i="6"/>
  <c r="B200" i="6"/>
  <c r="C200" i="6"/>
  <c r="D200" i="6"/>
  <c r="A175" i="6"/>
  <c r="B175" i="6"/>
  <c r="C175" i="6"/>
  <c r="D175" i="6"/>
  <c r="A150" i="6"/>
  <c r="B150" i="6"/>
  <c r="C150" i="6"/>
  <c r="D150" i="6"/>
  <c r="A125" i="6"/>
  <c r="B125" i="6"/>
  <c r="C125" i="6"/>
  <c r="D125" i="6"/>
  <c r="A100" i="6"/>
  <c r="B100" i="6"/>
  <c r="C100" i="6"/>
  <c r="D100" i="6"/>
  <c r="A75" i="6"/>
  <c r="B75" i="6"/>
  <c r="C75" i="6"/>
  <c r="D75" i="6"/>
  <c r="A50" i="6"/>
  <c r="B50" i="6"/>
  <c r="C50" i="6"/>
  <c r="D50" i="6"/>
  <c r="A25" i="6"/>
  <c r="B25" i="6"/>
  <c r="C25" i="6"/>
  <c r="D25" i="6"/>
  <c r="A375" i="4"/>
  <c r="B375" i="4"/>
  <c r="C375" i="4"/>
  <c r="D375" i="4"/>
  <c r="A350" i="4"/>
  <c r="B350" i="4"/>
  <c r="C350" i="4"/>
  <c r="D350" i="4"/>
  <c r="A325" i="4"/>
  <c r="B325" i="4"/>
  <c r="C325" i="4"/>
  <c r="D325" i="4"/>
  <c r="A300" i="4"/>
  <c r="B300" i="4"/>
  <c r="C300" i="4"/>
  <c r="D300" i="4"/>
  <c r="A275" i="4"/>
  <c r="B275" i="4"/>
  <c r="C275" i="4"/>
  <c r="D275" i="4"/>
  <c r="A250" i="4"/>
  <c r="B250" i="4"/>
  <c r="C250" i="4"/>
  <c r="D250" i="4"/>
  <c r="A225" i="4"/>
  <c r="B225" i="4"/>
  <c r="C225" i="4"/>
  <c r="D225" i="4"/>
  <c r="A200" i="4"/>
  <c r="B200" i="4"/>
  <c r="C200" i="4"/>
  <c r="D200" i="4"/>
  <c r="A175" i="4"/>
  <c r="B175" i="4"/>
  <c r="C175" i="4"/>
  <c r="D175" i="4"/>
  <c r="A150" i="4"/>
  <c r="B150" i="4"/>
  <c r="C150" i="4"/>
  <c r="D150" i="4"/>
  <c r="A125" i="4"/>
  <c r="B125" i="4"/>
  <c r="C125" i="4"/>
  <c r="D125" i="4"/>
  <c r="A100" i="4"/>
  <c r="B100" i="4"/>
  <c r="C100" i="4"/>
  <c r="D100" i="4"/>
  <c r="A75" i="4"/>
  <c r="B75" i="4"/>
  <c r="C75" i="4"/>
  <c r="D75" i="4"/>
  <c r="A50" i="4"/>
  <c r="B50" i="4"/>
  <c r="C50" i="4"/>
  <c r="D50" i="4"/>
  <c r="A25" i="4"/>
  <c r="B25" i="4"/>
  <c r="C25" i="4"/>
  <c r="D25" i="4"/>
  <c r="P206" i="6"/>
  <c r="Q206" i="6"/>
  <c r="J64" i="2"/>
  <c r="J63" i="2"/>
  <c r="J62" i="2"/>
  <c r="J61" i="2"/>
  <c r="J60" i="2"/>
  <c r="J59" i="2"/>
  <c r="J58" i="2"/>
  <c r="J57" i="2"/>
  <c r="J56" i="2"/>
  <c r="J55" i="2"/>
  <c r="J54" i="2"/>
  <c r="J53" i="2"/>
  <c r="AC84" i="11" l="1"/>
  <c r="Y83" i="18"/>
  <c r="Y54" i="18"/>
  <c r="AC55" i="11"/>
  <c r="N26" i="19"/>
  <c r="O26" i="19"/>
  <c r="P26" i="19" s="1"/>
  <c r="V25" i="6"/>
  <c r="W25" i="6" s="1"/>
  <c r="I241" i="22"/>
  <c r="J241" i="22" s="1"/>
  <c r="K241" i="22" s="1"/>
  <c r="V241" i="22"/>
  <c r="W242" i="20"/>
  <c r="X242" i="20" s="1"/>
  <c r="Y242" i="20" s="1"/>
  <c r="H316" i="22"/>
  <c r="V316" i="22" s="1"/>
  <c r="I316" i="22"/>
  <c r="H266" i="22"/>
  <c r="V266" i="22" s="1"/>
  <c r="I266" i="22"/>
  <c r="I367" i="20"/>
  <c r="H367" i="20"/>
  <c r="V367" i="20" s="1"/>
  <c r="H267" i="20"/>
  <c r="V267" i="20" s="1"/>
  <c r="I267" i="20"/>
  <c r="V125" i="6"/>
  <c r="W125" i="6" s="1"/>
  <c r="V242" i="20"/>
  <c r="H317" i="20"/>
  <c r="V317" i="20" s="1"/>
  <c r="I317" i="20"/>
  <c r="H366" i="22"/>
  <c r="V366" i="22" s="1"/>
  <c r="I366" i="22"/>
  <c r="W175" i="4"/>
  <c r="X175" i="4" s="1"/>
  <c r="Z175" i="4" s="1"/>
  <c r="K54" i="19"/>
  <c r="V175" i="6"/>
  <c r="W175" i="6" s="1"/>
  <c r="K82" i="19"/>
  <c r="E82" i="19"/>
  <c r="M54" i="19"/>
  <c r="E54" i="18"/>
  <c r="T54" i="18" s="1"/>
  <c r="K55" i="11"/>
  <c r="AB55" i="11" s="1"/>
  <c r="G84" i="11"/>
  <c r="X84" i="11" s="1"/>
  <c r="G54" i="19"/>
  <c r="C84" i="11"/>
  <c r="T84" i="11" s="1"/>
  <c r="C83" i="18"/>
  <c r="R83" i="18" s="1"/>
  <c r="S241" i="22"/>
  <c r="T241" i="22" s="1"/>
  <c r="I84" i="11"/>
  <c r="Z84" i="11" s="1"/>
  <c r="E84" i="11"/>
  <c r="V84" i="11" s="1"/>
  <c r="W125" i="4"/>
  <c r="W25" i="4"/>
  <c r="X25" i="4" s="1"/>
  <c r="Y25" i="4" s="1"/>
  <c r="C54" i="18"/>
  <c r="R54" i="18" s="1"/>
  <c r="Z250" i="6"/>
  <c r="E83" i="18"/>
  <c r="T83" i="18" s="1"/>
  <c r="M82" i="19"/>
  <c r="K84" i="11"/>
  <c r="AB84" i="11" s="1"/>
  <c r="E54" i="19"/>
  <c r="G82" i="19"/>
  <c r="I54" i="19"/>
  <c r="V200" i="6"/>
  <c r="W200" i="6" s="1"/>
  <c r="Z200" i="6"/>
  <c r="V225" i="6"/>
  <c r="W225" i="6" s="1"/>
  <c r="Z225" i="6"/>
  <c r="AC325" i="6"/>
  <c r="AB325" i="6"/>
  <c r="Z250" i="4"/>
  <c r="Y250" i="4"/>
  <c r="S225" i="4"/>
  <c r="T225" i="4" s="1"/>
  <c r="W225" i="4"/>
  <c r="AB300" i="6"/>
  <c r="AC300" i="6"/>
  <c r="Z150" i="4"/>
  <c r="Y150" i="4"/>
  <c r="Y325" i="4"/>
  <c r="Z325" i="4"/>
  <c r="S200" i="4"/>
  <c r="T200" i="4" s="1"/>
  <c r="W200" i="4"/>
  <c r="Z300" i="4"/>
  <c r="Y300" i="4"/>
  <c r="AC25" i="6"/>
  <c r="AB25" i="6"/>
  <c r="AC375" i="6"/>
  <c r="AB375" i="6"/>
  <c r="Z275" i="4"/>
  <c r="Y275" i="4"/>
  <c r="AC75" i="6"/>
  <c r="AB75" i="6"/>
  <c r="Z350" i="4"/>
  <c r="Y350" i="4"/>
  <c r="Z50" i="4"/>
  <c r="Y50" i="4"/>
  <c r="I82" i="19"/>
  <c r="Z100" i="4"/>
  <c r="Y100" i="4"/>
  <c r="AC100" i="6"/>
  <c r="AB100" i="6"/>
  <c r="Z375" i="4"/>
  <c r="Y375" i="4"/>
  <c r="AC125" i="6"/>
  <c r="AB125" i="6"/>
  <c r="AB50" i="6"/>
  <c r="AC50" i="6"/>
  <c r="AB175" i="6"/>
  <c r="AC175" i="6"/>
  <c r="Y75" i="4"/>
  <c r="Z75" i="4"/>
  <c r="AB350" i="6"/>
  <c r="AC350" i="6"/>
  <c r="AB275" i="6"/>
  <c r="I55" i="11"/>
  <c r="Z55" i="11" s="1"/>
  <c r="C54" i="19"/>
  <c r="AB150" i="6"/>
  <c r="AC150" i="6"/>
  <c r="N82" i="19"/>
  <c r="J83" i="18"/>
  <c r="L84" i="11"/>
  <c r="N54" i="19"/>
  <c r="J54" i="18"/>
  <c r="L55" i="11"/>
  <c r="E55" i="12"/>
  <c r="E66" i="12"/>
  <c r="D167" i="13"/>
  <c r="E167" i="13" s="1"/>
  <c r="D111" i="13"/>
  <c r="E44" i="12"/>
  <c r="D55" i="13"/>
  <c r="E55" i="13" s="1"/>
  <c r="J223" i="13"/>
  <c r="K223" i="13" s="1"/>
  <c r="J195" i="13"/>
  <c r="J111" i="13"/>
  <c r="J167" i="13"/>
  <c r="J139" i="13"/>
  <c r="D27" i="13"/>
  <c r="J27" i="13"/>
  <c r="K27" i="13" s="1"/>
  <c r="J83" i="13"/>
  <c r="K83" i="13" s="1"/>
  <c r="D83" i="13"/>
  <c r="E83" i="13" s="1"/>
  <c r="D139" i="13"/>
  <c r="E139" i="13" s="1"/>
  <c r="J55" i="13"/>
  <c r="E22" i="12"/>
  <c r="E33" i="12"/>
  <c r="E11" i="12"/>
  <c r="Q26" i="19" l="1"/>
  <c r="G55" i="11"/>
  <c r="X55" i="11" s="1"/>
  <c r="Z242" i="20"/>
  <c r="W241" i="22"/>
  <c r="X241" i="22" s="1"/>
  <c r="J266" i="22"/>
  <c r="K266" i="22" s="1"/>
  <c r="W266" i="22"/>
  <c r="X266" i="22" s="1"/>
  <c r="J316" i="22"/>
  <c r="K316" i="22" s="1"/>
  <c r="W316" i="22"/>
  <c r="X316" i="22" s="1"/>
  <c r="J317" i="20"/>
  <c r="K317" i="20" s="1"/>
  <c r="W317" i="20"/>
  <c r="X317" i="20" s="1"/>
  <c r="J267" i="20"/>
  <c r="K267" i="20" s="1"/>
  <c r="W267" i="20"/>
  <c r="X267" i="20" s="1"/>
  <c r="J367" i="20"/>
  <c r="K367" i="20" s="1"/>
  <c r="W367" i="20"/>
  <c r="X367" i="20" s="1"/>
  <c r="J366" i="22"/>
  <c r="K366" i="22" s="1"/>
  <c r="W366" i="22"/>
  <c r="X366" i="22" s="1"/>
  <c r="Y175" i="4"/>
  <c r="Z25" i="4"/>
  <c r="C55" i="11"/>
  <c r="T55" i="11" s="1"/>
  <c r="M84" i="11"/>
  <c r="N84" i="11" s="1"/>
  <c r="O84" i="11" s="1"/>
  <c r="AD84" i="11" s="1"/>
  <c r="X125" i="4"/>
  <c r="E55" i="11"/>
  <c r="V55" i="11" s="1"/>
  <c r="AA250" i="6"/>
  <c r="C82" i="19"/>
  <c r="O82" i="19" s="1"/>
  <c r="P82" i="19" s="1"/>
  <c r="Q82" i="19" s="1"/>
  <c r="O54" i="19"/>
  <c r="P54" i="19" s="1"/>
  <c r="Q54" i="19" s="1"/>
  <c r="AA225" i="6"/>
  <c r="I83" i="18"/>
  <c r="X83" i="18" s="1"/>
  <c r="X200" i="4"/>
  <c r="G54" i="18"/>
  <c r="V54" i="18" s="1"/>
  <c r="X225" i="4"/>
  <c r="I54" i="18"/>
  <c r="X54" i="18" s="1"/>
  <c r="AA200" i="6"/>
  <c r="G83" i="18"/>
  <c r="V83" i="18" s="1"/>
  <c r="Z241" i="22" l="1"/>
  <c r="Y241" i="22"/>
  <c r="Y267" i="20"/>
  <c r="Z267" i="20"/>
  <c r="Y317" i="20"/>
  <c r="Z317" i="20"/>
  <c r="Y366" i="22"/>
  <c r="Z366" i="22"/>
  <c r="Y367" i="20"/>
  <c r="Z367" i="20"/>
  <c r="Y266" i="22"/>
  <c r="Z266" i="22"/>
  <c r="Z316" i="22"/>
  <c r="Y316" i="22"/>
  <c r="M55" i="11"/>
  <c r="N55" i="11" s="1"/>
  <c r="O55" i="11" s="1"/>
  <c r="AD55" i="11" s="1"/>
  <c r="Z125" i="4"/>
  <c r="Y125" i="4"/>
  <c r="AB250" i="6"/>
  <c r="AC250" i="6"/>
  <c r="K83" i="18"/>
  <c r="L83" i="18" s="1"/>
  <c r="M83" i="18" s="1"/>
  <c r="Z83" i="18" s="1"/>
  <c r="AC225" i="6"/>
  <c r="AB225" i="6"/>
  <c r="Y225" i="4"/>
  <c r="Z225" i="4"/>
  <c r="K54" i="18"/>
  <c r="L54" i="18" s="1"/>
  <c r="M54" i="18" s="1"/>
  <c r="Z54" i="18" s="1"/>
  <c r="AC200" i="6"/>
  <c r="AB200" i="6"/>
  <c r="Z200" i="4"/>
  <c r="Y200" i="4"/>
  <c r="I374" i="6"/>
  <c r="I349" i="6"/>
  <c r="I324" i="6"/>
  <c r="I299" i="6"/>
  <c r="J299" i="6"/>
  <c r="J324" i="6"/>
  <c r="J349" i="6"/>
  <c r="J374" i="6"/>
  <c r="I274" i="6"/>
  <c r="I249" i="6"/>
  <c r="J249" i="6"/>
  <c r="Q210" i="6"/>
  <c r="P210" i="6"/>
  <c r="Q209" i="6"/>
  <c r="P209" i="6"/>
  <c r="Q208" i="6"/>
  <c r="P208" i="6"/>
  <c r="I224" i="6"/>
  <c r="I199" i="6"/>
  <c r="J224" i="6"/>
  <c r="K224" i="6" s="1"/>
  <c r="L224" i="6" s="1"/>
  <c r="J199" i="6"/>
  <c r="K199" i="6" s="1"/>
  <c r="L199" i="6" s="1"/>
  <c r="Q174" i="6"/>
  <c r="P174" i="6"/>
  <c r="Q173" i="6"/>
  <c r="P173" i="6"/>
  <c r="Q172" i="6"/>
  <c r="P172" i="6"/>
  <c r="Q171" i="6"/>
  <c r="P171" i="6"/>
  <c r="Q170" i="6"/>
  <c r="P170" i="6"/>
  <c r="Q169" i="6"/>
  <c r="P169" i="6"/>
  <c r="Q168" i="6"/>
  <c r="P168" i="6"/>
  <c r="Q167" i="6"/>
  <c r="P167" i="6"/>
  <c r="Q166" i="6"/>
  <c r="P166" i="6"/>
  <c r="Q164" i="6"/>
  <c r="P164" i="6"/>
  <c r="Q163" i="6"/>
  <c r="P163" i="6"/>
  <c r="Q162" i="6"/>
  <c r="P162" i="6"/>
  <c r="Q161" i="6"/>
  <c r="P161" i="6"/>
  <c r="Q160" i="6"/>
  <c r="P160" i="6"/>
  <c r="Q159" i="6"/>
  <c r="P159" i="6"/>
  <c r="Q158" i="6"/>
  <c r="P158" i="6"/>
  <c r="Q157" i="6"/>
  <c r="P157" i="6"/>
  <c r="Q156" i="6"/>
  <c r="P156" i="6"/>
  <c r="Q155" i="6"/>
  <c r="P155" i="6"/>
  <c r="P153" i="6"/>
  <c r="Q153" i="6"/>
  <c r="Q154" i="6"/>
  <c r="P154" i="6"/>
  <c r="I174" i="6"/>
  <c r="J174" i="6"/>
  <c r="K174" i="6" s="1"/>
  <c r="L174" i="6" s="1"/>
  <c r="I149" i="6"/>
  <c r="J149" i="6"/>
  <c r="K149" i="6" s="1"/>
  <c r="L149" i="6" s="1"/>
  <c r="I124" i="6"/>
  <c r="J124" i="6"/>
  <c r="K124" i="6" s="1"/>
  <c r="L124" i="6" s="1"/>
  <c r="P81" i="6"/>
  <c r="Q81" i="6"/>
  <c r="P89" i="6"/>
  <c r="Q89" i="6"/>
  <c r="P90" i="6"/>
  <c r="Q90" i="6"/>
  <c r="P91" i="6"/>
  <c r="Q91" i="6"/>
  <c r="P92" i="6"/>
  <c r="Q92" i="6"/>
  <c r="P93" i="6"/>
  <c r="Q93" i="6"/>
  <c r="P94" i="6"/>
  <c r="Q94" i="6"/>
  <c r="P95" i="6"/>
  <c r="Q95" i="6"/>
  <c r="P96" i="6"/>
  <c r="Q96" i="6"/>
  <c r="P97" i="6"/>
  <c r="Q97" i="6"/>
  <c r="P98" i="6"/>
  <c r="Q98" i="6"/>
  <c r="P99" i="6"/>
  <c r="Q99" i="6"/>
  <c r="Q79" i="6"/>
  <c r="P79" i="6"/>
  <c r="I99" i="6"/>
  <c r="J99" i="6"/>
  <c r="K99" i="6" s="1"/>
  <c r="L99" i="6" s="1"/>
  <c r="I78" i="6"/>
  <c r="J74" i="6"/>
  <c r="K74" i="6" s="1"/>
  <c r="L74" i="6" s="1"/>
  <c r="I74" i="6"/>
  <c r="J49" i="6"/>
  <c r="K49" i="6" s="1"/>
  <c r="L49" i="6" s="1"/>
  <c r="I49" i="6"/>
  <c r="I24" i="6"/>
  <c r="K349" i="6" l="1"/>
  <c r="L349" i="6" s="1"/>
  <c r="K374" i="6"/>
  <c r="L374" i="6" s="1"/>
  <c r="K299" i="6"/>
  <c r="L299" i="6" s="1"/>
  <c r="K249" i="6"/>
  <c r="L249" i="6" s="1"/>
  <c r="K324" i="6"/>
  <c r="L324" i="6" s="1"/>
  <c r="P210" i="4" l="1"/>
  <c r="O210" i="4"/>
  <c r="P209" i="4"/>
  <c r="O209" i="4"/>
  <c r="P208" i="4"/>
  <c r="O208" i="4"/>
  <c r="P206" i="4"/>
  <c r="O206" i="4"/>
  <c r="O155" i="4"/>
  <c r="P155" i="4"/>
  <c r="O156" i="4"/>
  <c r="P156" i="4"/>
  <c r="O157" i="4"/>
  <c r="P157" i="4"/>
  <c r="O158" i="4"/>
  <c r="P158" i="4"/>
  <c r="O159" i="4"/>
  <c r="P159" i="4"/>
  <c r="O160" i="4"/>
  <c r="P160" i="4"/>
  <c r="O161" i="4"/>
  <c r="P161" i="4"/>
  <c r="O162" i="4"/>
  <c r="P162" i="4"/>
  <c r="O163" i="4"/>
  <c r="P163" i="4"/>
  <c r="O164" i="4"/>
  <c r="P164" i="4"/>
  <c r="O166" i="4"/>
  <c r="P166" i="4"/>
  <c r="O124" i="4"/>
  <c r="O153" i="4"/>
  <c r="O103" i="4" s="1"/>
  <c r="P153" i="4"/>
  <c r="P154" i="4"/>
  <c r="O154" i="4"/>
  <c r="O81" i="4"/>
  <c r="P81" i="4"/>
  <c r="P79" i="4"/>
  <c r="O79" i="4"/>
  <c r="G23" i="4"/>
  <c r="F23" i="4"/>
  <c r="F15" i="4"/>
  <c r="F24" i="4"/>
  <c r="G153" i="4"/>
  <c r="F153" i="4"/>
  <c r="H149" i="4"/>
  <c r="H254" i="4"/>
  <c r="H174" i="4" l="1"/>
  <c r="I324" i="4"/>
  <c r="H324" i="4"/>
  <c r="H274" i="4"/>
  <c r="I274" i="4"/>
  <c r="H349" i="4"/>
  <c r="I349" i="4"/>
  <c r="H249" i="4"/>
  <c r="I249" i="4"/>
  <c r="I299" i="4"/>
  <c r="H299" i="4"/>
  <c r="I374" i="4"/>
  <c r="H374" i="4"/>
  <c r="H224" i="4"/>
  <c r="O24" i="4"/>
  <c r="O49" i="4" s="1"/>
  <c r="P124" i="4"/>
  <c r="I199" i="4"/>
  <c r="J199" i="4" s="1"/>
  <c r="K199" i="4" s="1"/>
  <c r="I224" i="4"/>
  <c r="J224" i="4" s="1"/>
  <c r="K224" i="4" s="1"/>
  <c r="H199" i="4"/>
  <c r="I149" i="4"/>
  <c r="I174" i="4"/>
  <c r="P24" i="4"/>
  <c r="F114" i="4"/>
  <c r="G114" i="4"/>
  <c r="F121" i="4"/>
  <c r="G121" i="4"/>
  <c r="F122" i="4"/>
  <c r="F72" i="4" s="1"/>
  <c r="G122" i="4"/>
  <c r="F124" i="4"/>
  <c r="G124" i="4"/>
  <c r="I124" i="4" s="1"/>
  <c r="G24" i="4"/>
  <c r="G49" i="4" s="1"/>
  <c r="I49" i="4" s="1"/>
  <c r="J49" i="4" s="1"/>
  <c r="K49" i="4" s="1"/>
  <c r="F83" i="4"/>
  <c r="G83" i="4"/>
  <c r="F85" i="4"/>
  <c r="G85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H99" i="4" s="1"/>
  <c r="G99" i="4"/>
  <c r="I99" i="4" s="1"/>
  <c r="H124" i="4" l="1"/>
  <c r="F74" i="4"/>
  <c r="H74" i="4" s="1"/>
  <c r="H24" i="4"/>
  <c r="F49" i="4"/>
  <c r="H49" i="4" s="1"/>
  <c r="G74" i="4"/>
  <c r="I74" i="4" s="1"/>
  <c r="J74" i="4" s="1"/>
  <c r="K74" i="4" s="1"/>
  <c r="J299" i="4"/>
  <c r="K299" i="4" s="1"/>
  <c r="J274" i="4"/>
  <c r="K274" i="4" s="1"/>
  <c r="J324" i="4"/>
  <c r="K324" i="4" s="1"/>
  <c r="J374" i="4"/>
  <c r="K374" i="4" s="1"/>
  <c r="J249" i="4"/>
  <c r="K249" i="4" s="1"/>
  <c r="J349" i="4"/>
  <c r="K349" i="4" s="1"/>
  <c r="O74" i="4"/>
  <c r="P74" i="4"/>
  <c r="I24" i="4"/>
  <c r="J24" i="4" s="1"/>
  <c r="K24" i="4" s="1"/>
  <c r="J99" i="4"/>
  <c r="K99" i="4" s="1"/>
  <c r="J174" i="4"/>
  <c r="K174" i="4" s="1"/>
  <c r="J149" i="4"/>
  <c r="K149" i="4" s="1"/>
  <c r="J124" i="4"/>
  <c r="K124" i="4" s="1"/>
  <c r="P49" i="4"/>
  <c r="I215" i="2"/>
  <c r="J215" i="2"/>
  <c r="I216" i="2"/>
  <c r="J216" i="2"/>
  <c r="I217" i="2"/>
  <c r="J217" i="2"/>
  <c r="I218" i="2"/>
  <c r="J218" i="2"/>
  <c r="I219" i="2"/>
  <c r="J219" i="2"/>
  <c r="I220" i="2"/>
  <c r="J220" i="2"/>
  <c r="I221" i="2"/>
  <c r="J221" i="2"/>
  <c r="I222" i="2"/>
  <c r="J222" i="2"/>
  <c r="I223" i="2"/>
  <c r="J223" i="2"/>
  <c r="I240" i="2"/>
  <c r="J240" i="2"/>
  <c r="I241" i="2"/>
  <c r="J241" i="2"/>
  <c r="I242" i="2"/>
  <c r="J242" i="2"/>
  <c r="I243" i="2"/>
  <c r="J243" i="2"/>
  <c r="I244" i="2"/>
  <c r="J244" i="2"/>
  <c r="I245" i="2"/>
  <c r="J245" i="2"/>
  <c r="I246" i="2"/>
  <c r="J246" i="2"/>
  <c r="I247" i="2"/>
  <c r="J247" i="2"/>
  <c r="I248" i="2"/>
  <c r="J248" i="2"/>
  <c r="I265" i="2"/>
  <c r="J265" i="2"/>
  <c r="I266" i="2"/>
  <c r="J266" i="2"/>
  <c r="I267" i="2"/>
  <c r="J267" i="2"/>
  <c r="I268" i="2"/>
  <c r="J268" i="2"/>
  <c r="I269" i="2"/>
  <c r="J269" i="2"/>
  <c r="I270" i="2"/>
  <c r="J270" i="2"/>
  <c r="I271" i="2"/>
  <c r="J271" i="2"/>
  <c r="I272" i="2"/>
  <c r="J272" i="2"/>
  <c r="I273" i="2"/>
  <c r="J273" i="2"/>
  <c r="I290" i="2"/>
  <c r="J290" i="2"/>
  <c r="I291" i="2"/>
  <c r="J291" i="2"/>
  <c r="I292" i="2"/>
  <c r="J292" i="2"/>
  <c r="I293" i="2"/>
  <c r="J293" i="2"/>
  <c r="I294" i="2"/>
  <c r="J294" i="2"/>
  <c r="I295" i="2"/>
  <c r="J295" i="2"/>
  <c r="I296" i="2"/>
  <c r="J296" i="2"/>
  <c r="I297" i="2"/>
  <c r="J297" i="2"/>
  <c r="I298" i="2"/>
  <c r="J298" i="2"/>
  <c r="I315" i="2"/>
  <c r="J315" i="2"/>
  <c r="I316" i="2"/>
  <c r="J316" i="2"/>
  <c r="I317" i="2"/>
  <c r="J317" i="2"/>
  <c r="I318" i="2"/>
  <c r="J318" i="2"/>
  <c r="I319" i="2"/>
  <c r="J319" i="2"/>
  <c r="I320" i="2"/>
  <c r="J320" i="2"/>
  <c r="I321" i="2"/>
  <c r="J321" i="2"/>
  <c r="I322" i="2"/>
  <c r="J322" i="2"/>
  <c r="I323" i="2"/>
  <c r="J323" i="2"/>
  <c r="I340" i="2"/>
  <c r="J340" i="2"/>
  <c r="I341" i="2"/>
  <c r="J341" i="2"/>
  <c r="I342" i="2"/>
  <c r="J342" i="2"/>
  <c r="I343" i="2"/>
  <c r="J343" i="2"/>
  <c r="I344" i="2"/>
  <c r="J344" i="2"/>
  <c r="I345" i="2"/>
  <c r="J345" i="2"/>
  <c r="I346" i="2"/>
  <c r="J346" i="2"/>
  <c r="I347" i="2"/>
  <c r="J347" i="2"/>
  <c r="I348" i="2"/>
  <c r="J348" i="2"/>
  <c r="I365" i="2"/>
  <c r="J365" i="2"/>
  <c r="I366" i="2"/>
  <c r="J366" i="2"/>
  <c r="I367" i="2"/>
  <c r="J367" i="2"/>
  <c r="I368" i="2"/>
  <c r="J368" i="2"/>
  <c r="I369" i="2"/>
  <c r="J369" i="2"/>
  <c r="I370" i="2"/>
  <c r="J370" i="2"/>
  <c r="I371" i="2"/>
  <c r="J371" i="2"/>
  <c r="I372" i="2"/>
  <c r="J372" i="2"/>
  <c r="I373" i="2"/>
  <c r="J373" i="2"/>
  <c r="I327" i="2" l="1"/>
  <c r="I227" i="2"/>
  <c r="I302" i="2"/>
  <c r="I202" i="2"/>
  <c r="I277" i="2"/>
  <c r="I352" i="2"/>
  <c r="I252" i="2"/>
  <c r="F106" i="10"/>
  <c r="G106" i="10" s="1"/>
  <c r="F94" i="10"/>
  <c r="G94" i="10" s="1"/>
  <c r="J24" i="6"/>
  <c r="K24" i="6" s="1"/>
  <c r="L24" i="6" s="1"/>
  <c r="L323" i="2"/>
  <c r="L298" i="2"/>
  <c r="L273" i="2"/>
  <c r="L248" i="2"/>
  <c r="L223" i="2"/>
  <c r="J198" i="2"/>
  <c r="J173" i="2"/>
  <c r="J148" i="2"/>
  <c r="J123" i="2"/>
  <c r="J98" i="2"/>
  <c r="J73" i="2"/>
  <c r="L48" i="2"/>
  <c r="L23" i="2"/>
  <c r="L373" i="2"/>
  <c r="L348" i="2"/>
  <c r="K348" i="2"/>
  <c r="O348" i="2" s="1"/>
  <c r="M341" i="20" s="1"/>
  <c r="K323" i="2"/>
  <c r="O323" i="2" s="1"/>
  <c r="N324" i="6" s="1"/>
  <c r="K298" i="2"/>
  <c r="O298" i="2" s="1"/>
  <c r="M290" i="22" s="1"/>
  <c r="K273" i="2"/>
  <c r="O273" i="2" s="1"/>
  <c r="M274" i="4" s="1"/>
  <c r="K248" i="2"/>
  <c r="O248" i="2" s="1"/>
  <c r="M241" i="20" s="1"/>
  <c r="K223" i="2"/>
  <c r="O223" i="2" s="1"/>
  <c r="I198" i="2"/>
  <c r="K198" i="2" s="1"/>
  <c r="O198" i="2" s="1"/>
  <c r="I173" i="2"/>
  <c r="K173" i="2" s="1"/>
  <c r="O173" i="2" s="1"/>
  <c r="I148" i="2"/>
  <c r="K148" i="2" s="1"/>
  <c r="O148" i="2" s="1"/>
  <c r="I123" i="2"/>
  <c r="K123" i="2" s="1"/>
  <c r="O123" i="2" s="1"/>
  <c r="I98" i="2"/>
  <c r="K98" i="2" s="1"/>
  <c r="O98" i="2" s="1"/>
  <c r="I73" i="2"/>
  <c r="K73" i="2" s="1"/>
  <c r="O73" i="2" s="1"/>
  <c r="K48" i="2"/>
  <c r="O48" i="2" s="1"/>
  <c r="M49" i="20" s="1"/>
  <c r="O23" i="2"/>
  <c r="K373" i="2"/>
  <c r="O373" i="2" s="1"/>
  <c r="M374" i="4" s="1"/>
  <c r="M174" i="4" l="1"/>
  <c r="Q174" i="4" s="1"/>
  <c r="V174" i="4" s="1"/>
  <c r="M168" i="22"/>
  <c r="M169" i="20"/>
  <c r="N199" i="6"/>
  <c r="T199" i="6" s="1"/>
  <c r="Y199" i="6" s="1"/>
  <c r="M192" i="22"/>
  <c r="M193" i="20"/>
  <c r="M149" i="4"/>
  <c r="Q149" i="4" s="1"/>
  <c r="V149" i="4" s="1"/>
  <c r="M145" i="20"/>
  <c r="M144" i="22"/>
  <c r="M24" i="22"/>
  <c r="M24" i="20"/>
  <c r="N224" i="6"/>
  <c r="T224" i="6" s="1"/>
  <c r="Y224" i="6" s="1"/>
  <c r="M216" i="22"/>
  <c r="M217" i="20"/>
  <c r="M49" i="4"/>
  <c r="Q49" i="4" s="1"/>
  <c r="V49" i="4" s="1"/>
  <c r="M48" i="22"/>
  <c r="M73" i="20"/>
  <c r="M72" i="22"/>
  <c r="M74" i="4"/>
  <c r="Q74" i="4" s="1"/>
  <c r="V74" i="4" s="1"/>
  <c r="N99" i="6"/>
  <c r="T99" i="6" s="1"/>
  <c r="Y99" i="6" s="1"/>
  <c r="M97" i="20"/>
  <c r="M96" i="22"/>
  <c r="N124" i="6"/>
  <c r="T124" i="6" s="1"/>
  <c r="Y124" i="6" s="1"/>
  <c r="M121" i="20"/>
  <c r="M120" i="22"/>
  <c r="Q241" i="20"/>
  <c r="Q274" i="4"/>
  <c r="V274" i="4" s="1"/>
  <c r="L73" i="2"/>
  <c r="M73" i="2" s="1"/>
  <c r="N73" i="2" s="1"/>
  <c r="Q290" i="22"/>
  <c r="L98" i="2"/>
  <c r="M98" i="2" s="1"/>
  <c r="N98" i="2" s="1"/>
  <c r="T324" i="6"/>
  <c r="Y324" i="6" s="1"/>
  <c r="L123" i="2"/>
  <c r="P123" i="2" s="1"/>
  <c r="Q341" i="20"/>
  <c r="L148" i="2"/>
  <c r="P148" i="2" s="1"/>
  <c r="L173" i="2"/>
  <c r="M173" i="2" s="1"/>
  <c r="N173" i="2" s="1"/>
  <c r="Q374" i="4"/>
  <c r="V374" i="4" s="1"/>
  <c r="L198" i="2"/>
  <c r="M198" i="2" s="1"/>
  <c r="N198" i="2" s="1"/>
  <c r="M298" i="2"/>
  <c r="N298" i="2" s="1"/>
  <c r="P298" i="2"/>
  <c r="M323" i="2"/>
  <c r="N323" i="2" s="1"/>
  <c r="P323" i="2"/>
  <c r="P348" i="2"/>
  <c r="M348" i="2"/>
  <c r="N348" i="2" s="1"/>
  <c r="M23" i="2"/>
  <c r="N23" i="2" s="1"/>
  <c r="P23" i="2"/>
  <c r="M223" i="2"/>
  <c r="N223" i="2" s="1"/>
  <c r="P223" i="2"/>
  <c r="M24" i="4"/>
  <c r="N24" i="6"/>
  <c r="M48" i="2"/>
  <c r="N48" i="2" s="1"/>
  <c r="P48" i="2"/>
  <c r="N49" i="20" s="1"/>
  <c r="M248" i="2"/>
  <c r="N248" i="2" s="1"/>
  <c r="P248" i="2"/>
  <c r="M273" i="2"/>
  <c r="N273" i="2" s="1"/>
  <c r="P273" i="2"/>
  <c r="M99" i="4"/>
  <c r="M199" i="4"/>
  <c r="M299" i="4"/>
  <c r="N49" i="6"/>
  <c r="N149" i="6"/>
  <c r="N249" i="6"/>
  <c r="N349" i="6"/>
  <c r="M266" i="20"/>
  <c r="M366" i="20"/>
  <c r="M315" i="22"/>
  <c r="M124" i="4"/>
  <c r="M224" i="4"/>
  <c r="M324" i="4"/>
  <c r="N74" i="6"/>
  <c r="N174" i="6"/>
  <c r="N274" i="6"/>
  <c r="T274" i="6" s="1"/>
  <c r="N374" i="6"/>
  <c r="M291" i="20"/>
  <c r="M240" i="22"/>
  <c r="M340" i="22"/>
  <c r="M249" i="4"/>
  <c r="M349" i="4"/>
  <c r="N299" i="6"/>
  <c r="M316" i="20"/>
  <c r="M265" i="22"/>
  <c r="M365" i="22"/>
  <c r="M373" i="2"/>
  <c r="N373" i="2" s="1"/>
  <c r="P373" i="2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01" i="13"/>
  <c r="H22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H194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45" i="13"/>
  <c r="H166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45" i="13"/>
  <c r="B166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17" i="13"/>
  <c r="H138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17" i="13"/>
  <c r="B138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89" i="13"/>
  <c r="H110" i="13"/>
  <c r="C110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89" i="13"/>
  <c r="B110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61" i="13"/>
  <c r="H82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61" i="13"/>
  <c r="B82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33" i="13"/>
  <c r="H54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33" i="13"/>
  <c r="B54" i="13"/>
  <c r="H26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5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B26" i="13"/>
  <c r="C183" i="10"/>
  <c r="D183" i="10"/>
  <c r="E183" i="10"/>
  <c r="C184" i="10"/>
  <c r="D184" i="10"/>
  <c r="E184" i="10"/>
  <c r="C185" i="10"/>
  <c r="D185" i="10"/>
  <c r="E185" i="10"/>
  <c r="C186" i="10"/>
  <c r="D186" i="10"/>
  <c r="E186" i="10"/>
  <c r="C187" i="10"/>
  <c r="D187" i="10"/>
  <c r="E187" i="10"/>
  <c r="C188" i="10"/>
  <c r="D188" i="10"/>
  <c r="E188" i="10"/>
  <c r="C189" i="10"/>
  <c r="D189" i="10"/>
  <c r="E189" i="10"/>
  <c r="C190" i="10"/>
  <c r="D190" i="10"/>
  <c r="E190" i="10"/>
  <c r="F190" i="10" s="1"/>
  <c r="G190" i="10" s="1"/>
  <c r="D182" i="10"/>
  <c r="E182" i="10"/>
  <c r="C182" i="10"/>
  <c r="C171" i="10"/>
  <c r="D171" i="10"/>
  <c r="E171" i="10"/>
  <c r="C172" i="10"/>
  <c r="D172" i="10"/>
  <c r="E172" i="10"/>
  <c r="C173" i="10"/>
  <c r="D173" i="10"/>
  <c r="E173" i="10"/>
  <c r="C174" i="10"/>
  <c r="D174" i="10"/>
  <c r="E174" i="10"/>
  <c r="C175" i="10"/>
  <c r="D175" i="10"/>
  <c r="E175" i="10"/>
  <c r="C176" i="10"/>
  <c r="D176" i="10"/>
  <c r="E176" i="10"/>
  <c r="C177" i="10"/>
  <c r="D177" i="10"/>
  <c r="E177" i="10"/>
  <c r="C178" i="10"/>
  <c r="D178" i="10"/>
  <c r="E178" i="10"/>
  <c r="F178" i="10" s="1"/>
  <c r="G178" i="10" s="1"/>
  <c r="D170" i="10"/>
  <c r="E170" i="10"/>
  <c r="C170" i="10"/>
  <c r="C159" i="10"/>
  <c r="D159" i="10"/>
  <c r="E159" i="10"/>
  <c r="C160" i="10"/>
  <c r="D160" i="10"/>
  <c r="E160" i="10"/>
  <c r="C161" i="10"/>
  <c r="D161" i="10"/>
  <c r="E161" i="10"/>
  <c r="C162" i="10"/>
  <c r="D162" i="10"/>
  <c r="E162" i="10"/>
  <c r="C163" i="10"/>
  <c r="D163" i="10"/>
  <c r="E163" i="10"/>
  <c r="C164" i="10"/>
  <c r="D164" i="10"/>
  <c r="E164" i="10"/>
  <c r="C165" i="10"/>
  <c r="D165" i="10"/>
  <c r="E165" i="10"/>
  <c r="C166" i="10"/>
  <c r="D166" i="10"/>
  <c r="E166" i="10"/>
  <c r="F166" i="10" s="1"/>
  <c r="G166" i="10" s="1"/>
  <c r="D158" i="10"/>
  <c r="E158" i="10"/>
  <c r="C158" i="10"/>
  <c r="C147" i="10"/>
  <c r="D147" i="10"/>
  <c r="E147" i="10"/>
  <c r="C148" i="10"/>
  <c r="D148" i="10"/>
  <c r="E148" i="10"/>
  <c r="C149" i="10"/>
  <c r="D149" i="10"/>
  <c r="E149" i="10"/>
  <c r="C150" i="10"/>
  <c r="D150" i="10"/>
  <c r="E150" i="10"/>
  <c r="C151" i="10"/>
  <c r="D151" i="10"/>
  <c r="E151" i="10"/>
  <c r="C152" i="10"/>
  <c r="D152" i="10"/>
  <c r="E152" i="10"/>
  <c r="C153" i="10"/>
  <c r="D153" i="10"/>
  <c r="E153" i="10"/>
  <c r="C154" i="10"/>
  <c r="D154" i="10"/>
  <c r="E154" i="10"/>
  <c r="F154" i="10" s="1"/>
  <c r="G154" i="10" s="1"/>
  <c r="D146" i="10"/>
  <c r="E146" i="10"/>
  <c r="C146" i="10"/>
  <c r="C135" i="10"/>
  <c r="D135" i="10"/>
  <c r="E135" i="10"/>
  <c r="C136" i="10"/>
  <c r="D136" i="10"/>
  <c r="E136" i="10"/>
  <c r="C137" i="10"/>
  <c r="D137" i="10"/>
  <c r="E137" i="10"/>
  <c r="C138" i="10"/>
  <c r="D138" i="10"/>
  <c r="E138" i="10"/>
  <c r="C139" i="10"/>
  <c r="D139" i="10"/>
  <c r="E139" i="10"/>
  <c r="C140" i="10"/>
  <c r="D140" i="10"/>
  <c r="E140" i="10"/>
  <c r="C141" i="10"/>
  <c r="D141" i="10"/>
  <c r="E141" i="10"/>
  <c r="C142" i="10"/>
  <c r="D142" i="10"/>
  <c r="E142" i="10"/>
  <c r="F142" i="10" s="1"/>
  <c r="G142" i="10" s="1"/>
  <c r="D134" i="10"/>
  <c r="E134" i="10"/>
  <c r="C134" i="10"/>
  <c r="C123" i="10"/>
  <c r="D123" i="10"/>
  <c r="E123" i="10"/>
  <c r="C124" i="10"/>
  <c r="D124" i="10"/>
  <c r="E124" i="10"/>
  <c r="C125" i="10"/>
  <c r="D125" i="10"/>
  <c r="E125" i="10"/>
  <c r="C126" i="10"/>
  <c r="D126" i="10"/>
  <c r="E126" i="10"/>
  <c r="C127" i="10"/>
  <c r="D127" i="10"/>
  <c r="E127" i="10"/>
  <c r="C128" i="10"/>
  <c r="D128" i="10"/>
  <c r="E128" i="10"/>
  <c r="C129" i="10"/>
  <c r="D129" i="10"/>
  <c r="E129" i="10"/>
  <c r="C130" i="10"/>
  <c r="D130" i="10"/>
  <c r="E130" i="10"/>
  <c r="F130" i="10" s="1"/>
  <c r="G130" i="10" s="1"/>
  <c r="D122" i="10"/>
  <c r="E122" i="10"/>
  <c r="C122" i="10"/>
  <c r="C111" i="10"/>
  <c r="D111" i="10"/>
  <c r="E111" i="10"/>
  <c r="C112" i="10"/>
  <c r="D112" i="10"/>
  <c r="E112" i="10"/>
  <c r="C113" i="10"/>
  <c r="D113" i="10"/>
  <c r="E113" i="10"/>
  <c r="C114" i="10"/>
  <c r="D114" i="10"/>
  <c r="E114" i="10"/>
  <c r="C115" i="10"/>
  <c r="D115" i="10"/>
  <c r="E115" i="10"/>
  <c r="C116" i="10"/>
  <c r="D116" i="10"/>
  <c r="E116" i="10"/>
  <c r="C117" i="10"/>
  <c r="D117" i="10"/>
  <c r="E117" i="10"/>
  <c r="C118" i="10"/>
  <c r="D118" i="10"/>
  <c r="E118" i="10"/>
  <c r="F118" i="10" s="1"/>
  <c r="G118" i="10" s="1"/>
  <c r="D110" i="10"/>
  <c r="E110" i="10"/>
  <c r="C110" i="10"/>
  <c r="C75" i="10"/>
  <c r="D75" i="10"/>
  <c r="E75" i="10"/>
  <c r="C76" i="10"/>
  <c r="D76" i="10"/>
  <c r="E76" i="10"/>
  <c r="C77" i="10"/>
  <c r="D77" i="10"/>
  <c r="E77" i="10"/>
  <c r="C78" i="10"/>
  <c r="D78" i="10"/>
  <c r="E78" i="10"/>
  <c r="C79" i="10"/>
  <c r="D79" i="10"/>
  <c r="E79" i="10"/>
  <c r="C80" i="10"/>
  <c r="D80" i="10"/>
  <c r="E80" i="10"/>
  <c r="C81" i="10"/>
  <c r="D81" i="10"/>
  <c r="E81" i="10"/>
  <c r="C82" i="10"/>
  <c r="D82" i="10"/>
  <c r="E82" i="10"/>
  <c r="F82" i="10" s="1"/>
  <c r="G82" i="10" s="1"/>
  <c r="D74" i="10"/>
  <c r="E74" i="10"/>
  <c r="C74" i="10"/>
  <c r="C63" i="10"/>
  <c r="D63" i="10"/>
  <c r="E63" i="10"/>
  <c r="C64" i="10"/>
  <c r="D64" i="10"/>
  <c r="E64" i="10"/>
  <c r="C65" i="10"/>
  <c r="D65" i="10"/>
  <c r="E65" i="10"/>
  <c r="C66" i="10"/>
  <c r="D66" i="10"/>
  <c r="E66" i="10"/>
  <c r="C67" i="10"/>
  <c r="D67" i="10"/>
  <c r="E67" i="10"/>
  <c r="C68" i="10"/>
  <c r="D68" i="10"/>
  <c r="E68" i="10"/>
  <c r="C69" i="10"/>
  <c r="D69" i="10"/>
  <c r="E69" i="10"/>
  <c r="C70" i="10"/>
  <c r="D70" i="10"/>
  <c r="E70" i="10"/>
  <c r="F70" i="10" s="1"/>
  <c r="G70" i="10" s="1"/>
  <c r="D62" i="10"/>
  <c r="E62" i="10"/>
  <c r="C62" i="10"/>
  <c r="C51" i="10"/>
  <c r="D51" i="10"/>
  <c r="E51" i="10"/>
  <c r="C52" i="10"/>
  <c r="D52" i="10"/>
  <c r="E52" i="10"/>
  <c r="C53" i="10"/>
  <c r="D53" i="10"/>
  <c r="E53" i="10"/>
  <c r="C54" i="10"/>
  <c r="D54" i="10"/>
  <c r="E54" i="10"/>
  <c r="C55" i="10"/>
  <c r="D55" i="10"/>
  <c r="E55" i="10"/>
  <c r="C56" i="10"/>
  <c r="D56" i="10"/>
  <c r="E56" i="10"/>
  <c r="C57" i="10"/>
  <c r="D57" i="10"/>
  <c r="E57" i="10"/>
  <c r="C58" i="10"/>
  <c r="D58" i="10"/>
  <c r="E58" i="10"/>
  <c r="F58" i="10" s="1"/>
  <c r="G58" i="10" s="1"/>
  <c r="D50" i="10"/>
  <c r="E50" i="10"/>
  <c r="C50" i="10"/>
  <c r="C39" i="10"/>
  <c r="D39" i="10"/>
  <c r="E39" i="10"/>
  <c r="C40" i="10"/>
  <c r="D40" i="10"/>
  <c r="E40" i="10"/>
  <c r="C41" i="10"/>
  <c r="D41" i="10"/>
  <c r="E41" i="10"/>
  <c r="C42" i="10"/>
  <c r="D42" i="10"/>
  <c r="E42" i="10"/>
  <c r="C43" i="10"/>
  <c r="D43" i="10"/>
  <c r="E43" i="10"/>
  <c r="C44" i="10"/>
  <c r="D44" i="10"/>
  <c r="E44" i="10"/>
  <c r="C45" i="10"/>
  <c r="D45" i="10"/>
  <c r="E45" i="10"/>
  <c r="C46" i="10"/>
  <c r="D46" i="10"/>
  <c r="E46" i="10"/>
  <c r="F46" i="10" s="1"/>
  <c r="G46" i="10" s="1"/>
  <c r="D38" i="10"/>
  <c r="E38" i="10"/>
  <c r="C38" i="10"/>
  <c r="C27" i="10"/>
  <c r="D27" i="10"/>
  <c r="E27" i="10"/>
  <c r="C28" i="10"/>
  <c r="D28" i="10"/>
  <c r="E28" i="10"/>
  <c r="C29" i="10"/>
  <c r="D29" i="10"/>
  <c r="E29" i="10"/>
  <c r="C30" i="10"/>
  <c r="D30" i="10"/>
  <c r="E30" i="10"/>
  <c r="C31" i="10"/>
  <c r="D31" i="10"/>
  <c r="E31" i="10"/>
  <c r="C32" i="10"/>
  <c r="D32" i="10"/>
  <c r="E32" i="10"/>
  <c r="C33" i="10"/>
  <c r="D33" i="10"/>
  <c r="E33" i="10"/>
  <c r="C34" i="10"/>
  <c r="D34" i="10"/>
  <c r="E34" i="10"/>
  <c r="F34" i="10" s="1"/>
  <c r="G34" i="10" s="1"/>
  <c r="D26" i="10"/>
  <c r="E26" i="10"/>
  <c r="C26" i="10"/>
  <c r="C15" i="10"/>
  <c r="D15" i="10"/>
  <c r="E15" i="10"/>
  <c r="C16" i="10"/>
  <c r="D16" i="10"/>
  <c r="E16" i="10"/>
  <c r="C17" i="10"/>
  <c r="D17" i="10"/>
  <c r="E17" i="10"/>
  <c r="C18" i="10"/>
  <c r="D18" i="10"/>
  <c r="E18" i="10"/>
  <c r="C19" i="10"/>
  <c r="D19" i="10"/>
  <c r="E19" i="10"/>
  <c r="C20" i="10"/>
  <c r="D20" i="10"/>
  <c r="E20" i="10"/>
  <c r="C21" i="10"/>
  <c r="D21" i="10"/>
  <c r="E21" i="10"/>
  <c r="C22" i="10"/>
  <c r="D22" i="10"/>
  <c r="E22" i="10"/>
  <c r="F22" i="10" s="1"/>
  <c r="G22" i="10" s="1"/>
  <c r="D14" i="10"/>
  <c r="E14" i="10"/>
  <c r="C14" i="10"/>
  <c r="C4" i="10"/>
  <c r="D4" i="10"/>
  <c r="E4" i="10"/>
  <c r="C5" i="10"/>
  <c r="D5" i="10"/>
  <c r="E5" i="10"/>
  <c r="C6" i="10"/>
  <c r="D6" i="10"/>
  <c r="E6" i="10"/>
  <c r="C7" i="10"/>
  <c r="D7" i="10"/>
  <c r="E7" i="10"/>
  <c r="C8" i="10"/>
  <c r="D8" i="10"/>
  <c r="E8" i="10"/>
  <c r="C9" i="10"/>
  <c r="D9" i="10"/>
  <c r="E9" i="10"/>
  <c r="F9" i="10" s="1"/>
  <c r="G9" i="10" s="1"/>
  <c r="C10" i="10"/>
  <c r="D10" i="10"/>
  <c r="E10" i="10"/>
  <c r="F10" i="10" s="1"/>
  <c r="G10" i="10" s="1"/>
  <c r="C3" i="10"/>
  <c r="D3" i="10"/>
  <c r="E3" i="10"/>
  <c r="E2" i="10"/>
  <c r="D2" i="10"/>
  <c r="C2" i="10"/>
  <c r="N216" i="22" l="1"/>
  <c r="N217" i="20"/>
  <c r="N145" i="20"/>
  <c r="N144" i="22"/>
  <c r="N24" i="22"/>
  <c r="N24" i="20"/>
  <c r="N121" i="20"/>
  <c r="N120" i="22"/>
  <c r="N48" i="22"/>
  <c r="Q240" i="22"/>
  <c r="P198" i="2"/>
  <c r="Q198" i="2" s="1"/>
  <c r="R198" i="2" s="1"/>
  <c r="P73" i="2"/>
  <c r="O74" i="6" s="1"/>
  <c r="M123" i="2"/>
  <c r="N123" i="2" s="1"/>
  <c r="J166" i="13"/>
  <c r="P98" i="2"/>
  <c r="Q98" i="2" s="1"/>
  <c r="R98" i="2" s="1"/>
  <c r="J110" i="13"/>
  <c r="K110" i="13" s="1"/>
  <c r="M148" i="2"/>
  <c r="N148" i="2" s="1"/>
  <c r="J54" i="13"/>
  <c r="K54" i="13" s="1"/>
  <c r="P173" i="2"/>
  <c r="J26" i="13"/>
  <c r="D82" i="13"/>
  <c r="E82" i="13" s="1"/>
  <c r="Q365" i="22"/>
  <c r="Q291" i="20"/>
  <c r="Q315" i="22"/>
  <c r="Q199" i="4"/>
  <c r="V199" i="4" s="1"/>
  <c r="F53" i="18" s="1"/>
  <c r="U53" i="18" s="1"/>
  <c r="Q265" i="22"/>
  <c r="T374" i="6"/>
  <c r="Y374" i="6" s="1"/>
  <c r="L81" i="19" s="1"/>
  <c r="Q366" i="20"/>
  <c r="Q99" i="4"/>
  <c r="V99" i="4" s="1"/>
  <c r="B53" i="18" s="1"/>
  <c r="Q53" i="18" s="1"/>
  <c r="Q316" i="20"/>
  <c r="Y274" i="6"/>
  <c r="D81" i="19" s="1"/>
  <c r="Q266" i="20"/>
  <c r="T24" i="6"/>
  <c r="Y24" i="6" s="1"/>
  <c r="B83" i="11" s="1"/>
  <c r="S83" i="11" s="1"/>
  <c r="J138" i="13"/>
  <c r="T299" i="6"/>
  <c r="Y299" i="6" s="1"/>
  <c r="F81" i="19" s="1"/>
  <c r="T174" i="6"/>
  <c r="Y174" i="6" s="1"/>
  <c r="F83" i="11" s="1"/>
  <c r="W83" i="11" s="1"/>
  <c r="T349" i="6"/>
  <c r="Y349" i="6" s="1"/>
  <c r="J81" i="19" s="1"/>
  <c r="Q24" i="4"/>
  <c r="V24" i="4" s="1"/>
  <c r="B54" i="11" s="1"/>
  <c r="S54" i="11" s="1"/>
  <c r="D26" i="13"/>
  <c r="E26" i="13" s="1"/>
  <c r="D138" i="13"/>
  <c r="Q349" i="4"/>
  <c r="V349" i="4" s="1"/>
  <c r="J53" i="19" s="1"/>
  <c r="T74" i="6"/>
  <c r="Y74" i="6" s="1"/>
  <c r="J83" i="11" s="1"/>
  <c r="AA83" i="11" s="1"/>
  <c r="T249" i="6"/>
  <c r="Y249" i="6" s="1"/>
  <c r="B81" i="19" s="1"/>
  <c r="Q249" i="4"/>
  <c r="V249" i="4" s="1"/>
  <c r="B53" i="19" s="1"/>
  <c r="Q324" i="4"/>
  <c r="V324" i="4" s="1"/>
  <c r="H53" i="19" s="1"/>
  <c r="T149" i="6"/>
  <c r="Y149" i="6" s="1"/>
  <c r="D82" i="18" s="1"/>
  <c r="S82" i="18" s="1"/>
  <c r="Q340" i="22"/>
  <c r="Q224" i="4"/>
  <c r="V224" i="4" s="1"/>
  <c r="H53" i="18" s="1"/>
  <c r="W53" i="18" s="1"/>
  <c r="T49" i="6"/>
  <c r="Y49" i="6" s="1"/>
  <c r="H83" i="11" s="1"/>
  <c r="Y83" i="11" s="1"/>
  <c r="Q124" i="4"/>
  <c r="V124" i="4" s="1"/>
  <c r="D54" i="11" s="1"/>
  <c r="U54" i="11" s="1"/>
  <c r="Q299" i="4"/>
  <c r="V299" i="4" s="1"/>
  <c r="F53" i="19" s="1"/>
  <c r="Q48" i="2"/>
  <c r="R48" i="2" s="1"/>
  <c r="N49" i="4"/>
  <c r="O49" i="6"/>
  <c r="Q148" i="2"/>
  <c r="R148" i="2" s="1"/>
  <c r="N149" i="4"/>
  <c r="O149" i="6"/>
  <c r="D54" i="13"/>
  <c r="E54" i="13" s="1"/>
  <c r="Q273" i="2"/>
  <c r="R273" i="2" s="1"/>
  <c r="N274" i="4"/>
  <c r="N265" i="22"/>
  <c r="S265" i="22" s="1"/>
  <c r="T265" i="22" s="1"/>
  <c r="O274" i="6"/>
  <c r="N266" i="20"/>
  <c r="S266" i="20" s="1"/>
  <c r="T266" i="20" s="1"/>
  <c r="Q223" i="2"/>
  <c r="R223" i="2" s="1"/>
  <c r="O224" i="6"/>
  <c r="N224" i="4"/>
  <c r="Q123" i="2"/>
  <c r="R123" i="2" s="1"/>
  <c r="O124" i="6"/>
  <c r="N124" i="4"/>
  <c r="Q323" i="2"/>
  <c r="R323" i="2" s="1"/>
  <c r="O324" i="6"/>
  <c r="N316" i="20"/>
  <c r="S316" i="20" s="1"/>
  <c r="T316" i="20" s="1"/>
  <c r="N324" i="4"/>
  <c r="N315" i="22"/>
  <c r="S315" i="22" s="1"/>
  <c r="T315" i="22" s="1"/>
  <c r="D110" i="13"/>
  <c r="Q373" i="2"/>
  <c r="R373" i="2" s="1"/>
  <c r="N374" i="4"/>
  <c r="N365" i="22"/>
  <c r="S365" i="22" s="1"/>
  <c r="T365" i="22" s="1"/>
  <c r="O374" i="6"/>
  <c r="N366" i="20"/>
  <c r="S366" i="20" s="1"/>
  <c r="T366" i="20" s="1"/>
  <c r="J82" i="13"/>
  <c r="J222" i="13"/>
  <c r="K222" i="13" s="1"/>
  <c r="N241" i="20"/>
  <c r="N249" i="4"/>
  <c r="N240" i="22"/>
  <c r="O249" i="6"/>
  <c r="Q248" i="2"/>
  <c r="R248" i="2" s="1"/>
  <c r="N24" i="4"/>
  <c r="Q23" i="2"/>
  <c r="R23" i="2" s="1"/>
  <c r="O24" i="6"/>
  <c r="N299" i="4"/>
  <c r="N290" i="22"/>
  <c r="S290" i="22" s="1"/>
  <c r="T290" i="22" s="1"/>
  <c r="Q298" i="2"/>
  <c r="R298" i="2" s="1"/>
  <c r="O299" i="6"/>
  <c r="N291" i="20"/>
  <c r="S291" i="20" s="1"/>
  <c r="T291" i="20" s="1"/>
  <c r="J194" i="13"/>
  <c r="N341" i="20"/>
  <c r="S341" i="20" s="1"/>
  <c r="T341" i="20" s="1"/>
  <c r="N349" i="4"/>
  <c r="N340" i="22"/>
  <c r="S340" i="22" s="1"/>
  <c r="T340" i="22" s="1"/>
  <c r="Q348" i="2"/>
  <c r="R348" i="2" s="1"/>
  <c r="O349" i="6"/>
  <c r="D166" i="13"/>
  <c r="E166" i="13" s="1"/>
  <c r="C65" i="12"/>
  <c r="D65" i="12"/>
  <c r="C54" i="12"/>
  <c r="D54" i="12"/>
  <c r="C43" i="12"/>
  <c r="D43" i="12"/>
  <c r="C32" i="12"/>
  <c r="D32" i="12"/>
  <c r="C21" i="12"/>
  <c r="D21" i="12"/>
  <c r="C10" i="12"/>
  <c r="D10" i="12"/>
  <c r="H81" i="19"/>
  <c r="D53" i="19"/>
  <c r="L53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B82" i="18"/>
  <c r="Q82" i="18" s="1"/>
  <c r="F82" i="18"/>
  <c r="U82" i="18" s="1"/>
  <c r="H82" i="18"/>
  <c r="W82" i="18" s="1"/>
  <c r="D53" i="18"/>
  <c r="S53" i="18" s="1"/>
  <c r="B25" i="18"/>
  <c r="C25" i="18"/>
  <c r="D25" i="18"/>
  <c r="E25" i="18"/>
  <c r="F25" i="18"/>
  <c r="G25" i="18"/>
  <c r="H25" i="18"/>
  <c r="I25" i="18"/>
  <c r="D83" i="11"/>
  <c r="U83" i="11" s="1"/>
  <c r="F54" i="11"/>
  <c r="W54" i="11" s="1"/>
  <c r="H54" i="11"/>
  <c r="Y54" i="11" s="1"/>
  <c r="J54" i="11"/>
  <c r="AA54" i="11" s="1"/>
  <c r="B25" i="11"/>
  <c r="C25" i="11"/>
  <c r="D25" i="11"/>
  <c r="E25" i="11"/>
  <c r="F25" i="11"/>
  <c r="G25" i="11"/>
  <c r="H25" i="11"/>
  <c r="I25" i="11"/>
  <c r="J25" i="11"/>
  <c r="K25" i="11"/>
  <c r="E365" i="22"/>
  <c r="D365" i="22"/>
  <c r="C365" i="22"/>
  <c r="B365" i="22"/>
  <c r="A365" i="22"/>
  <c r="D364" i="22"/>
  <c r="C364" i="22"/>
  <c r="B364" i="22"/>
  <c r="A364" i="22"/>
  <c r="D363" i="22"/>
  <c r="C363" i="22"/>
  <c r="B363" i="22"/>
  <c r="A363" i="22"/>
  <c r="D362" i="22"/>
  <c r="C362" i="22"/>
  <c r="B362" i="22"/>
  <c r="A362" i="22"/>
  <c r="D361" i="22"/>
  <c r="C361" i="22"/>
  <c r="B361" i="22"/>
  <c r="A361" i="22"/>
  <c r="D360" i="22"/>
  <c r="C360" i="22"/>
  <c r="B360" i="22"/>
  <c r="A360" i="22"/>
  <c r="D359" i="22"/>
  <c r="C359" i="22"/>
  <c r="B359" i="22"/>
  <c r="A359" i="22"/>
  <c r="D358" i="22"/>
  <c r="C358" i="22"/>
  <c r="B358" i="22"/>
  <c r="A358" i="22"/>
  <c r="D357" i="22"/>
  <c r="C357" i="22"/>
  <c r="B357" i="22"/>
  <c r="A357" i="22"/>
  <c r="D356" i="22"/>
  <c r="C356" i="22"/>
  <c r="B356" i="22"/>
  <c r="A356" i="22"/>
  <c r="D355" i="22"/>
  <c r="C355" i="22"/>
  <c r="B355" i="22"/>
  <c r="A355" i="22"/>
  <c r="D354" i="22"/>
  <c r="C354" i="22"/>
  <c r="B354" i="22"/>
  <c r="A354" i="22"/>
  <c r="D353" i="22"/>
  <c r="C353" i="22"/>
  <c r="B353" i="22"/>
  <c r="A353" i="22"/>
  <c r="D352" i="22"/>
  <c r="C352" i="22"/>
  <c r="B352" i="22"/>
  <c r="A352" i="22"/>
  <c r="D351" i="22"/>
  <c r="C351" i="22"/>
  <c r="B351" i="22"/>
  <c r="A351" i="22"/>
  <c r="D350" i="22"/>
  <c r="C350" i="22"/>
  <c r="B350" i="22"/>
  <c r="A350" i="22"/>
  <c r="D349" i="22"/>
  <c r="C349" i="22"/>
  <c r="B349" i="22"/>
  <c r="A349" i="22"/>
  <c r="D348" i="22"/>
  <c r="C348" i="22"/>
  <c r="B348" i="22"/>
  <c r="A348" i="22"/>
  <c r="D347" i="22"/>
  <c r="C347" i="22"/>
  <c r="B347" i="22"/>
  <c r="A347" i="22"/>
  <c r="D346" i="22"/>
  <c r="C346" i="22"/>
  <c r="B346" i="22"/>
  <c r="A346" i="22"/>
  <c r="D345" i="22"/>
  <c r="C345" i="22"/>
  <c r="B345" i="22"/>
  <c r="A345" i="22"/>
  <c r="D344" i="22"/>
  <c r="C344" i="22"/>
  <c r="B344" i="22"/>
  <c r="A344" i="22"/>
  <c r="E340" i="22"/>
  <c r="D340" i="22"/>
  <c r="C340" i="22"/>
  <c r="B340" i="22"/>
  <c r="A340" i="22"/>
  <c r="D339" i="22"/>
  <c r="C339" i="22"/>
  <c r="B339" i="22"/>
  <c r="A339" i="22"/>
  <c r="D338" i="22"/>
  <c r="C338" i="22"/>
  <c r="B338" i="22"/>
  <c r="A338" i="22"/>
  <c r="D337" i="22"/>
  <c r="C337" i="22"/>
  <c r="B337" i="22"/>
  <c r="A337" i="22"/>
  <c r="D336" i="22"/>
  <c r="C336" i="22"/>
  <c r="B336" i="22"/>
  <c r="A336" i="22"/>
  <c r="D335" i="22"/>
  <c r="C335" i="22"/>
  <c r="B335" i="22"/>
  <c r="A335" i="22"/>
  <c r="D334" i="22"/>
  <c r="C334" i="22"/>
  <c r="B334" i="22"/>
  <c r="A334" i="22"/>
  <c r="D333" i="22"/>
  <c r="C333" i="22"/>
  <c r="B333" i="22"/>
  <c r="A333" i="22"/>
  <c r="D332" i="22"/>
  <c r="C332" i="22"/>
  <c r="B332" i="22"/>
  <c r="A332" i="22"/>
  <c r="D331" i="22"/>
  <c r="C331" i="22"/>
  <c r="B331" i="22"/>
  <c r="A331" i="22"/>
  <c r="D330" i="22"/>
  <c r="C330" i="22"/>
  <c r="B330" i="22"/>
  <c r="A330" i="22"/>
  <c r="D329" i="22"/>
  <c r="C329" i="22"/>
  <c r="B329" i="22"/>
  <c r="A329" i="22"/>
  <c r="D328" i="22"/>
  <c r="C328" i="22"/>
  <c r="B328" i="22"/>
  <c r="A328" i="22"/>
  <c r="D327" i="22"/>
  <c r="C327" i="22"/>
  <c r="B327" i="22"/>
  <c r="A327" i="22"/>
  <c r="D326" i="22"/>
  <c r="C326" i="22"/>
  <c r="B326" i="22"/>
  <c r="A326" i="22"/>
  <c r="D325" i="22"/>
  <c r="C325" i="22"/>
  <c r="B325" i="22"/>
  <c r="A325" i="22"/>
  <c r="D324" i="22"/>
  <c r="C324" i="22"/>
  <c r="B324" i="22"/>
  <c r="A324" i="22"/>
  <c r="D323" i="22"/>
  <c r="C323" i="22"/>
  <c r="B323" i="22"/>
  <c r="A323" i="22"/>
  <c r="D322" i="22"/>
  <c r="C322" i="22"/>
  <c r="B322" i="22"/>
  <c r="A322" i="22"/>
  <c r="D321" i="22"/>
  <c r="C321" i="22"/>
  <c r="B321" i="22"/>
  <c r="A321" i="22"/>
  <c r="D320" i="22"/>
  <c r="C320" i="22"/>
  <c r="B320" i="22"/>
  <c r="A320" i="22"/>
  <c r="D319" i="22"/>
  <c r="C319" i="22"/>
  <c r="B319" i="22"/>
  <c r="A319" i="22"/>
  <c r="E315" i="22"/>
  <c r="D315" i="22"/>
  <c r="C315" i="22"/>
  <c r="B315" i="22"/>
  <c r="A315" i="22"/>
  <c r="D314" i="22"/>
  <c r="C314" i="22"/>
  <c r="B314" i="22"/>
  <c r="A314" i="22"/>
  <c r="D313" i="22"/>
  <c r="C313" i="22"/>
  <c r="B313" i="22"/>
  <c r="A313" i="22"/>
  <c r="D312" i="22"/>
  <c r="C312" i="22"/>
  <c r="B312" i="22"/>
  <c r="A312" i="22"/>
  <c r="D311" i="22"/>
  <c r="C311" i="22"/>
  <c r="B311" i="22"/>
  <c r="A311" i="22"/>
  <c r="D310" i="22"/>
  <c r="C310" i="22"/>
  <c r="B310" i="22"/>
  <c r="A310" i="22"/>
  <c r="D309" i="22"/>
  <c r="C309" i="22"/>
  <c r="B309" i="22"/>
  <c r="A309" i="22"/>
  <c r="D308" i="22"/>
  <c r="C308" i="22"/>
  <c r="B308" i="22"/>
  <c r="A308" i="22"/>
  <c r="D307" i="22"/>
  <c r="C307" i="22"/>
  <c r="B307" i="22"/>
  <c r="A307" i="22"/>
  <c r="D306" i="22"/>
  <c r="C306" i="22"/>
  <c r="B306" i="22"/>
  <c r="A306" i="22"/>
  <c r="D305" i="22"/>
  <c r="C305" i="22"/>
  <c r="B305" i="22"/>
  <c r="A305" i="22"/>
  <c r="D304" i="22"/>
  <c r="C304" i="22"/>
  <c r="B304" i="22"/>
  <c r="A304" i="22"/>
  <c r="D303" i="22"/>
  <c r="C303" i="22"/>
  <c r="B303" i="22"/>
  <c r="A303" i="22"/>
  <c r="D302" i="22"/>
  <c r="C302" i="22"/>
  <c r="B302" i="22"/>
  <c r="A302" i="22"/>
  <c r="D301" i="22"/>
  <c r="C301" i="22"/>
  <c r="B301" i="22"/>
  <c r="A301" i="22"/>
  <c r="D300" i="22"/>
  <c r="C300" i="22"/>
  <c r="B300" i="22"/>
  <c r="A300" i="22"/>
  <c r="D299" i="22"/>
  <c r="C299" i="22"/>
  <c r="B299" i="22"/>
  <c r="A299" i="22"/>
  <c r="D298" i="22"/>
  <c r="C298" i="22"/>
  <c r="B298" i="22"/>
  <c r="A298" i="22"/>
  <c r="D297" i="22"/>
  <c r="C297" i="22"/>
  <c r="B297" i="22"/>
  <c r="A297" i="22"/>
  <c r="D296" i="22"/>
  <c r="C296" i="22"/>
  <c r="B296" i="22"/>
  <c r="A296" i="22"/>
  <c r="D295" i="22"/>
  <c r="C295" i="22"/>
  <c r="B295" i="22"/>
  <c r="A295" i="22"/>
  <c r="D294" i="22"/>
  <c r="C294" i="22"/>
  <c r="B294" i="22"/>
  <c r="A294" i="22"/>
  <c r="E290" i="22"/>
  <c r="D290" i="22"/>
  <c r="C290" i="22"/>
  <c r="B290" i="22"/>
  <c r="A290" i="22"/>
  <c r="D289" i="22"/>
  <c r="C289" i="22"/>
  <c r="B289" i="22"/>
  <c r="A289" i="22"/>
  <c r="D288" i="22"/>
  <c r="C288" i="22"/>
  <c r="B288" i="22"/>
  <c r="A288" i="22"/>
  <c r="D287" i="22"/>
  <c r="C287" i="22"/>
  <c r="B287" i="22"/>
  <c r="A287" i="22"/>
  <c r="D286" i="22"/>
  <c r="C286" i="22"/>
  <c r="B286" i="22"/>
  <c r="A286" i="22"/>
  <c r="D285" i="22"/>
  <c r="C285" i="22"/>
  <c r="B285" i="22"/>
  <c r="A285" i="22"/>
  <c r="D284" i="22"/>
  <c r="C284" i="22"/>
  <c r="B284" i="22"/>
  <c r="A284" i="22"/>
  <c r="D283" i="22"/>
  <c r="C283" i="22"/>
  <c r="B283" i="22"/>
  <c r="A283" i="22"/>
  <c r="D282" i="22"/>
  <c r="C282" i="22"/>
  <c r="B282" i="22"/>
  <c r="A282" i="22"/>
  <c r="D281" i="22"/>
  <c r="C281" i="22"/>
  <c r="B281" i="22"/>
  <c r="A281" i="22"/>
  <c r="D280" i="22"/>
  <c r="C280" i="22"/>
  <c r="B280" i="22"/>
  <c r="A280" i="22"/>
  <c r="D279" i="22"/>
  <c r="C279" i="22"/>
  <c r="B279" i="22"/>
  <c r="A279" i="22"/>
  <c r="D278" i="22"/>
  <c r="C278" i="22"/>
  <c r="B278" i="22"/>
  <c r="A278" i="22"/>
  <c r="D277" i="22"/>
  <c r="C277" i="22"/>
  <c r="B277" i="22"/>
  <c r="A277" i="22"/>
  <c r="D276" i="22"/>
  <c r="C276" i="22"/>
  <c r="B276" i="22"/>
  <c r="A276" i="22"/>
  <c r="D275" i="22"/>
  <c r="C275" i="22"/>
  <c r="B275" i="22"/>
  <c r="A275" i="22"/>
  <c r="D274" i="22"/>
  <c r="C274" i="22"/>
  <c r="B274" i="22"/>
  <c r="A274" i="22"/>
  <c r="D273" i="22"/>
  <c r="C273" i="22"/>
  <c r="B273" i="22"/>
  <c r="A273" i="22"/>
  <c r="D272" i="22"/>
  <c r="C272" i="22"/>
  <c r="B272" i="22"/>
  <c r="A272" i="22"/>
  <c r="D271" i="22"/>
  <c r="C271" i="22"/>
  <c r="B271" i="22"/>
  <c r="A271" i="22"/>
  <c r="D270" i="22"/>
  <c r="C270" i="22"/>
  <c r="B270" i="22"/>
  <c r="A270" i="22"/>
  <c r="D269" i="22"/>
  <c r="C269" i="22"/>
  <c r="B269" i="22"/>
  <c r="A269" i="22"/>
  <c r="E265" i="22"/>
  <c r="D265" i="22"/>
  <c r="C265" i="22"/>
  <c r="B265" i="22"/>
  <c r="A265" i="22"/>
  <c r="D264" i="22"/>
  <c r="C264" i="22"/>
  <c r="B264" i="22"/>
  <c r="A264" i="22"/>
  <c r="D263" i="22"/>
  <c r="C263" i="22"/>
  <c r="B263" i="22"/>
  <c r="A263" i="22"/>
  <c r="D262" i="22"/>
  <c r="C262" i="22"/>
  <c r="B262" i="22"/>
  <c r="A262" i="22"/>
  <c r="D261" i="22"/>
  <c r="C261" i="22"/>
  <c r="B261" i="22"/>
  <c r="A261" i="22"/>
  <c r="D260" i="22"/>
  <c r="C260" i="22"/>
  <c r="B260" i="22"/>
  <c r="A260" i="22"/>
  <c r="D259" i="22"/>
  <c r="C259" i="22"/>
  <c r="B259" i="22"/>
  <c r="A259" i="22"/>
  <c r="D258" i="22"/>
  <c r="C258" i="22"/>
  <c r="B258" i="22"/>
  <c r="A258" i="22"/>
  <c r="D257" i="22"/>
  <c r="C257" i="22"/>
  <c r="B257" i="22"/>
  <c r="A257" i="22"/>
  <c r="D256" i="22"/>
  <c r="C256" i="22"/>
  <c r="B256" i="22"/>
  <c r="A256" i="22"/>
  <c r="D255" i="22"/>
  <c r="C255" i="22"/>
  <c r="B255" i="22"/>
  <c r="A255" i="22"/>
  <c r="D254" i="22"/>
  <c r="C254" i="22"/>
  <c r="B254" i="22"/>
  <c r="A254" i="22"/>
  <c r="D253" i="22"/>
  <c r="C253" i="22"/>
  <c r="B253" i="22"/>
  <c r="A253" i="22"/>
  <c r="D252" i="22"/>
  <c r="C252" i="22"/>
  <c r="B252" i="22"/>
  <c r="A252" i="22"/>
  <c r="D251" i="22"/>
  <c r="C251" i="22"/>
  <c r="B251" i="22"/>
  <c r="A251" i="22"/>
  <c r="D250" i="22"/>
  <c r="C250" i="22"/>
  <c r="B250" i="22"/>
  <c r="A250" i="22"/>
  <c r="D249" i="22"/>
  <c r="C249" i="22"/>
  <c r="B249" i="22"/>
  <c r="A249" i="22"/>
  <c r="D248" i="22"/>
  <c r="C248" i="22"/>
  <c r="B248" i="22"/>
  <c r="A248" i="22"/>
  <c r="D247" i="22"/>
  <c r="C247" i="22"/>
  <c r="B247" i="22"/>
  <c r="A247" i="22"/>
  <c r="D246" i="22"/>
  <c r="C246" i="22"/>
  <c r="B246" i="22"/>
  <c r="A246" i="22"/>
  <c r="D245" i="22"/>
  <c r="C245" i="22"/>
  <c r="B245" i="22"/>
  <c r="A245" i="22"/>
  <c r="D244" i="22"/>
  <c r="C244" i="22"/>
  <c r="B244" i="22"/>
  <c r="A244" i="22"/>
  <c r="E240" i="22"/>
  <c r="D240" i="22"/>
  <c r="C240" i="22"/>
  <c r="B240" i="22"/>
  <c r="A240" i="22"/>
  <c r="D239" i="22"/>
  <c r="C239" i="22"/>
  <c r="B239" i="22"/>
  <c r="A239" i="22"/>
  <c r="D238" i="22"/>
  <c r="C238" i="22"/>
  <c r="B238" i="22"/>
  <c r="A238" i="22"/>
  <c r="D237" i="22"/>
  <c r="C237" i="22"/>
  <c r="B237" i="22"/>
  <c r="A237" i="22"/>
  <c r="D236" i="22"/>
  <c r="C236" i="22"/>
  <c r="B236" i="22"/>
  <c r="A236" i="22"/>
  <c r="D235" i="22"/>
  <c r="C235" i="22"/>
  <c r="B235" i="22"/>
  <c r="A235" i="22"/>
  <c r="D234" i="22"/>
  <c r="C234" i="22"/>
  <c r="B234" i="22"/>
  <c r="A234" i="22"/>
  <c r="D233" i="22"/>
  <c r="C233" i="22"/>
  <c r="B233" i="22"/>
  <c r="A233" i="22"/>
  <c r="D232" i="22"/>
  <c r="C232" i="22"/>
  <c r="B232" i="22"/>
  <c r="A232" i="22"/>
  <c r="D231" i="22"/>
  <c r="C231" i="22"/>
  <c r="B231" i="22"/>
  <c r="A231" i="22"/>
  <c r="D230" i="22"/>
  <c r="C230" i="22"/>
  <c r="B230" i="22"/>
  <c r="A230" i="22"/>
  <c r="D229" i="22"/>
  <c r="C229" i="22"/>
  <c r="B229" i="22"/>
  <c r="A229" i="22"/>
  <c r="D228" i="22"/>
  <c r="C228" i="22"/>
  <c r="B228" i="22"/>
  <c r="A228" i="22"/>
  <c r="D227" i="22"/>
  <c r="C227" i="22"/>
  <c r="B227" i="22"/>
  <c r="A227" i="22"/>
  <c r="D226" i="22"/>
  <c r="C226" i="22"/>
  <c r="B226" i="22"/>
  <c r="A226" i="22"/>
  <c r="D225" i="22"/>
  <c r="C225" i="22"/>
  <c r="B225" i="22"/>
  <c r="A225" i="22"/>
  <c r="D224" i="22"/>
  <c r="C224" i="22"/>
  <c r="B224" i="22"/>
  <c r="A224" i="22"/>
  <c r="D223" i="22"/>
  <c r="C223" i="22"/>
  <c r="B223" i="22"/>
  <c r="A223" i="22"/>
  <c r="D222" i="22"/>
  <c r="C222" i="22"/>
  <c r="B222" i="22"/>
  <c r="A222" i="22"/>
  <c r="D221" i="22"/>
  <c r="C221" i="22"/>
  <c r="B221" i="22"/>
  <c r="A221" i="22"/>
  <c r="D220" i="22"/>
  <c r="C220" i="22"/>
  <c r="B220" i="22"/>
  <c r="A220" i="22"/>
  <c r="D219" i="22"/>
  <c r="C219" i="22"/>
  <c r="B219" i="22"/>
  <c r="A219" i="22"/>
  <c r="E216" i="22"/>
  <c r="I216" i="22" s="1"/>
  <c r="J216" i="22" s="1"/>
  <c r="K216" i="22" s="1"/>
  <c r="D216" i="22"/>
  <c r="C216" i="22"/>
  <c r="B216" i="22"/>
  <c r="A216" i="22"/>
  <c r="D215" i="22"/>
  <c r="C215" i="22"/>
  <c r="B215" i="22"/>
  <c r="A215" i="22"/>
  <c r="D214" i="22"/>
  <c r="C214" i="22"/>
  <c r="B214" i="22"/>
  <c r="A214" i="22"/>
  <c r="D213" i="22"/>
  <c r="C213" i="22"/>
  <c r="B213" i="22"/>
  <c r="A213" i="22"/>
  <c r="D212" i="22"/>
  <c r="C212" i="22"/>
  <c r="B212" i="22"/>
  <c r="A212" i="22"/>
  <c r="D211" i="22"/>
  <c r="C211" i="22"/>
  <c r="B211" i="22"/>
  <c r="A211" i="22"/>
  <c r="D210" i="22"/>
  <c r="C210" i="22"/>
  <c r="B210" i="22"/>
  <c r="A210" i="22"/>
  <c r="D209" i="22"/>
  <c r="C209" i="22"/>
  <c r="B209" i="22"/>
  <c r="A209" i="22"/>
  <c r="D208" i="22"/>
  <c r="C208" i="22"/>
  <c r="B208" i="22"/>
  <c r="A208" i="22"/>
  <c r="D207" i="22"/>
  <c r="C207" i="22"/>
  <c r="B207" i="22"/>
  <c r="A207" i="22"/>
  <c r="D206" i="22"/>
  <c r="C206" i="22"/>
  <c r="B206" i="22"/>
  <c r="A206" i="22"/>
  <c r="D205" i="22"/>
  <c r="C205" i="22"/>
  <c r="B205" i="22"/>
  <c r="A205" i="22"/>
  <c r="D204" i="22"/>
  <c r="C204" i="22"/>
  <c r="B204" i="22"/>
  <c r="A204" i="22"/>
  <c r="D203" i="22"/>
  <c r="C203" i="22"/>
  <c r="B203" i="22"/>
  <c r="A203" i="22"/>
  <c r="D202" i="22"/>
  <c r="C202" i="22"/>
  <c r="B202" i="22"/>
  <c r="A202" i="22"/>
  <c r="D201" i="22"/>
  <c r="C201" i="22"/>
  <c r="B201" i="22"/>
  <c r="A201" i="22"/>
  <c r="D200" i="22"/>
  <c r="C200" i="22"/>
  <c r="B200" i="22"/>
  <c r="A200" i="22"/>
  <c r="D199" i="22"/>
  <c r="C199" i="22"/>
  <c r="B199" i="22"/>
  <c r="A199" i="22"/>
  <c r="D198" i="22"/>
  <c r="C198" i="22"/>
  <c r="B198" i="22"/>
  <c r="A198" i="22"/>
  <c r="D197" i="22"/>
  <c r="C197" i="22"/>
  <c r="B197" i="22"/>
  <c r="A197" i="22"/>
  <c r="D196" i="22"/>
  <c r="C196" i="22"/>
  <c r="B196" i="22"/>
  <c r="A196" i="22"/>
  <c r="D195" i="22"/>
  <c r="C195" i="22"/>
  <c r="B195" i="22"/>
  <c r="A195" i="22"/>
  <c r="E192" i="22"/>
  <c r="I192" i="22" s="1"/>
  <c r="J192" i="22" s="1"/>
  <c r="K192" i="22" s="1"/>
  <c r="D192" i="22"/>
  <c r="C192" i="22"/>
  <c r="B192" i="22"/>
  <c r="A192" i="22"/>
  <c r="D191" i="22"/>
  <c r="C191" i="22"/>
  <c r="B191" i="22"/>
  <c r="A191" i="22"/>
  <c r="D190" i="22"/>
  <c r="C190" i="22"/>
  <c r="B190" i="22"/>
  <c r="A190" i="22"/>
  <c r="D189" i="22"/>
  <c r="C189" i="22"/>
  <c r="B189" i="22"/>
  <c r="A189" i="22"/>
  <c r="D188" i="22"/>
  <c r="C188" i="22"/>
  <c r="B188" i="22"/>
  <c r="A188" i="22"/>
  <c r="D187" i="22"/>
  <c r="C187" i="22"/>
  <c r="B187" i="22"/>
  <c r="A187" i="22"/>
  <c r="D186" i="22"/>
  <c r="C186" i="22"/>
  <c r="B186" i="22"/>
  <c r="A186" i="22"/>
  <c r="D185" i="22"/>
  <c r="C185" i="22"/>
  <c r="B185" i="22"/>
  <c r="A185" i="22"/>
  <c r="D184" i="22"/>
  <c r="C184" i="22"/>
  <c r="B184" i="22"/>
  <c r="A184" i="22"/>
  <c r="D183" i="22"/>
  <c r="C183" i="22"/>
  <c r="B183" i="22"/>
  <c r="A183" i="22"/>
  <c r="D182" i="22"/>
  <c r="C182" i="22"/>
  <c r="B182" i="22"/>
  <c r="A182" i="22"/>
  <c r="D181" i="22"/>
  <c r="C181" i="22"/>
  <c r="B181" i="22"/>
  <c r="A181" i="22"/>
  <c r="D180" i="22"/>
  <c r="C180" i="22"/>
  <c r="B180" i="22"/>
  <c r="A180" i="22"/>
  <c r="D179" i="22"/>
  <c r="C179" i="22"/>
  <c r="B179" i="22"/>
  <c r="A179" i="22"/>
  <c r="D178" i="22"/>
  <c r="C178" i="22"/>
  <c r="B178" i="22"/>
  <c r="A178" i="22"/>
  <c r="D177" i="22"/>
  <c r="C177" i="22"/>
  <c r="B177" i="22"/>
  <c r="A177" i="22"/>
  <c r="D176" i="22"/>
  <c r="C176" i="22"/>
  <c r="B176" i="22"/>
  <c r="A176" i="22"/>
  <c r="D175" i="22"/>
  <c r="C175" i="22"/>
  <c r="B175" i="22"/>
  <c r="A175" i="22"/>
  <c r="D174" i="22"/>
  <c r="C174" i="22"/>
  <c r="B174" i="22"/>
  <c r="A174" i="22"/>
  <c r="D173" i="22"/>
  <c r="C173" i="22"/>
  <c r="B173" i="22"/>
  <c r="A173" i="22"/>
  <c r="D172" i="22"/>
  <c r="C172" i="22"/>
  <c r="B172" i="22"/>
  <c r="A172" i="22"/>
  <c r="D171" i="22"/>
  <c r="C171" i="22"/>
  <c r="B171" i="22"/>
  <c r="A171" i="22"/>
  <c r="E168" i="22"/>
  <c r="I168" i="22" s="1"/>
  <c r="J168" i="22" s="1"/>
  <c r="K168" i="22" s="1"/>
  <c r="D168" i="22"/>
  <c r="C168" i="22"/>
  <c r="B168" i="22"/>
  <c r="A168" i="22"/>
  <c r="D167" i="22"/>
  <c r="C167" i="22"/>
  <c r="B167" i="22"/>
  <c r="A167" i="22"/>
  <c r="D166" i="22"/>
  <c r="C166" i="22"/>
  <c r="B166" i="22"/>
  <c r="A166" i="22"/>
  <c r="D165" i="22"/>
  <c r="C165" i="22"/>
  <c r="B165" i="22"/>
  <c r="A165" i="22"/>
  <c r="D164" i="22"/>
  <c r="C164" i="22"/>
  <c r="B164" i="22"/>
  <c r="A164" i="22"/>
  <c r="D163" i="22"/>
  <c r="C163" i="22"/>
  <c r="B163" i="22"/>
  <c r="A163" i="22"/>
  <c r="D162" i="22"/>
  <c r="C162" i="22"/>
  <c r="B162" i="22"/>
  <c r="A162" i="22"/>
  <c r="D161" i="22"/>
  <c r="C161" i="22"/>
  <c r="B161" i="22"/>
  <c r="A161" i="22"/>
  <c r="D160" i="22"/>
  <c r="C160" i="22"/>
  <c r="B160" i="22"/>
  <c r="A160" i="22"/>
  <c r="D159" i="22"/>
  <c r="C159" i="22"/>
  <c r="B159" i="22"/>
  <c r="A159" i="22"/>
  <c r="D158" i="22"/>
  <c r="C158" i="22"/>
  <c r="B158" i="22"/>
  <c r="A158" i="22"/>
  <c r="D157" i="22"/>
  <c r="C157" i="22"/>
  <c r="B157" i="22"/>
  <c r="A157" i="22"/>
  <c r="D156" i="22"/>
  <c r="C156" i="22"/>
  <c r="B156" i="22"/>
  <c r="A156" i="22"/>
  <c r="D155" i="22"/>
  <c r="C155" i="22"/>
  <c r="B155" i="22"/>
  <c r="A155" i="22"/>
  <c r="D154" i="22"/>
  <c r="C154" i="22"/>
  <c r="B154" i="22"/>
  <c r="A154" i="22"/>
  <c r="D153" i="22"/>
  <c r="C153" i="22"/>
  <c r="B153" i="22"/>
  <c r="A153" i="22"/>
  <c r="D152" i="22"/>
  <c r="C152" i="22"/>
  <c r="B152" i="22"/>
  <c r="A152" i="22"/>
  <c r="D151" i="22"/>
  <c r="C151" i="22"/>
  <c r="B151" i="22"/>
  <c r="A151" i="22"/>
  <c r="D150" i="22"/>
  <c r="C150" i="22"/>
  <c r="B150" i="22"/>
  <c r="A150" i="22"/>
  <c r="D149" i="22"/>
  <c r="C149" i="22"/>
  <c r="B149" i="22"/>
  <c r="A149" i="22"/>
  <c r="D148" i="22"/>
  <c r="C148" i="22"/>
  <c r="B148" i="22"/>
  <c r="A148" i="22"/>
  <c r="D147" i="22"/>
  <c r="C147" i="22"/>
  <c r="B147" i="22"/>
  <c r="A147" i="22"/>
  <c r="E144" i="22"/>
  <c r="I144" i="22" s="1"/>
  <c r="J144" i="22" s="1"/>
  <c r="K144" i="22" s="1"/>
  <c r="D144" i="22"/>
  <c r="C144" i="22"/>
  <c r="B144" i="22"/>
  <c r="A144" i="22"/>
  <c r="D143" i="22"/>
  <c r="C143" i="22"/>
  <c r="B143" i="22"/>
  <c r="A143" i="22"/>
  <c r="D142" i="22"/>
  <c r="C142" i="22"/>
  <c r="B142" i="22"/>
  <c r="A142" i="22"/>
  <c r="D141" i="22"/>
  <c r="C141" i="22"/>
  <c r="B141" i="22"/>
  <c r="A141" i="22"/>
  <c r="D140" i="22"/>
  <c r="C140" i="22"/>
  <c r="B140" i="22"/>
  <c r="A140" i="22"/>
  <c r="D139" i="22"/>
  <c r="C139" i="22"/>
  <c r="B139" i="22"/>
  <c r="A139" i="22"/>
  <c r="D138" i="22"/>
  <c r="C138" i="22"/>
  <c r="B138" i="22"/>
  <c r="A138" i="22"/>
  <c r="D137" i="22"/>
  <c r="C137" i="22"/>
  <c r="B137" i="22"/>
  <c r="A137" i="22"/>
  <c r="D136" i="22"/>
  <c r="C136" i="22"/>
  <c r="B136" i="22"/>
  <c r="A136" i="22"/>
  <c r="D135" i="22"/>
  <c r="C135" i="22"/>
  <c r="B135" i="22"/>
  <c r="A135" i="22"/>
  <c r="D134" i="22"/>
  <c r="C134" i="22"/>
  <c r="B134" i="22"/>
  <c r="A134" i="22"/>
  <c r="D133" i="22"/>
  <c r="C133" i="22"/>
  <c r="B133" i="22"/>
  <c r="A133" i="22"/>
  <c r="D132" i="22"/>
  <c r="C132" i="22"/>
  <c r="B132" i="22"/>
  <c r="A132" i="22"/>
  <c r="D131" i="22"/>
  <c r="C131" i="22"/>
  <c r="B131" i="22"/>
  <c r="A131" i="22"/>
  <c r="D130" i="22"/>
  <c r="C130" i="22"/>
  <c r="B130" i="22"/>
  <c r="A130" i="22"/>
  <c r="D129" i="22"/>
  <c r="C129" i="22"/>
  <c r="B129" i="22"/>
  <c r="A129" i="22"/>
  <c r="D128" i="22"/>
  <c r="C128" i="22"/>
  <c r="B128" i="22"/>
  <c r="A128" i="22"/>
  <c r="D127" i="22"/>
  <c r="C127" i="22"/>
  <c r="B127" i="22"/>
  <c r="A127" i="22"/>
  <c r="D126" i="22"/>
  <c r="C126" i="22"/>
  <c r="B126" i="22"/>
  <c r="A126" i="22"/>
  <c r="D125" i="22"/>
  <c r="C125" i="22"/>
  <c r="B125" i="22"/>
  <c r="A125" i="22"/>
  <c r="D124" i="22"/>
  <c r="C124" i="22"/>
  <c r="B124" i="22"/>
  <c r="A124" i="22"/>
  <c r="D123" i="22"/>
  <c r="C123" i="22"/>
  <c r="B123" i="22"/>
  <c r="A123" i="22"/>
  <c r="E120" i="22"/>
  <c r="I120" i="22" s="1"/>
  <c r="J120" i="22" s="1"/>
  <c r="K120" i="22" s="1"/>
  <c r="D120" i="22"/>
  <c r="C120" i="22"/>
  <c r="B120" i="22"/>
  <c r="A120" i="22"/>
  <c r="D119" i="22"/>
  <c r="C119" i="22"/>
  <c r="B119" i="22"/>
  <c r="A119" i="22"/>
  <c r="D118" i="22"/>
  <c r="C118" i="22"/>
  <c r="B118" i="22"/>
  <c r="A118" i="22"/>
  <c r="D117" i="22"/>
  <c r="C117" i="22"/>
  <c r="B117" i="22"/>
  <c r="A117" i="22"/>
  <c r="D116" i="22"/>
  <c r="C116" i="22"/>
  <c r="B116" i="22"/>
  <c r="A116" i="22"/>
  <c r="D115" i="22"/>
  <c r="C115" i="22"/>
  <c r="B115" i="22"/>
  <c r="A115" i="22"/>
  <c r="D114" i="22"/>
  <c r="C114" i="22"/>
  <c r="B114" i="22"/>
  <c r="A114" i="22"/>
  <c r="D113" i="22"/>
  <c r="C113" i="22"/>
  <c r="B113" i="22"/>
  <c r="A113" i="22"/>
  <c r="D112" i="22"/>
  <c r="C112" i="22"/>
  <c r="B112" i="22"/>
  <c r="A112" i="22"/>
  <c r="D111" i="22"/>
  <c r="C111" i="22"/>
  <c r="B111" i="22"/>
  <c r="A111" i="22"/>
  <c r="D110" i="22"/>
  <c r="C110" i="22"/>
  <c r="B110" i="22"/>
  <c r="A110" i="22"/>
  <c r="D109" i="22"/>
  <c r="C109" i="22"/>
  <c r="B109" i="22"/>
  <c r="A109" i="22"/>
  <c r="D108" i="22"/>
  <c r="C108" i="22"/>
  <c r="B108" i="22"/>
  <c r="A108" i="22"/>
  <c r="D107" i="22"/>
  <c r="C107" i="22"/>
  <c r="B107" i="22"/>
  <c r="A107" i="22"/>
  <c r="D106" i="22"/>
  <c r="C106" i="22"/>
  <c r="B106" i="22"/>
  <c r="A106" i="22"/>
  <c r="D105" i="22"/>
  <c r="C105" i="22"/>
  <c r="B105" i="22"/>
  <c r="A105" i="22"/>
  <c r="D104" i="22"/>
  <c r="C104" i="22"/>
  <c r="B104" i="22"/>
  <c r="A104" i="22"/>
  <c r="D103" i="22"/>
  <c r="C103" i="22"/>
  <c r="B103" i="22"/>
  <c r="A103" i="22"/>
  <c r="D102" i="22"/>
  <c r="C102" i="22"/>
  <c r="B102" i="22"/>
  <c r="A102" i="22"/>
  <c r="D101" i="22"/>
  <c r="C101" i="22"/>
  <c r="B101" i="22"/>
  <c r="A101" i="22"/>
  <c r="D100" i="22"/>
  <c r="C100" i="22"/>
  <c r="B100" i="22"/>
  <c r="A100" i="22"/>
  <c r="D99" i="22"/>
  <c r="C99" i="22"/>
  <c r="B99" i="22"/>
  <c r="A99" i="22"/>
  <c r="E96" i="22"/>
  <c r="I96" i="22" s="1"/>
  <c r="J96" i="22" s="1"/>
  <c r="K96" i="22" s="1"/>
  <c r="D96" i="22"/>
  <c r="C96" i="22"/>
  <c r="B96" i="22"/>
  <c r="A96" i="22"/>
  <c r="D95" i="22"/>
  <c r="C95" i="22"/>
  <c r="B95" i="22"/>
  <c r="A95" i="22"/>
  <c r="D94" i="22"/>
  <c r="C94" i="22"/>
  <c r="B94" i="22"/>
  <c r="A94" i="22"/>
  <c r="D93" i="22"/>
  <c r="C93" i="22"/>
  <c r="B93" i="22"/>
  <c r="A93" i="22"/>
  <c r="D92" i="22"/>
  <c r="C92" i="22"/>
  <c r="B92" i="22"/>
  <c r="A92" i="22"/>
  <c r="D91" i="22"/>
  <c r="C91" i="22"/>
  <c r="B91" i="22"/>
  <c r="A91" i="22"/>
  <c r="D90" i="22"/>
  <c r="C90" i="22"/>
  <c r="B90" i="22"/>
  <c r="A90" i="22"/>
  <c r="D89" i="22"/>
  <c r="C89" i="22"/>
  <c r="B89" i="22"/>
  <c r="A89" i="22"/>
  <c r="D88" i="22"/>
  <c r="C88" i="22"/>
  <c r="B88" i="22"/>
  <c r="A88" i="22"/>
  <c r="D87" i="22"/>
  <c r="C87" i="22"/>
  <c r="B87" i="22"/>
  <c r="A87" i="22"/>
  <c r="D86" i="22"/>
  <c r="C86" i="22"/>
  <c r="B86" i="22"/>
  <c r="A86" i="22"/>
  <c r="D85" i="22"/>
  <c r="C85" i="22"/>
  <c r="B85" i="22"/>
  <c r="A85" i="22"/>
  <c r="D84" i="22"/>
  <c r="C84" i="22"/>
  <c r="B84" i="22"/>
  <c r="A84" i="22"/>
  <c r="D83" i="22"/>
  <c r="C83" i="22"/>
  <c r="B83" i="22"/>
  <c r="A83" i="22"/>
  <c r="D82" i="22"/>
  <c r="C82" i="22"/>
  <c r="B82" i="22"/>
  <c r="A82" i="22"/>
  <c r="D81" i="22"/>
  <c r="C81" i="22"/>
  <c r="B81" i="22"/>
  <c r="A81" i="22"/>
  <c r="D80" i="22"/>
  <c r="C80" i="22"/>
  <c r="B80" i="22"/>
  <c r="A80" i="22"/>
  <c r="D79" i="22"/>
  <c r="C79" i="22"/>
  <c r="B79" i="22"/>
  <c r="A79" i="22"/>
  <c r="D78" i="22"/>
  <c r="C78" i="22"/>
  <c r="B78" i="22"/>
  <c r="A78" i="22"/>
  <c r="D77" i="22"/>
  <c r="C77" i="22"/>
  <c r="B77" i="22"/>
  <c r="A77" i="22"/>
  <c r="D76" i="22"/>
  <c r="C76" i="22"/>
  <c r="B76" i="22"/>
  <c r="A76" i="22"/>
  <c r="D75" i="22"/>
  <c r="C75" i="22"/>
  <c r="B75" i="22"/>
  <c r="A75" i="22"/>
  <c r="E72" i="22"/>
  <c r="I72" i="22" s="1"/>
  <c r="J72" i="22" s="1"/>
  <c r="K72" i="22" s="1"/>
  <c r="D72" i="22"/>
  <c r="C72" i="22"/>
  <c r="B72" i="22"/>
  <c r="A72" i="22"/>
  <c r="D71" i="22"/>
  <c r="C71" i="22"/>
  <c r="B71" i="22"/>
  <c r="A71" i="22"/>
  <c r="D70" i="22"/>
  <c r="C70" i="22"/>
  <c r="B70" i="22"/>
  <c r="A70" i="22"/>
  <c r="D69" i="22"/>
  <c r="C69" i="22"/>
  <c r="B69" i="22"/>
  <c r="A69" i="22"/>
  <c r="D68" i="22"/>
  <c r="C68" i="22"/>
  <c r="B68" i="22"/>
  <c r="A68" i="22"/>
  <c r="D67" i="22"/>
  <c r="C67" i="22"/>
  <c r="B67" i="22"/>
  <c r="A67" i="22"/>
  <c r="D66" i="22"/>
  <c r="C66" i="22"/>
  <c r="B66" i="22"/>
  <c r="A66" i="22"/>
  <c r="D65" i="22"/>
  <c r="C65" i="22"/>
  <c r="B65" i="22"/>
  <c r="A65" i="22"/>
  <c r="D64" i="22"/>
  <c r="C64" i="22"/>
  <c r="B64" i="22"/>
  <c r="A64" i="22"/>
  <c r="D63" i="22"/>
  <c r="C63" i="22"/>
  <c r="B63" i="22"/>
  <c r="A63" i="22"/>
  <c r="D62" i="22"/>
  <c r="C62" i="22"/>
  <c r="B62" i="22"/>
  <c r="A62" i="22"/>
  <c r="D61" i="22"/>
  <c r="C61" i="22"/>
  <c r="B61" i="22"/>
  <c r="A61" i="22"/>
  <c r="D60" i="22"/>
  <c r="C60" i="22"/>
  <c r="B60" i="22"/>
  <c r="A60" i="22"/>
  <c r="D59" i="22"/>
  <c r="C59" i="22"/>
  <c r="B59" i="22"/>
  <c r="A59" i="22"/>
  <c r="D58" i="22"/>
  <c r="C58" i="22"/>
  <c r="B58" i="22"/>
  <c r="A58" i="22"/>
  <c r="D57" i="22"/>
  <c r="C57" i="22"/>
  <c r="B57" i="22"/>
  <c r="A57" i="22"/>
  <c r="D56" i="22"/>
  <c r="C56" i="22"/>
  <c r="B56" i="22"/>
  <c r="A56" i="22"/>
  <c r="D55" i="22"/>
  <c r="C55" i="22"/>
  <c r="B55" i="22"/>
  <c r="A55" i="22"/>
  <c r="D54" i="22"/>
  <c r="C54" i="22"/>
  <c r="B54" i="22"/>
  <c r="A54" i="22"/>
  <c r="D53" i="22"/>
  <c r="C53" i="22"/>
  <c r="B53" i="22"/>
  <c r="A53" i="22"/>
  <c r="D52" i="22"/>
  <c r="C52" i="22"/>
  <c r="B52" i="22"/>
  <c r="A52" i="22"/>
  <c r="D51" i="22"/>
  <c r="C51" i="22"/>
  <c r="B51" i="22"/>
  <c r="A51" i="22"/>
  <c r="E48" i="22"/>
  <c r="I48" i="22" s="1"/>
  <c r="J48" i="22" s="1"/>
  <c r="K48" i="22" s="1"/>
  <c r="D48" i="22"/>
  <c r="C48" i="22"/>
  <c r="B48" i="22"/>
  <c r="A48" i="22"/>
  <c r="D47" i="22"/>
  <c r="C47" i="22"/>
  <c r="B47" i="22"/>
  <c r="A47" i="22"/>
  <c r="D46" i="22"/>
  <c r="C46" i="22"/>
  <c r="B46" i="22"/>
  <c r="A46" i="22"/>
  <c r="D45" i="22"/>
  <c r="C45" i="22"/>
  <c r="B45" i="22"/>
  <c r="A45" i="22"/>
  <c r="D44" i="22"/>
  <c r="C44" i="22"/>
  <c r="B44" i="22"/>
  <c r="A44" i="22"/>
  <c r="D43" i="22"/>
  <c r="C43" i="22"/>
  <c r="B43" i="22"/>
  <c r="A43" i="22"/>
  <c r="D42" i="22"/>
  <c r="C42" i="22"/>
  <c r="B42" i="22"/>
  <c r="A42" i="22"/>
  <c r="D41" i="22"/>
  <c r="C41" i="22"/>
  <c r="B41" i="22"/>
  <c r="A41" i="22"/>
  <c r="D40" i="22"/>
  <c r="C40" i="22"/>
  <c r="B40" i="22"/>
  <c r="A40" i="22"/>
  <c r="D39" i="22"/>
  <c r="C39" i="22"/>
  <c r="B39" i="22"/>
  <c r="A39" i="22"/>
  <c r="D38" i="22"/>
  <c r="C38" i="22"/>
  <c r="B38" i="22"/>
  <c r="A38" i="22"/>
  <c r="D37" i="22"/>
  <c r="C37" i="22"/>
  <c r="B37" i="22"/>
  <c r="A37" i="22"/>
  <c r="D36" i="22"/>
  <c r="C36" i="22"/>
  <c r="B36" i="22"/>
  <c r="A36" i="22"/>
  <c r="D35" i="22"/>
  <c r="C35" i="22"/>
  <c r="B35" i="22"/>
  <c r="A35" i="22"/>
  <c r="D34" i="22"/>
  <c r="C34" i="22"/>
  <c r="B34" i="22"/>
  <c r="A34" i="22"/>
  <c r="D33" i="22"/>
  <c r="C33" i="22"/>
  <c r="B33" i="22"/>
  <c r="A33" i="22"/>
  <c r="D32" i="22"/>
  <c r="C32" i="22"/>
  <c r="B32" i="22"/>
  <c r="A32" i="22"/>
  <c r="D31" i="22"/>
  <c r="C31" i="22"/>
  <c r="B31" i="22"/>
  <c r="A31" i="22"/>
  <c r="D30" i="22"/>
  <c r="C30" i="22"/>
  <c r="B30" i="22"/>
  <c r="A30" i="22"/>
  <c r="D29" i="22"/>
  <c r="C29" i="22"/>
  <c r="B29" i="22"/>
  <c r="A29" i="22"/>
  <c r="D28" i="22"/>
  <c r="C28" i="22"/>
  <c r="B28" i="22"/>
  <c r="A28" i="22"/>
  <c r="D27" i="22"/>
  <c r="C27" i="22"/>
  <c r="B27" i="22"/>
  <c r="A27" i="22"/>
  <c r="E24" i="22"/>
  <c r="I24" i="22" s="1"/>
  <c r="J24" i="22" s="1"/>
  <c r="K24" i="22" s="1"/>
  <c r="D24" i="22"/>
  <c r="C24" i="22"/>
  <c r="B24" i="22"/>
  <c r="A24" i="22"/>
  <c r="D23" i="22"/>
  <c r="C23" i="22"/>
  <c r="B23" i="22"/>
  <c r="A23" i="22"/>
  <c r="D22" i="22"/>
  <c r="C22" i="22"/>
  <c r="B22" i="22"/>
  <c r="A22" i="22"/>
  <c r="D21" i="22"/>
  <c r="C21" i="22"/>
  <c r="B21" i="22"/>
  <c r="A21" i="22"/>
  <c r="D20" i="22"/>
  <c r="C20" i="22"/>
  <c r="B20" i="22"/>
  <c r="A20" i="22"/>
  <c r="D19" i="22"/>
  <c r="C19" i="22"/>
  <c r="B19" i="22"/>
  <c r="A19" i="22"/>
  <c r="D18" i="22"/>
  <c r="C18" i="22"/>
  <c r="B18" i="22"/>
  <c r="A18" i="22"/>
  <c r="D17" i="22"/>
  <c r="C17" i="22"/>
  <c r="B17" i="22"/>
  <c r="A17" i="22"/>
  <c r="D16" i="22"/>
  <c r="C16" i="22"/>
  <c r="B16" i="22"/>
  <c r="A16" i="22"/>
  <c r="D15" i="22"/>
  <c r="C15" i="22"/>
  <c r="B15" i="22"/>
  <c r="A15" i="22"/>
  <c r="D14" i="22"/>
  <c r="C14" i="22"/>
  <c r="B14" i="22"/>
  <c r="A14" i="22"/>
  <c r="D13" i="22"/>
  <c r="C13" i="22"/>
  <c r="B13" i="22"/>
  <c r="A13" i="22"/>
  <c r="D12" i="22"/>
  <c r="C12" i="22"/>
  <c r="B12" i="22"/>
  <c r="A12" i="22"/>
  <c r="D11" i="22"/>
  <c r="C11" i="22"/>
  <c r="B11" i="22"/>
  <c r="A11" i="22"/>
  <c r="D10" i="22"/>
  <c r="C10" i="22"/>
  <c r="B10" i="22"/>
  <c r="A10" i="22"/>
  <c r="D9" i="22"/>
  <c r="C9" i="22"/>
  <c r="B9" i="22"/>
  <c r="A9" i="22"/>
  <c r="D8" i="22"/>
  <c r="C8" i="22"/>
  <c r="B8" i="22"/>
  <c r="A8" i="22"/>
  <c r="D7" i="22"/>
  <c r="C7" i="22"/>
  <c r="B7" i="22"/>
  <c r="A7" i="22"/>
  <c r="D6" i="22"/>
  <c r="C6" i="22"/>
  <c r="B6" i="22"/>
  <c r="A6" i="22"/>
  <c r="D5" i="22"/>
  <c r="C5" i="22"/>
  <c r="B5" i="22"/>
  <c r="A5" i="22"/>
  <c r="D4" i="22"/>
  <c r="C4" i="22"/>
  <c r="B4" i="22"/>
  <c r="A4" i="22"/>
  <c r="D3" i="22"/>
  <c r="C3" i="22"/>
  <c r="B3" i="22"/>
  <c r="A3" i="22"/>
  <c r="Y53" i="18" l="1"/>
  <c r="Y82" i="18"/>
  <c r="AC54" i="11"/>
  <c r="AC83" i="11"/>
  <c r="N25" i="19"/>
  <c r="O25" i="19"/>
  <c r="P25" i="19" s="1"/>
  <c r="Q25" i="19" s="1"/>
  <c r="O99" i="6"/>
  <c r="Z99" i="6" s="1"/>
  <c r="N199" i="4"/>
  <c r="S199" i="4" s="1"/>
  <c r="T199" i="4" s="1"/>
  <c r="N99" i="4"/>
  <c r="W99" i="4" s="1"/>
  <c r="S240" i="22"/>
  <c r="T240" i="22" s="1"/>
  <c r="N74" i="4"/>
  <c r="S74" i="4" s="1"/>
  <c r="T74" i="4" s="1"/>
  <c r="N73" i="20"/>
  <c r="N72" i="22"/>
  <c r="Q73" i="2"/>
  <c r="R73" i="2" s="1"/>
  <c r="O174" i="6"/>
  <c r="Z174" i="6" s="1"/>
  <c r="N168" i="22"/>
  <c r="N169" i="20"/>
  <c r="N193" i="20"/>
  <c r="N192" i="22"/>
  <c r="O199" i="6"/>
  <c r="V199" i="6" s="1"/>
  <c r="W199" i="6" s="1"/>
  <c r="N97" i="20"/>
  <c r="N96" i="22"/>
  <c r="N174" i="4"/>
  <c r="W174" i="4" s="1"/>
  <c r="Q173" i="2"/>
  <c r="R173" i="2" s="1"/>
  <c r="V299" i="6"/>
  <c r="W299" i="6" s="1"/>
  <c r="Z299" i="6"/>
  <c r="V249" i="6"/>
  <c r="W249" i="6" s="1"/>
  <c r="Z249" i="6"/>
  <c r="S324" i="4"/>
  <c r="T324" i="4" s="1"/>
  <c r="W324" i="4"/>
  <c r="V349" i="6"/>
  <c r="W349" i="6" s="1"/>
  <c r="Z349" i="6"/>
  <c r="V274" i="6"/>
  <c r="W274" i="6" s="1"/>
  <c r="Z274" i="6"/>
  <c r="S249" i="4"/>
  <c r="T249" i="4" s="1"/>
  <c r="W249" i="4"/>
  <c r="V374" i="6"/>
  <c r="W374" i="6" s="1"/>
  <c r="Z374" i="6"/>
  <c r="S224" i="4"/>
  <c r="T224" i="4" s="1"/>
  <c r="W224" i="4"/>
  <c r="S299" i="4"/>
  <c r="T299" i="4" s="1"/>
  <c r="W299" i="4"/>
  <c r="S349" i="4"/>
  <c r="T349" i="4" s="1"/>
  <c r="W349" i="4"/>
  <c r="V24" i="6"/>
  <c r="W24" i="6" s="1"/>
  <c r="Z24" i="6"/>
  <c r="S124" i="4"/>
  <c r="T124" i="4" s="1"/>
  <c r="W124" i="4"/>
  <c r="V74" i="6"/>
  <c r="W74" i="6" s="1"/>
  <c r="Z74" i="6"/>
  <c r="S24" i="4"/>
  <c r="T24" i="4" s="1"/>
  <c r="W24" i="4"/>
  <c r="V149" i="6"/>
  <c r="W149" i="6" s="1"/>
  <c r="Z149" i="6"/>
  <c r="S149" i="4"/>
  <c r="T149" i="4" s="1"/>
  <c r="W149" i="4"/>
  <c r="V49" i="6"/>
  <c r="W49" i="6" s="1"/>
  <c r="Z49" i="6"/>
  <c r="V324" i="6"/>
  <c r="W324" i="6" s="1"/>
  <c r="Z324" i="6"/>
  <c r="E43" i="12"/>
  <c r="V224" i="6"/>
  <c r="W224" i="6" s="1"/>
  <c r="Z224" i="6"/>
  <c r="S274" i="4"/>
  <c r="T274" i="4" s="1"/>
  <c r="W274" i="4"/>
  <c r="S374" i="4"/>
  <c r="T374" i="4" s="1"/>
  <c r="W374" i="4"/>
  <c r="V124" i="6"/>
  <c r="W124" i="6" s="1"/>
  <c r="Z124" i="6"/>
  <c r="S49" i="4"/>
  <c r="T49" i="4" s="1"/>
  <c r="W49" i="4"/>
  <c r="I290" i="22"/>
  <c r="W290" i="22" s="1"/>
  <c r="X290" i="22" s="1"/>
  <c r="H290" i="22"/>
  <c r="V290" i="22" s="1"/>
  <c r="H340" i="22"/>
  <c r="V340" i="22" s="1"/>
  <c r="I340" i="22"/>
  <c r="W340" i="22" s="1"/>
  <c r="X340" i="22" s="1"/>
  <c r="N81" i="19"/>
  <c r="H365" i="22"/>
  <c r="V365" i="22" s="1"/>
  <c r="I365" i="22"/>
  <c r="W365" i="22" s="1"/>
  <c r="X365" i="22" s="1"/>
  <c r="I240" i="22"/>
  <c r="W240" i="22" s="1"/>
  <c r="X240" i="22" s="1"/>
  <c r="H240" i="22"/>
  <c r="V240" i="22" s="1"/>
  <c r="N53" i="19"/>
  <c r="I265" i="22"/>
  <c r="W265" i="22" s="1"/>
  <c r="X265" i="22" s="1"/>
  <c r="H265" i="22"/>
  <c r="V265" i="22" s="1"/>
  <c r="H315" i="22"/>
  <c r="V315" i="22" s="1"/>
  <c r="I315" i="22"/>
  <c r="W315" i="22" s="1"/>
  <c r="X315" i="22" s="1"/>
  <c r="L83" i="11"/>
  <c r="J82" i="18"/>
  <c r="L54" i="11"/>
  <c r="J53" i="18"/>
  <c r="E21" i="12"/>
  <c r="E65" i="12"/>
  <c r="E54" i="12"/>
  <c r="E32" i="12"/>
  <c r="E10" i="12"/>
  <c r="A52" i="20"/>
  <c r="B52" i="20"/>
  <c r="C52" i="20"/>
  <c r="D52" i="20"/>
  <c r="A53" i="20"/>
  <c r="B53" i="20"/>
  <c r="C53" i="20"/>
  <c r="D53" i="20"/>
  <c r="A54" i="20"/>
  <c r="B54" i="20"/>
  <c r="C54" i="20"/>
  <c r="D54" i="20"/>
  <c r="A55" i="20"/>
  <c r="B55" i="20"/>
  <c r="C55" i="20"/>
  <c r="D55" i="20"/>
  <c r="A56" i="20"/>
  <c r="B56" i="20"/>
  <c r="C56" i="20"/>
  <c r="D56" i="20"/>
  <c r="A57" i="20"/>
  <c r="B57" i="20"/>
  <c r="C57" i="20"/>
  <c r="D57" i="20"/>
  <c r="A58" i="20"/>
  <c r="B58" i="20"/>
  <c r="C58" i="20"/>
  <c r="D58" i="20"/>
  <c r="A59" i="20"/>
  <c r="B59" i="20"/>
  <c r="C59" i="20"/>
  <c r="D59" i="20"/>
  <c r="A60" i="20"/>
  <c r="B60" i="20"/>
  <c r="C60" i="20"/>
  <c r="D60" i="20"/>
  <c r="A61" i="20"/>
  <c r="B61" i="20"/>
  <c r="C61" i="20"/>
  <c r="D61" i="20"/>
  <c r="A62" i="20"/>
  <c r="B62" i="20"/>
  <c r="C62" i="20"/>
  <c r="D62" i="20"/>
  <c r="A63" i="20"/>
  <c r="B63" i="20"/>
  <c r="C63" i="20"/>
  <c r="D63" i="20"/>
  <c r="A64" i="20"/>
  <c r="B64" i="20"/>
  <c r="C64" i="20"/>
  <c r="D64" i="20"/>
  <c r="A65" i="20"/>
  <c r="B65" i="20"/>
  <c r="C65" i="20"/>
  <c r="D65" i="20"/>
  <c r="A66" i="20"/>
  <c r="B66" i="20"/>
  <c r="C66" i="20"/>
  <c r="D66" i="20"/>
  <c r="A67" i="20"/>
  <c r="B67" i="20"/>
  <c r="C67" i="20"/>
  <c r="D67" i="20"/>
  <c r="A68" i="20"/>
  <c r="B68" i="20"/>
  <c r="C68" i="20"/>
  <c r="D68" i="20"/>
  <c r="A69" i="20"/>
  <c r="B69" i="20"/>
  <c r="C69" i="20"/>
  <c r="D69" i="20"/>
  <c r="A70" i="20"/>
  <c r="B70" i="20"/>
  <c r="C70" i="20"/>
  <c r="D70" i="20"/>
  <c r="A71" i="20"/>
  <c r="B71" i="20"/>
  <c r="C71" i="20"/>
  <c r="D71" i="20"/>
  <c r="A72" i="20"/>
  <c r="B72" i="20"/>
  <c r="C72" i="20"/>
  <c r="D72" i="20"/>
  <c r="A73" i="20"/>
  <c r="B73" i="20"/>
  <c r="C73" i="20"/>
  <c r="D73" i="20"/>
  <c r="E73" i="20"/>
  <c r="I73" i="20" s="1"/>
  <c r="J73" i="20" s="1"/>
  <c r="K73" i="20" s="1"/>
  <c r="A76" i="20"/>
  <c r="B76" i="20"/>
  <c r="C76" i="20"/>
  <c r="D76" i="20"/>
  <c r="A77" i="20"/>
  <c r="B77" i="20"/>
  <c r="C77" i="20"/>
  <c r="D77" i="20"/>
  <c r="A78" i="20"/>
  <c r="B78" i="20"/>
  <c r="C78" i="20"/>
  <c r="D78" i="20"/>
  <c r="A79" i="20"/>
  <c r="B79" i="20"/>
  <c r="C79" i="20"/>
  <c r="D79" i="20"/>
  <c r="A80" i="20"/>
  <c r="B80" i="20"/>
  <c r="C80" i="20"/>
  <c r="D80" i="20"/>
  <c r="A81" i="20"/>
  <c r="B81" i="20"/>
  <c r="C81" i="20"/>
  <c r="D81" i="20"/>
  <c r="A82" i="20"/>
  <c r="B82" i="20"/>
  <c r="C82" i="20"/>
  <c r="D82" i="20"/>
  <c r="A83" i="20"/>
  <c r="B83" i="20"/>
  <c r="C83" i="20"/>
  <c r="D83" i="20"/>
  <c r="A84" i="20"/>
  <c r="B84" i="20"/>
  <c r="C84" i="20"/>
  <c r="D84" i="20"/>
  <c r="A85" i="20"/>
  <c r="B85" i="20"/>
  <c r="C85" i="20"/>
  <c r="D85" i="20"/>
  <c r="A86" i="20"/>
  <c r="B86" i="20"/>
  <c r="C86" i="20"/>
  <c r="D86" i="20"/>
  <c r="A87" i="20"/>
  <c r="B87" i="20"/>
  <c r="C87" i="20"/>
  <c r="D87" i="20"/>
  <c r="A88" i="20"/>
  <c r="B88" i="20"/>
  <c r="C88" i="20"/>
  <c r="D88" i="20"/>
  <c r="A89" i="20"/>
  <c r="B89" i="20"/>
  <c r="C89" i="20"/>
  <c r="D89" i="20"/>
  <c r="A90" i="20"/>
  <c r="B90" i="20"/>
  <c r="C90" i="20"/>
  <c r="D90" i="20"/>
  <c r="A91" i="20"/>
  <c r="B91" i="20"/>
  <c r="C91" i="20"/>
  <c r="D91" i="20"/>
  <c r="A92" i="20"/>
  <c r="B92" i="20"/>
  <c r="C92" i="20"/>
  <c r="D92" i="20"/>
  <c r="A93" i="20"/>
  <c r="B93" i="20"/>
  <c r="C93" i="20"/>
  <c r="D93" i="20"/>
  <c r="A94" i="20"/>
  <c r="B94" i="20"/>
  <c r="C94" i="20"/>
  <c r="D94" i="20"/>
  <c r="A95" i="20"/>
  <c r="B95" i="20"/>
  <c r="C95" i="20"/>
  <c r="D95" i="20"/>
  <c r="A96" i="20"/>
  <c r="B96" i="20"/>
  <c r="C96" i="20"/>
  <c r="D96" i="20"/>
  <c r="A97" i="20"/>
  <c r="B97" i="20"/>
  <c r="C97" i="20"/>
  <c r="D97" i="20"/>
  <c r="E97" i="20"/>
  <c r="I97" i="20" s="1"/>
  <c r="J97" i="20" s="1"/>
  <c r="K97" i="20" s="1"/>
  <c r="A100" i="20"/>
  <c r="B100" i="20"/>
  <c r="C100" i="20"/>
  <c r="D100" i="20"/>
  <c r="A101" i="20"/>
  <c r="B101" i="20"/>
  <c r="C101" i="20"/>
  <c r="D101" i="20"/>
  <c r="A102" i="20"/>
  <c r="B102" i="20"/>
  <c r="C102" i="20"/>
  <c r="D102" i="20"/>
  <c r="A103" i="20"/>
  <c r="B103" i="20"/>
  <c r="C103" i="20"/>
  <c r="D103" i="20"/>
  <c r="A104" i="20"/>
  <c r="B104" i="20"/>
  <c r="C104" i="20"/>
  <c r="D104" i="20"/>
  <c r="A105" i="20"/>
  <c r="B105" i="20"/>
  <c r="C105" i="20"/>
  <c r="D105" i="20"/>
  <c r="A106" i="20"/>
  <c r="B106" i="20"/>
  <c r="C106" i="20"/>
  <c r="D106" i="20"/>
  <c r="A107" i="20"/>
  <c r="B107" i="20"/>
  <c r="C107" i="20"/>
  <c r="D107" i="20"/>
  <c r="A108" i="20"/>
  <c r="B108" i="20"/>
  <c r="C108" i="20"/>
  <c r="D108" i="20"/>
  <c r="A109" i="20"/>
  <c r="B109" i="20"/>
  <c r="C109" i="20"/>
  <c r="D109" i="20"/>
  <c r="A110" i="20"/>
  <c r="B110" i="20"/>
  <c r="C110" i="20"/>
  <c r="D110" i="20"/>
  <c r="A111" i="20"/>
  <c r="B111" i="20"/>
  <c r="C111" i="20"/>
  <c r="D111" i="20"/>
  <c r="A112" i="20"/>
  <c r="B112" i="20"/>
  <c r="C112" i="20"/>
  <c r="D112" i="20"/>
  <c r="A113" i="20"/>
  <c r="B113" i="20"/>
  <c r="C113" i="20"/>
  <c r="D113" i="20"/>
  <c r="A114" i="20"/>
  <c r="B114" i="20"/>
  <c r="C114" i="20"/>
  <c r="D114" i="20"/>
  <c r="A115" i="20"/>
  <c r="B115" i="20"/>
  <c r="C115" i="20"/>
  <c r="D115" i="20"/>
  <c r="A116" i="20"/>
  <c r="B116" i="20"/>
  <c r="C116" i="20"/>
  <c r="D116" i="20"/>
  <c r="A117" i="20"/>
  <c r="B117" i="20"/>
  <c r="C117" i="20"/>
  <c r="D117" i="20"/>
  <c r="A118" i="20"/>
  <c r="B118" i="20"/>
  <c r="C118" i="20"/>
  <c r="D118" i="20"/>
  <c r="A119" i="20"/>
  <c r="B119" i="20"/>
  <c r="C119" i="20"/>
  <c r="D119" i="20"/>
  <c r="A120" i="20"/>
  <c r="B120" i="20"/>
  <c r="C120" i="20"/>
  <c r="D120" i="20"/>
  <c r="A121" i="20"/>
  <c r="B121" i="20"/>
  <c r="C121" i="20"/>
  <c r="D121" i="20"/>
  <c r="E121" i="20"/>
  <c r="I121" i="20" s="1"/>
  <c r="J121" i="20" s="1"/>
  <c r="K121" i="20" s="1"/>
  <c r="A124" i="20"/>
  <c r="B124" i="20"/>
  <c r="C124" i="20"/>
  <c r="D124" i="20"/>
  <c r="A125" i="20"/>
  <c r="B125" i="20"/>
  <c r="C125" i="20"/>
  <c r="D125" i="20"/>
  <c r="A126" i="20"/>
  <c r="B126" i="20"/>
  <c r="C126" i="20"/>
  <c r="D126" i="20"/>
  <c r="A127" i="20"/>
  <c r="B127" i="20"/>
  <c r="C127" i="20"/>
  <c r="D127" i="20"/>
  <c r="A128" i="20"/>
  <c r="B128" i="20"/>
  <c r="C128" i="20"/>
  <c r="D128" i="20"/>
  <c r="A129" i="20"/>
  <c r="B129" i="20"/>
  <c r="C129" i="20"/>
  <c r="D129" i="20"/>
  <c r="A130" i="20"/>
  <c r="B130" i="20"/>
  <c r="C130" i="20"/>
  <c r="D130" i="20"/>
  <c r="A131" i="20"/>
  <c r="B131" i="20"/>
  <c r="C131" i="20"/>
  <c r="D131" i="20"/>
  <c r="A132" i="20"/>
  <c r="B132" i="20"/>
  <c r="C132" i="20"/>
  <c r="D132" i="20"/>
  <c r="A133" i="20"/>
  <c r="B133" i="20"/>
  <c r="C133" i="20"/>
  <c r="D133" i="20"/>
  <c r="A134" i="20"/>
  <c r="B134" i="20"/>
  <c r="C134" i="20"/>
  <c r="D134" i="20"/>
  <c r="A135" i="20"/>
  <c r="B135" i="20"/>
  <c r="C135" i="20"/>
  <c r="D135" i="20"/>
  <c r="A136" i="20"/>
  <c r="B136" i="20"/>
  <c r="C136" i="20"/>
  <c r="D136" i="20"/>
  <c r="A137" i="20"/>
  <c r="B137" i="20"/>
  <c r="C137" i="20"/>
  <c r="D137" i="20"/>
  <c r="A138" i="20"/>
  <c r="B138" i="20"/>
  <c r="C138" i="20"/>
  <c r="D138" i="20"/>
  <c r="A139" i="20"/>
  <c r="B139" i="20"/>
  <c r="C139" i="20"/>
  <c r="D139" i="20"/>
  <c r="A140" i="20"/>
  <c r="B140" i="20"/>
  <c r="C140" i="20"/>
  <c r="D140" i="20"/>
  <c r="A141" i="20"/>
  <c r="B141" i="20"/>
  <c r="C141" i="20"/>
  <c r="D141" i="20"/>
  <c r="A142" i="20"/>
  <c r="B142" i="20"/>
  <c r="C142" i="20"/>
  <c r="D142" i="20"/>
  <c r="A143" i="20"/>
  <c r="B143" i="20"/>
  <c r="C143" i="20"/>
  <c r="D143" i="20"/>
  <c r="A144" i="20"/>
  <c r="B144" i="20"/>
  <c r="C144" i="20"/>
  <c r="D144" i="20"/>
  <c r="A145" i="20"/>
  <c r="B145" i="20"/>
  <c r="C145" i="20"/>
  <c r="D145" i="20"/>
  <c r="E145" i="20"/>
  <c r="I145" i="20" s="1"/>
  <c r="J145" i="20" s="1"/>
  <c r="K145" i="20" s="1"/>
  <c r="A148" i="20"/>
  <c r="B148" i="20"/>
  <c r="C148" i="20"/>
  <c r="D148" i="20"/>
  <c r="A149" i="20"/>
  <c r="B149" i="20"/>
  <c r="C149" i="20"/>
  <c r="D149" i="20"/>
  <c r="A150" i="20"/>
  <c r="B150" i="20"/>
  <c r="C150" i="20"/>
  <c r="D150" i="20"/>
  <c r="A151" i="20"/>
  <c r="B151" i="20"/>
  <c r="C151" i="20"/>
  <c r="D151" i="20"/>
  <c r="A152" i="20"/>
  <c r="B152" i="20"/>
  <c r="C152" i="20"/>
  <c r="D152" i="20"/>
  <c r="A153" i="20"/>
  <c r="B153" i="20"/>
  <c r="C153" i="20"/>
  <c r="D153" i="20"/>
  <c r="A154" i="20"/>
  <c r="B154" i="20"/>
  <c r="C154" i="20"/>
  <c r="D154" i="20"/>
  <c r="A155" i="20"/>
  <c r="B155" i="20"/>
  <c r="C155" i="20"/>
  <c r="D155" i="20"/>
  <c r="A156" i="20"/>
  <c r="B156" i="20"/>
  <c r="C156" i="20"/>
  <c r="D156" i="20"/>
  <c r="A157" i="20"/>
  <c r="B157" i="20"/>
  <c r="C157" i="20"/>
  <c r="D157" i="20"/>
  <c r="A158" i="20"/>
  <c r="B158" i="20"/>
  <c r="C158" i="20"/>
  <c r="D158" i="20"/>
  <c r="A159" i="20"/>
  <c r="B159" i="20"/>
  <c r="C159" i="20"/>
  <c r="D159" i="20"/>
  <c r="A160" i="20"/>
  <c r="B160" i="20"/>
  <c r="C160" i="20"/>
  <c r="D160" i="20"/>
  <c r="A161" i="20"/>
  <c r="B161" i="20"/>
  <c r="C161" i="20"/>
  <c r="D161" i="20"/>
  <c r="A162" i="20"/>
  <c r="B162" i="20"/>
  <c r="C162" i="20"/>
  <c r="D162" i="20"/>
  <c r="A163" i="20"/>
  <c r="B163" i="20"/>
  <c r="C163" i="20"/>
  <c r="D163" i="20"/>
  <c r="A164" i="20"/>
  <c r="B164" i="20"/>
  <c r="C164" i="20"/>
  <c r="D164" i="20"/>
  <c r="A165" i="20"/>
  <c r="B165" i="20"/>
  <c r="C165" i="20"/>
  <c r="D165" i="20"/>
  <c r="A166" i="20"/>
  <c r="B166" i="20"/>
  <c r="C166" i="20"/>
  <c r="D166" i="20"/>
  <c r="A167" i="20"/>
  <c r="B167" i="20"/>
  <c r="C167" i="20"/>
  <c r="D167" i="20"/>
  <c r="A168" i="20"/>
  <c r="B168" i="20"/>
  <c r="C168" i="20"/>
  <c r="D168" i="20"/>
  <c r="A169" i="20"/>
  <c r="B169" i="20"/>
  <c r="C169" i="20"/>
  <c r="D169" i="20"/>
  <c r="E169" i="20"/>
  <c r="I169" i="20" s="1"/>
  <c r="J169" i="20" s="1"/>
  <c r="K169" i="20" s="1"/>
  <c r="A172" i="20"/>
  <c r="B172" i="20"/>
  <c r="C172" i="20"/>
  <c r="D172" i="20"/>
  <c r="A173" i="20"/>
  <c r="B173" i="20"/>
  <c r="C173" i="20"/>
  <c r="D173" i="20"/>
  <c r="A174" i="20"/>
  <c r="B174" i="20"/>
  <c r="C174" i="20"/>
  <c r="D174" i="20"/>
  <c r="A175" i="20"/>
  <c r="B175" i="20"/>
  <c r="C175" i="20"/>
  <c r="D175" i="20"/>
  <c r="A176" i="20"/>
  <c r="B176" i="20"/>
  <c r="C176" i="20"/>
  <c r="D176" i="20"/>
  <c r="A177" i="20"/>
  <c r="B177" i="20"/>
  <c r="C177" i="20"/>
  <c r="D177" i="20"/>
  <c r="A178" i="20"/>
  <c r="B178" i="20"/>
  <c r="C178" i="20"/>
  <c r="D178" i="20"/>
  <c r="A179" i="20"/>
  <c r="B179" i="20"/>
  <c r="C179" i="20"/>
  <c r="D179" i="20"/>
  <c r="A180" i="20"/>
  <c r="B180" i="20"/>
  <c r="C180" i="20"/>
  <c r="D180" i="20"/>
  <c r="A181" i="20"/>
  <c r="B181" i="20"/>
  <c r="C181" i="20"/>
  <c r="D181" i="20"/>
  <c r="A182" i="20"/>
  <c r="B182" i="20"/>
  <c r="C182" i="20"/>
  <c r="D182" i="20"/>
  <c r="A183" i="20"/>
  <c r="B183" i="20"/>
  <c r="C183" i="20"/>
  <c r="D183" i="20"/>
  <c r="A184" i="20"/>
  <c r="B184" i="20"/>
  <c r="C184" i="20"/>
  <c r="D184" i="20"/>
  <c r="A185" i="20"/>
  <c r="B185" i="20"/>
  <c r="C185" i="20"/>
  <c r="D185" i="20"/>
  <c r="A186" i="20"/>
  <c r="B186" i="20"/>
  <c r="C186" i="20"/>
  <c r="D186" i="20"/>
  <c r="A187" i="20"/>
  <c r="B187" i="20"/>
  <c r="C187" i="20"/>
  <c r="D187" i="20"/>
  <c r="A188" i="20"/>
  <c r="B188" i="20"/>
  <c r="C188" i="20"/>
  <c r="D188" i="20"/>
  <c r="A189" i="20"/>
  <c r="B189" i="20"/>
  <c r="C189" i="20"/>
  <c r="D189" i="20"/>
  <c r="A190" i="20"/>
  <c r="B190" i="20"/>
  <c r="C190" i="20"/>
  <c r="D190" i="20"/>
  <c r="A191" i="20"/>
  <c r="B191" i="20"/>
  <c r="C191" i="20"/>
  <c r="D191" i="20"/>
  <c r="A192" i="20"/>
  <c r="B192" i="20"/>
  <c r="C192" i="20"/>
  <c r="D192" i="20"/>
  <c r="A193" i="20"/>
  <c r="B193" i="20"/>
  <c r="C193" i="20"/>
  <c r="D193" i="20"/>
  <c r="E193" i="20"/>
  <c r="I193" i="20" s="1"/>
  <c r="J193" i="20" s="1"/>
  <c r="K193" i="20" s="1"/>
  <c r="A196" i="20"/>
  <c r="B196" i="20"/>
  <c r="C196" i="20"/>
  <c r="D196" i="20"/>
  <c r="A197" i="20"/>
  <c r="B197" i="20"/>
  <c r="C197" i="20"/>
  <c r="D197" i="20"/>
  <c r="A198" i="20"/>
  <c r="B198" i="20"/>
  <c r="C198" i="20"/>
  <c r="D198" i="20"/>
  <c r="A199" i="20"/>
  <c r="B199" i="20"/>
  <c r="C199" i="20"/>
  <c r="D199" i="20"/>
  <c r="A200" i="20"/>
  <c r="B200" i="20"/>
  <c r="C200" i="20"/>
  <c r="D200" i="20"/>
  <c r="A201" i="20"/>
  <c r="B201" i="20"/>
  <c r="C201" i="20"/>
  <c r="D201" i="20"/>
  <c r="A202" i="20"/>
  <c r="B202" i="20"/>
  <c r="C202" i="20"/>
  <c r="D202" i="20"/>
  <c r="A203" i="20"/>
  <c r="B203" i="20"/>
  <c r="C203" i="20"/>
  <c r="D203" i="20"/>
  <c r="A204" i="20"/>
  <c r="B204" i="20"/>
  <c r="C204" i="20"/>
  <c r="D204" i="20"/>
  <c r="A205" i="20"/>
  <c r="B205" i="20"/>
  <c r="C205" i="20"/>
  <c r="D205" i="20"/>
  <c r="A206" i="20"/>
  <c r="B206" i="20"/>
  <c r="C206" i="20"/>
  <c r="D206" i="20"/>
  <c r="A207" i="20"/>
  <c r="B207" i="20"/>
  <c r="C207" i="20"/>
  <c r="D207" i="20"/>
  <c r="A208" i="20"/>
  <c r="B208" i="20"/>
  <c r="C208" i="20"/>
  <c r="D208" i="20"/>
  <c r="A209" i="20"/>
  <c r="B209" i="20"/>
  <c r="C209" i="20"/>
  <c r="D209" i="20"/>
  <c r="A210" i="20"/>
  <c r="B210" i="20"/>
  <c r="C210" i="20"/>
  <c r="D210" i="20"/>
  <c r="A211" i="20"/>
  <c r="B211" i="20"/>
  <c r="C211" i="20"/>
  <c r="D211" i="20"/>
  <c r="A212" i="20"/>
  <c r="B212" i="20"/>
  <c r="C212" i="20"/>
  <c r="D212" i="20"/>
  <c r="A213" i="20"/>
  <c r="B213" i="20"/>
  <c r="C213" i="20"/>
  <c r="D213" i="20"/>
  <c r="A214" i="20"/>
  <c r="B214" i="20"/>
  <c r="C214" i="20"/>
  <c r="D214" i="20"/>
  <c r="A215" i="20"/>
  <c r="B215" i="20"/>
  <c r="C215" i="20"/>
  <c r="D215" i="20"/>
  <c r="A216" i="20"/>
  <c r="B216" i="20"/>
  <c r="C216" i="20"/>
  <c r="D216" i="20"/>
  <c r="A217" i="20"/>
  <c r="B217" i="20"/>
  <c r="C217" i="20"/>
  <c r="D217" i="20"/>
  <c r="E217" i="20"/>
  <c r="I217" i="20" s="1"/>
  <c r="J217" i="20" s="1"/>
  <c r="K217" i="20" s="1"/>
  <c r="A220" i="20"/>
  <c r="B220" i="20"/>
  <c r="C220" i="20"/>
  <c r="D220" i="20"/>
  <c r="A221" i="20"/>
  <c r="B221" i="20"/>
  <c r="C221" i="20"/>
  <c r="D221" i="20"/>
  <c r="A222" i="20"/>
  <c r="B222" i="20"/>
  <c r="C222" i="20"/>
  <c r="D222" i="20"/>
  <c r="A223" i="20"/>
  <c r="B223" i="20"/>
  <c r="C223" i="20"/>
  <c r="D223" i="20"/>
  <c r="A224" i="20"/>
  <c r="B224" i="20"/>
  <c r="C224" i="20"/>
  <c r="D224" i="20"/>
  <c r="A225" i="20"/>
  <c r="B225" i="20"/>
  <c r="C225" i="20"/>
  <c r="D225" i="20"/>
  <c r="A226" i="20"/>
  <c r="B226" i="20"/>
  <c r="C226" i="20"/>
  <c r="D226" i="20"/>
  <c r="A227" i="20"/>
  <c r="B227" i="20"/>
  <c r="C227" i="20"/>
  <c r="D227" i="20"/>
  <c r="A228" i="20"/>
  <c r="B228" i="20"/>
  <c r="C228" i="20"/>
  <c r="D228" i="20"/>
  <c r="A229" i="20"/>
  <c r="B229" i="20"/>
  <c r="C229" i="20"/>
  <c r="D229" i="20"/>
  <c r="A230" i="20"/>
  <c r="B230" i="20"/>
  <c r="C230" i="20"/>
  <c r="D230" i="20"/>
  <c r="A231" i="20"/>
  <c r="B231" i="20"/>
  <c r="C231" i="20"/>
  <c r="D231" i="20"/>
  <c r="A232" i="20"/>
  <c r="B232" i="20"/>
  <c r="C232" i="20"/>
  <c r="D232" i="20"/>
  <c r="A233" i="20"/>
  <c r="B233" i="20"/>
  <c r="C233" i="20"/>
  <c r="D233" i="20"/>
  <c r="A234" i="20"/>
  <c r="B234" i="20"/>
  <c r="C234" i="20"/>
  <c r="D234" i="20"/>
  <c r="A235" i="20"/>
  <c r="B235" i="20"/>
  <c r="C235" i="20"/>
  <c r="D235" i="20"/>
  <c r="A236" i="20"/>
  <c r="B236" i="20"/>
  <c r="C236" i="20"/>
  <c r="D236" i="20"/>
  <c r="A237" i="20"/>
  <c r="B237" i="20"/>
  <c r="C237" i="20"/>
  <c r="D237" i="20"/>
  <c r="A238" i="20"/>
  <c r="B238" i="20"/>
  <c r="C238" i="20"/>
  <c r="D238" i="20"/>
  <c r="A239" i="20"/>
  <c r="B239" i="20"/>
  <c r="C239" i="20"/>
  <c r="D239" i="20"/>
  <c r="A240" i="20"/>
  <c r="B240" i="20"/>
  <c r="C240" i="20"/>
  <c r="D240" i="20"/>
  <c r="A241" i="20"/>
  <c r="B241" i="20"/>
  <c r="C241" i="20"/>
  <c r="D241" i="20"/>
  <c r="E241" i="20"/>
  <c r="A245" i="20"/>
  <c r="B245" i="20"/>
  <c r="C245" i="20"/>
  <c r="D245" i="20"/>
  <c r="A246" i="20"/>
  <c r="B246" i="20"/>
  <c r="C246" i="20"/>
  <c r="D246" i="20"/>
  <c r="A247" i="20"/>
  <c r="B247" i="20"/>
  <c r="C247" i="20"/>
  <c r="D247" i="20"/>
  <c r="A248" i="20"/>
  <c r="B248" i="20"/>
  <c r="C248" i="20"/>
  <c r="D248" i="20"/>
  <c r="A249" i="20"/>
  <c r="B249" i="20"/>
  <c r="C249" i="20"/>
  <c r="D249" i="20"/>
  <c r="A250" i="20"/>
  <c r="B250" i="20"/>
  <c r="C250" i="20"/>
  <c r="D250" i="20"/>
  <c r="A251" i="20"/>
  <c r="B251" i="20"/>
  <c r="C251" i="20"/>
  <c r="D251" i="20"/>
  <c r="A252" i="20"/>
  <c r="B252" i="20"/>
  <c r="C252" i="20"/>
  <c r="D252" i="20"/>
  <c r="A253" i="20"/>
  <c r="B253" i="20"/>
  <c r="C253" i="20"/>
  <c r="D253" i="20"/>
  <c r="A254" i="20"/>
  <c r="B254" i="20"/>
  <c r="C254" i="20"/>
  <c r="D254" i="20"/>
  <c r="A255" i="20"/>
  <c r="B255" i="20"/>
  <c r="C255" i="20"/>
  <c r="D255" i="20"/>
  <c r="A256" i="20"/>
  <c r="B256" i="20"/>
  <c r="C256" i="20"/>
  <c r="D256" i="20"/>
  <c r="A257" i="20"/>
  <c r="B257" i="20"/>
  <c r="C257" i="20"/>
  <c r="D257" i="20"/>
  <c r="A258" i="20"/>
  <c r="B258" i="20"/>
  <c r="C258" i="20"/>
  <c r="D258" i="20"/>
  <c r="A259" i="20"/>
  <c r="B259" i="20"/>
  <c r="C259" i="20"/>
  <c r="D259" i="20"/>
  <c r="A260" i="20"/>
  <c r="B260" i="20"/>
  <c r="C260" i="20"/>
  <c r="D260" i="20"/>
  <c r="A261" i="20"/>
  <c r="B261" i="20"/>
  <c r="C261" i="20"/>
  <c r="D261" i="20"/>
  <c r="A262" i="20"/>
  <c r="B262" i="20"/>
  <c r="C262" i="20"/>
  <c r="D262" i="20"/>
  <c r="A263" i="20"/>
  <c r="B263" i="20"/>
  <c r="C263" i="20"/>
  <c r="D263" i="20"/>
  <c r="A264" i="20"/>
  <c r="B264" i="20"/>
  <c r="C264" i="20"/>
  <c r="D264" i="20"/>
  <c r="A265" i="20"/>
  <c r="B265" i="20"/>
  <c r="C265" i="20"/>
  <c r="D265" i="20"/>
  <c r="A266" i="20"/>
  <c r="B266" i="20"/>
  <c r="C266" i="20"/>
  <c r="D266" i="20"/>
  <c r="E266" i="20"/>
  <c r="A270" i="20"/>
  <c r="B270" i="20"/>
  <c r="C270" i="20"/>
  <c r="D270" i="20"/>
  <c r="A271" i="20"/>
  <c r="B271" i="20"/>
  <c r="C271" i="20"/>
  <c r="D271" i="20"/>
  <c r="A272" i="20"/>
  <c r="B272" i="20"/>
  <c r="C272" i="20"/>
  <c r="D272" i="20"/>
  <c r="A273" i="20"/>
  <c r="B273" i="20"/>
  <c r="C273" i="20"/>
  <c r="D273" i="20"/>
  <c r="A274" i="20"/>
  <c r="B274" i="20"/>
  <c r="C274" i="20"/>
  <c r="D274" i="20"/>
  <c r="A275" i="20"/>
  <c r="B275" i="20"/>
  <c r="C275" i="20"/>
  <c r="D275" i="20"/>
  <c r="A276" i="20"/>
  <c r="B276" i="20"/>
  <c r="C276" i="20"/>
  <c r="D276" i="20"/>
  <c r="A277" i="20"/>
  <c r="B277" i="20"/>
  <c r="C277" i="20"/>
  <c r="D277" i="20"/>
  <c r="A278" i="20"/>
  <c r="B278" i="20"/>
  <c r="C278" i="20"/>
  <c r="D278" i="20"/>
  <c r="A279" i="20"/>
  <c r="B279" i="20"/>
  <c r="C279" i="20"/>
  <c r="D279" i="20"/>
  <c r="A280" i="20"/>
  <c r="B280" i="20"/>
  <c r="C280" i="20"/>
  <c r="D280" i="20"/>
  <c r="A281" i="20"/>
  <c r="B281" i="20"/>
  <c r="C281" i="20"/>
  <c r="D281" i="20"/>
  <c r="A282" i="20"/>
  <c r="B282" i="20"/>
  <c r="C282" i="20"/>
  <c r="D282" i="20"/>
  <c r="A283" i="20"/>
  <c r="B283" i="20"/>
  <c r="C283" i="20"/>
  <c r="D283" i="20"/>
  <c r="A284" i="20"/>
  <c r="B284" i="20"/>
  <c r="C284" i="20"/>
  <c r="D284" i="20"/>
  <c r="A285" i="20"/>
  <c r="B285" i="20"/>
  <c r="C285" i="20"/>
  <c r="D285" i="20"/>
  <c r="A286" i="20"/>
  <c r="B286" i="20"/>
  <c r="C286" i="20"/>
  <c r="D286" i="20"/>
  <c r="A287" i="20"/>
  <c r="B287" i="20"/>
  <c r="C287" i="20"/>
  <c r="D287" i="20"/>
  <c r="A288" i="20"/>
  <c r="B288" i="20"/>
  <c r="C288" i="20"/>
  <c r="D288" i="20"/>
  <c r="A289" i="20"/>
  <c r="B289" i="20"/>
  <c r="C289" i="20"/>
  <c r="D289" i="20"/>
  <c r="A290" i="20"/>
  <c r="B290" i="20"/>
  <c r="C290" i="20"/>
  <c r="D290" i="20"/>
  <c r="A291" i="20"/>
  <c r="B291" i="20"/>
  <c r="C291" i="20"/>
  <c r="D291" i="20"/>
  <c r="E291" i="20"/>
  <c r="A295" i="20"/>
  <c r="B295" i="20"/>
  <c r="C295" i="20"/>
  <c r="D295" i="20"/>
  <c r="A296" i="20"/>
  <c r="B296" i="20"/>
  <c r="C296" i="20"/>
  <c r="D296" i="20"/>
  <c r="A297" i="20"/>
  <c r="B297" i="20"/>
  <c r="C297" i="20"/>
  <c r="D297" i="20"/>
  <c r="A298" i="20"/>
  <c r="B298" i="20"/>
  <c r="C298" i="20"/>
  <c r="D298" i="20"/>
  <c r="A299" i="20"/>
  <c r="B299" i="20"/>
  <c r="C299" i="20"/>
  <c r="D299" i="20"/>
  <c r="A300" i="20"/>
  <c r="B300" i="20"/>
  <c r="C300" i="20"/>
  <c r="D300" i="20"/>
  <c r="A301" i="20"/>
  <c r="B301" i="20"/>
  <c r="C301" i="20"/>
  <c r="D301" i="20"/>
  <c r="A302" i="20"/>
  <c r="B302" i="20"/>
  <c r="C302" i="20"/>
  <c r="D302" i="20"/>
  <c r="A303" i="20"/>
  <c r="B303" i="20"/>
  <c r="C303" i="20"/>
  <c r="D303" i="20"/>
  <c r="A304" i="20"/>
  <c r="B304" i="20"/>
  <c r="C304" i="20"/>
  <c r="D304" i="20"/>
  <c r="A305" i="20"/>
  <c r="B305" i="20"/>
  <c r="C305" i="20"/>
  <c r="D305" i="20"/>
  <c r="A306" i="20"/>
  <c r="B306" i="20"/>
  <c r="C306" i="20"/>
  <c r="D306" i="20"/>
  <c r="A307" i="20"/>
  <c r="B307" i="20"/>
  <c r="C307" i="20"/>
  <c r="D307" i="20"/>
  <c r="A308" i="20"/>
  <c r="B308" i="20"/>
  <c r="C308" i="20"/>
  <c r="D308" i="20"/>
  <c r="A309" i="20"/>
  <c r="B309" i="20"/>
  <c r="C309" i="20"/>
  <c r="D309" i="20"/>
  <c r="A310" i="20"/>
  <c r="B310" i="20"/>
  <c r="C310" i="20"/>
  <c r="D310" i="20"/>
  <c r="A311" i="20"/>
  <c r="B311" i="20"/>
  <c r="C311" i="20"/>
  <c r="D311" i="20"/>
  <c r="A312" i="20"/>
  <c r="B312" i="20"/>
  <c r="C312" i="20"/>
  <c r="D312" i="20"/>
  <c r="A313" i="20"/>
  <c r="B313" i="20"/>
  <c r="C313" i="20"/>
  <c r="D313" i="20"/>
  <c r="A314" i="20"/>
  <c r="B314" i="20"/>
  <c r="C314" i="20"/>
  <c r="D314" i="20"/>
  <c r="A315" i="20"/>
  <c r="B315" i="20"/>
  <c r="C315" i="20"/>
  <c r="D315" i="20"/>
  <c r="A316" i="20"/>
  <c r="B316" i="20"/>
  <c r="C316" i="20"/>
  <c r="D316" i="20"/>
  <c r="E316" i="20"/>
  <c r="A320" i="20"/>
  <c r="B320" i="20"/>
  <c r="C320" i="20"/>
  <c r="D320" i="20"/>
  <c r="A321" i="20"/>
  <c r="B321" i="20"/>
  <c r="C321" i="20"/>
  <c r="D321" i="20"/>
  <c r="A322" i="20"/>
  <c r="B322" i="20"/>
  <c r="C322" i="20"/>
  <c r="D322" i="20"/>
  <c r="A323" i="20"/>
  <c r="B323" i="20"/>
  <c r="C323" i="20"/>
  <c r="D323" i="20"/>
  <c r="A324" i="20"/>
  <c r="B324" i="20"/>
  <c r="C324" i="20"/>
  <c r="D324" i="20"/>
  <c r="A325" i="20"/>
  <c r="B325" i="20"/>
  <c r="C325" i="20"/>
  <c r="D325" i="20"/>
  <c r="A326" i="20"/>
  <c r="B326" i="20"/>
  <c r="C326" i="20"/>
  <c r="D326" i="20"/>
  <c r="A327" i="20"/>
  <c r="B327" i="20"/>
  <c r="C327" i="20"/>
  <c r="D327" i="20"/>
  <c r="A328" i="20"/>
  <c r="B328" i="20"/>
  <c r="C328" i="20"/>
  <c r="D328" i="20"/>
  <c r="A329" i="20"/>
  <c r="B329" i="20"/>
  <c r="C329" i="20"/>
  <c r="D329" i="20"/>
  <c r="A330" i="20"/>
  <c r="B330" i="20"/>
  <c r="C330" i="20"/>
  <c r="D330" i="20"/>
  <c r="A331" i="20"/>
  <c r="B331" i="20"/>
  <c r="C331" i="20"/>
  <c r="D331" i="20"/>
  <c r="A332" i="20"/>
  <c r="B332" i="20"/>
  <c r="C332" i="20"/>
  <c r="D332" i="20"/>
  <c r="A333" i="20"/>
  <c r="B333" i="20"/>
  <c r="C333" i="20"/>
  <c r="D333" i="20"/>
  <c r="A334" i="20"/>
  <c r="B334" i="20"/>
  <c r="C334" i="20"/>
  <c r="D334" i="20"/>
  <c r="A335" i="20"/>
  <c r="B335" i="20"/>
  <c r="C335" i="20"/>
  <c r="D335" i="20"/>
  <c r="A336" i="20"/>
  <c r="B336" i="20"/>
  <c r="C336" i="20"/>
  <c r="D336" i="20"/>
  <c r="A337" i="20"/>
  <c r="B337" i="20"/>
  <c r="C337" i="20"/>
  <c r="D337" i="20"/>
  <c r="A338" i="20"/>
  <c r="B338" i="20"/>
  <c r="C338" i="20"/>
  <c r="D338" i="20"/>
  <c r="A339" i="20"/>
  <c r="B339" i="20"/>
  <c r="C339" i="20"/>
  <c r="D339" i="20"/>
  <c r="A340" i="20"/>
  <c r="B340" i="20"/>
  <c r="C340" i="20"/>
  <c r="D340" i="20"/>
  <c r="A341" i="20"/>
  <c r="B341" i="20"/>
  <c r="C341" i="20"/>
  <c r="D341" i="20"/>
  <c r="E341" i="20"/>
  <c r="A345" i="20"/>
  <c r="B345" i="20"/>
  <c r="C345" i="20"/>
  <c r="D345" i="20"/>
  <c r="A346" i="20"/>
  <c r="B346" i="20"/>
  <c r="C346" i="20"/>
  <c r="D346" i="20"/>
  <c r="A347" i="20"/>
  <c r="B347" i="20"/>
  <c r="C347" i="20"/>
  <c r="D347" i="20"/>
  <c r="A348" i="20"/>
  <c r="B348" i="20"/>
  <c r="C348" i="20"/>
  <c r="D348" i="20"/>
  <c r="A349" i="20"/>
  <c r="B349" i="20"/>
  <c r="C349" i="20"/>
  <c r="D349" i="20"/>
  <c r="A350" i="20"/>
  <c r="B350" i="20"/>
  <c r="C350" i="20"/>
  <c r="D350" i="20"/>
  <c r="A351" i="20"/>
  <c r="B351" i="20"/>
  <c r="C351" i="20"/>
  <c r="D351" i="20"/>
  <c r="A352" i="20"/>
  <c r="B352" i="20"/>
  <c r="C352" i="20"/>
  <c r="D352" i="20"/>
  <c r="A353" i="20"/>
  <c r="B353" i="20"/>
  <c r="C353" i="20"/>
  <c r="D353" i="20"/>
  <c r="A354" i="20"/>
  <c r="B354" i="20"/>
  <c r="C354" i="20"/>
  <c r="D354" i="20"/>
  <c r="A355" i="20"/>
  <c r="B355" i="20"/>
  <c r="C355" i="20"/>
  <c r="D355" i="20"/>
  <c r="A356" i="20"/>
  <c r="B356" i="20"/>
  <c r="C356" i="20"/>
  <c r="D356" i="20"/>
  <c r="A357" i="20"/>
  <c r="B357" i="20"/>
  <c r="C357" i="20"/>
  <c r="D357" i="20"/>
  <c r="A358" i="20"/>
  <c r="B358" i="20"/>
  <c r="C358" i="20"/>
  <c r="D358" i="20"/>
  <c r="A359" i="20"/>
  <c r="B359" i="20"/>
  <c r="C359" i="20"/>
  <c r="D359" i="20"/>
  <c r="A360" i="20"/>
  <c r="B360" i="20"/>
  <c r="C360" i="20"/>
  <c r="D360" i="20"/>
  <c r="A361" i="20"/>
  <c r="B361" i="20"/>
  <c r="C361" i="20"/>
  <c r="D361" i="20"/>
  <c r="A362" i="20"/>
  <c r="B362" i="20"/>
  <c r="C362" i="20"/>
  <c r="D362" i="20"/>
  <c r="A363" i="20"/>
  <c r="B363" i="20"/>
  <c r="C363" i="20"/>
  <c r="D363" i="20"/>
  <c r="A364" i="20"/>
  <c r="B364" i="20"/>
  <c r="C364" i="20"/>
  <c r="D364" i="20"/>
  <c r="A365" i="20"/>
  <c r="B365" i="20"/>
  <c r="C365" i="20"/>
  <c r="D365" i="20"/>
  <c r="A366" i="20"/>
  <c r="B366" i="20"/>
  <c r="C366" i="20"/>
  <c r="D366" i="20"/>
  <c r="E366" i="20"/>
  <c r="A36" i="20"/>
  <c r="B36" i="20"/>
  <c r="C36" i="20"/>
  <c r="D36" i="20"/>
  <c r="A37" i="20"/>
  <c r="B37" i="20"/>
  <c r="C37" i="20"/>
  <c r="D37" i="20"/>
  <c r="A38" i="20"/>
  <c r="B38" i="20"/>
  <c r="C38" i="20"/>
  <c r="D38" i="20"/>
  <c r="A39" i="20"/>
  <c r="B39" i="20"/>
  <c r="C39" i="20"/>
  <c r="D39" i="20"/>
  <c r="A40" i="20"/>
  <c r="B40" i="20"/>
  <c r="C40" i="20"/>
  <c r="D40" i="20"/>
  <c r="A41" i="20"/>
  <c r="B41" i="20"/>
  <c r="C41" i="20"/>
  <c r="D41" i="20"/>
  <c r="A42" i="20"/>
  <c r="B42" i="20"/>
  <c r="C42" i="20"/>
  <c r="D42" i="20"/>
  <c r="A43" i="20"/>
  <c r="B43" i="20"/>
  <c r="C43" i="20"/>
  <c r="D43" i="20"/>
  <c r="A44" i="20"/>
  <c r="B44" i="20"/>
  <c r="C44" i="20"/>
  <c r="D44" i="20"/>
  <c r="A45" i="20"/>
  <c r="B45" i="20"/>
  <c r="C45" i="20"/>
  <c r="D45" i="20"/>
  <c r="A46" i="20"/>
  <c r="B46" i="20"/>
  <c r="C46" i="20"/>
  <c r="D46" i="20"/>
  <c r="A47" i="20"/>
  <c r="B47" i="20"/>
  <c r="C47" i="20"/>
  <c r="D47" i="20"/>
  <c r="A48" i="20"/>
  <c r="B48" i="20"/>
  <c r="C48" i="20"/>
  <c r="D48" i="20"/>
  <c r="A49" i="20"/>
  <c r="B49" i="20"/>
  <c r="C49" i="20"/>
  <c r="D49" i="20"/>
  <c r="E49" i="20"/>
  <c r="I49" i="20" s="1"/>
  <c r="J49" i="20" s="1"/>
  <c r="K49" i="20" s="1"/>
  <c r="A29" i="20"/>
  <c r="B29" i="20"/>
  <c r="C29" i="20"/>
  <c r="D29" i="20"/>
  <c r="A30" i="20"/>
  <c r="B30" i="20"/>
  <c r="C30" i="20"/>
  <c r="D30" i="20"/>
  <c r="A31" i="20"/>
  <c r="B31" i="20"/>
  <c r="C31" i="20"/>
  <c r="D31" i="20"/>
  <c r="A32" i="20"/>
  <c r="B32" i="20"/>
  <c r="C32" i="20"/>
  <c r="D32" i="20"/>
  <c r="A33" i="20"/>
  <c r="B33" i="20"/>
  <c r="C33" i="20"/>
  <c r="D33" i="20"/>
  <c r="A34" i="20"/>
  <c r="B34" i="20"/>
  <c r="C34" i="20"/>
  <c r="D34" i="20"/>
  <c r="A35" i="20"/>
  <c r="B35" i="20"/>
  <c r="C35" i="20"/>
  <c r="D35" i="20"/>
  <c r="A28" i="20"/>
  <c r="B28" i="20"/>
  <c r="C28" i="20"/>
  <c r="D28" i="20"/>
  <c r="A24" i="20"/>
  <c r="B24" i="20"/>
  <c r="C24" i="20"/>
  <c r="D24" i="20"/>
  <c r="E24" i="20"/>
  <c r="I24" i="20" s="1"/>
  <c r="J24" i="20" s="1"/>
  <c r="K24" i="20" s="1"/>
  <c r="A374" i="6"/>
  <c r="B374" i="6"/>
  <c r="C374" i="6"/>
  <c r="D374" i="6"/>
  <c r="A349" i="6"/>
  <c r="B349" i="6"/>
  <c r="C349" i="6"/>
  <c r="D349" i="6"/>
  <c r="A324" i="6"/>
  <c r="B324" i="6"/>
  <c r="C324" i="6"/>
  <c r="D324" i="6"/>
  <c r="A299" i="6"/>
  <c r="B299" i="6"/>
  <c r="C299" i="6"/>
  <c r="D299" i="6"/>
  <c r="A274" i="6"/>
  <c r="B274" i="6"/>
  <c r="C274" i="6"/>
  <c r="D274" i="6"/>
  <c r="A249" i="6"/>
  <c r="B249" i="6"/>
  <c r="C249" i="6"/>
  <c r="D249" i="6"/>
  <c r="A224" i="6"/>
  <c r="B224" i="6"/>
  <c r="C224" i="6"/>
  <c r="D224" i="6"/>
  <c r="A199" i="6"/>
  <c r="B199" i="6"/>
  <c r="C199" i="6"/>
  <c r="D199" i="6"/>
  <c r="A174" i="6"/>
  <c r="B174" i="6"/>
  <c r="C174" i="6"/>
  <c r="D174" i="6"/>
  <c r="A149" i="6"/>
  <c r="B149" i="6"/>
  <c r="C149" i="6"/>
  <c r="D149" i="6"/>
  <c r="A124" i="6"/>
  <c r="B124" i="6"/>
  <c r="C124" i="6"/>
  <c r="D124" i="6"/>
  <c r="A99" i="6"/>
  <c r="B99" i="6"/>
  <c r="C99" i="6"/>
  <c r="D99" i="6"/>
  <c r="A74" i="6"/>
  <c r="B74" i="6"/>
  <c r="C74" i="6"/>
  <c r="D74" i="6"/>
  <c r="A49" i="6"/>
  <c r="B49" i="6"/>
  <c r="C49" i="6"/>
  <c r="D49" i="6"/>
  <c r="A374" i="4"/>
  <c r="B374" i="4"/>
  <c r="C374" i="4"/>
  <c r="D374" i="4"/>
  <c r="A349" i="4"/>
  <c r="B349" i="4"/>
  <c r="C349" i="4"/>
  <c r="D349" i="4"/>
  <c r="A324" i="4"/>
  <c r="B324" i="4"/>
  <c r="C324" i="4"/>
  <c r="D324" i="4"/>
  <c r="A299" i="4"/>
  <c r="B299" i="4"/>
  <c r="C299" i="4"/>
  <c r="D299" i="4"/>
  <c r="A274" i="4"/>
  <c r="B274" i="4"/>
  <c r="C274" i="4"/>
  <c r="D274" i="4"/>
  <c r="A249" i="4"/>
  <c r="B249" i="4"/>
  <c r="C249" i="4"/>
  <c r="D249" i="4"/>
  <c r="A224" i="4"/>
  <c r="B224" i="4"/>
  <c r="C224" i="4"/>
  <c r="D224" i="4"/>
  <c r="A199" i="4"/>
  <c r="B199" i="4"/>
  <c r="C199" i="4"/>
  <c r="D199" i="4"/>
  <c r="A174" i="4"/>
  <c r="B174" i="4"/>
  <c r="C174" i="4"/>
  <c r="D174" i="4"/>
  <c r="A149" i="4"/>
  <c r="B149" i="4"/>
  <c r="C149" i="4"/>
  <c r="D149" i="4"/>
  <c r="A124" i="4"/>
  <c r="B124" i="4"/>
  <c r="C124" i="4"/>
  <c r="D124" i="4"/>
  <c r="A99" i="4"/>
  <c r="B99" i="4"/>
  <c r="C99" i="4"/>
  <c r="D99" i="4"/>
  <c r="A74" i="4"/>
  <c r="B74" i="4"/>
  <c r="C74" i="4"/>
  <c r="A49" i="4"/>
  <c r="B49" i="4"/>
  <c r="C49" i="4"/>
  <c r="D49" i="4"/>
  <c r="A24" i="6"/>
  <c r="B24" i="6"/>
  <c r="C24" i="6"/>
  <c r="D24" i="6"/>
  <c r="A24" i="4"/>
  <c r="B24" i="4"/>
  <c r="C24" i="4"/>
  <c r="D24" i="4"/>
  <c r="V174" i="6" l="1"/>
  <c r="W174" i="6" s="1"/>
  <c r="V99" i="6"/>
  <c r="W99" i="6" s="1"/>
  <c r="W199" i="4"/>
  <c r="X199" i="4" s="1"/>
  <c r="S99" i="4"/>
  <c r="T99" i="4" s="1"/>
  <c r="Z199" i="6"/>
  <c r="AA199" i="6" s="1"/>
  <c r="W74" i="4"/>
  <c r="X74" i="4" s="1"/>
  <c r="Z240" i="22"/>
  <c r="Y240" i="22"/>
  <c r="S174" i="4"/>
  <c r="T174" i="4" s="1"/>
  <c r="X274" i="4"/>
  <c r="E53" i="19"/>
  <c r="X24" i="4"/>
  <c r="C54" i="11"/>
  <c r="T54" i="11" s="1"/>
  <c r="X349" i="4"/>
  <c r="K53" i="19"/>
  <c r="AA374" i="6"/>
  <c r="M81" i="19"/>
  <c r="AA174" i="6"/>
  <c r="G83" i="11"/>
  <c r="X83" i="11" s="1"/>
  <c r="X49" i="4"/>
  <c r="I54" i="11"/>
  <c r="Z54" i="11" s="1"/>
  <c r="AA224" i="6"/>
  <c r="I82" i="18"/>
  <c r="X82" i="18" s="1"/>
  <c r="X174" i="4"/>
  <c r="G54" i="11"/>
  <c r="X54" i="11" s="1"/>
  <c r="AA99" i="6"/>
  <c r="C82" i="18"/>
  <c r="R82" i="18" s="1"/>
  <c r="AA74" i="6"/>
  <c r="K83" i="11"/>
  <c r="AB83" i="11" s="1"/>
  <c r="X299" i="4"/>
  <c r="G53" i="19"/>
  <c r="X249" i="4"/>
  <c r="C53" i="19"/>
  <c r="X324" i="4"/>
  <c r="I53" i="19"/>
  <c r="AA124" i="6"/>
  <c r="E83" i="11"/>
  <c r="V83" i="11" s="1"/>
  <c r="AA49" i="6"/>
  <c r="I83" i="11"/>
  <c r="Z83" i="11" s="1"/>
  <c r="X99" i="4"/>
  <c r="C53" i="18"/>
  <c r="R53" i="18" s="1"/>
  <c r="X124" i="4"/>
  <c r="E54" i="11"/>
  <c r="V54" i="11" s="1"/>
  <c r="AA274" i="6"/>
  <c r="E81" i="19"/>
  <c r="AA249" i="6"/>
  <c r="C81" i="19"/>
  <c r="X374" i="4"/>
  <c r="M53" i="19"/>
  <c r="AA324" i="6"/>
  <c r="I81" i="19"/>
  <c r="X149" i="4"/>
  <c r="E53" i="18"/>
  <c r="T53" i="18" s="1"/>
  <c r="AA149" i="6"/>
  <c r="E82" i="18"/>
  <c r="T82" i="18" s="1"/>
  <c r="AA24" i="6"/>
  <c r="C83" i="11"/>
  <c r="T83" i="11" s="1"/>
  <c r="X224" i="4"/>
  <c r="I53" i="18"/>
  <c r="X53" i="18" s="1"/>
  <c r="AA349" i="6"/>
  <c r="K81" i="19"/>
  <c r="AA299" i="6"/>
  <c r="G81" i="19"/>
  <c r="H291" i="20"/>
  <c r="V291" i="20" s="1"/>
  <c r="I291" i="20"/>
  <c r="W291" i="20" s="1"/>
  <c r="X291" i="20" s="1"/>
  <c r="I266" i="20"/>
  <c r="W266" i="20" s="1"/>
  <c r="X266" i="20" s="1"/>
  <c r="H266" i="20"/>
  <c r="V266" i="20" s="1"/>
  <c r="H341" i="20"/>
  <c r="V341" i="20" s="1"/>
  <c r="I341" i="20"/>
  <c r="W341" i="20" s="1"/>
  <c r="X341" i="20" s="1"/>
  <c r="Z290" i="22"/>
  <c r="Y290" i="22"/>
  <c r="H316" i="20"/>
  <c r="V316" i="20" s="1"/>
  <c r="I316" i="20"/>
  <c r="W316" i="20" s="1"/>
  <c r="X316" i="20" s="1"/>
  <c r="H241" i="20"/>
  <c r="V241" i="20" s="1"/>
  <c r="I241" i="20"/>
  <c r="W241" i="20" s="1"/>
  <c r="X241" i="20" s="1"/>
  <c r="Z265" i="22"/>
  <c r="Y265" i="22"/>
  <c r="Z315" i="22"/>
  <c r="Y315" i="22"/>
  <c r="Z340" i="22"/>
  <c r="Y340" i="22"/>
  <c r="Z365" i="22"/>
  <c r="Y365" i="22"/>
  <c r="H366" i="20"/>
  <c r="V366" i="20" s="1"/>
  <c r="I366" i="20"/>
  <c r="W366" i="20" s="1"/>
  <c r="X366" i="20" s="1"/>
  <c r="O353" i="22"/>
  <c r="P353" i="22"/>
  <c r="O354" i="22"/>
  <c r="P354" i="22"/>
  <c r="O355" i="22"/>
  <c r="P355" i="22"/>
  <c r="O356" i="22"/>
  <c r="P356" i="22"/>
  <c r="O357" i="22"/>
  <c r="P357" i="22"/>
  <c r="O358" i="22"/>
  <c r="P358" i="22"/>
  <c r="O359" i="22"/>
  <c r="P359" i="22"/>
  <c r="O360" i="22"/>
  <c r="P360" i="22"/>
  <c r="O361" i="22"/>
  <c r="P361" i="22"/>
  <c r="O362" i="22"/>
  <c r="P362" i="22"/>
  <c r="O363" i="22"/>
  <c r="P363" i="22"/>
  <c r="O364" i="22"/>
  <c r="P364" i="22"/>
  <c r="O352" i="22"/>
  <c r="P352" i="22"/>
  <c r="O328" i="22"/>
  <c r="P328" i="22"/>
  <c r="O329" i="22"/>
  <c r="P329" i="22"/>
  <c r="O330" i="22"/>
  <c r="P330" i="22"/>
  <c r="O331" i="22"/>
  <c r="P331" i="22"/>
  <c r="O332" i="22"/>
  <c r="P332" i="22"/>
  <c r="O333" i="22"/>
  <c r="P333" i="22"/>
  <c r="O334" i="22"/>
  <c r="P334" i="22"/>
  <c r="O335" i="22"/>
  <c r="P335" i="22"/>
  <c r="O336" i="22"/>
  <c r="P336" i="22"/>
  <c r="O337" i="22"/>
  <c r="P337" i="22"/>
  <c r="O338" i="22"/>
  <c r="P338" i="22"/>
  <c r="O339" i="22"/>
  <c r="P339" i="22"/>
  <c r="O327" i="22"/>
  <c r="P327" i="22"/>
  <c r="O303" i="22"/>
  <c r="P303" i="22"/>
  <c r="O304" i="22"/>
  <c r="P304" i="22"/>
  <c r="O305" i="22"/>
  <c r="P305" i="22"/>
  <c r="O306" i="22"/>
  <c r="P306" i="22"/>
  <c r="O307" i="22"/>
  <c r="P307" i="22"/>
  <c r="O308" i="22"/>
  <c r="P308" i="22"/>
  <c r="O309" i="22"/>
  <c r="P309" i="22"/>
  <c r="O310" i="22"/>
  <c r="P310" i="22"/>
  <c r="O311" i="22"/>
  <c r="P311" i="22"/>
  <c r="O312" i="22"/>
  <c r="P312" i="22"/>
  <c r="O313" i="22"/>
  <c r="P313" i="22"/>
  <c r="O314" i="22"/>
  <c r="P314" i="22"/>
  <c r="O302" i="22"/>
  <c r="P302" i="22"/>
  <c r="O278" i="22"/>
  <c r="P278" i="22"/>
  <c r="O279" i="22"/>
  <c r="P279" i="22"/>
  <c r="O280" i="22"/>
  <c r="P280" i="22"/>
  <c r="O281" i="22"/>
  <c r="P281" i="22"/>
  <c r="O282" i="22"/>
  <c r="P282" i="22"/>
  <c r="O283" i="22"/>
  <c r="P283" i="22"/>
  <c r="O284" i="22"/>
  <c r="P284" i="22"/>
  <c r="O285" i="22"/>
  <c r="P285" i="22"/>
  <c r="O286" i="22"/>
  <c r="P286" i="22"/>
  <c r="O287" i="22"/>
  <c r="P287" i="22"/>
  <c r="O288" i="22"/>
  <c r="P288" i="22"/>
  <c r="O289" i="22"/>
  <c r="P289" i="22"/>
  <c r="O277" i="22"/>
  <c r="P277" i="22"/>
  <c r="O228" i="22"/>
  <c r="P228" i="22"/>
  <c r="O229" i="22"/>
  <c r="P229" i="22"/>
  <c r="O230" i="22"/>
  <c r="P230" i="22"/>
  <c r="O231" i="22"/>
  <c r="P231" i="22"/>
  <c r="O232" i="22"/>
  <c r="P232" i="22"/>
  <c r="O233" i="22"/>
  <c r="P233" i="22"/>
  <c r="O234" i="22"/>
  <c r="P234" i="22"/>
  <c r="O235" i="22"/>
  <c r="P235" i="22"/>
  <c r="O236" i="22"/>
  <c r="P236" i="22"/>
  <c r="O237" i="22"/>
  <c r="P237" i="22"/>
  <c r="O238" i="22"/>
  <c r="P238" i="22"/>
  <c r="O239" i="22"/>
  <c r="P239" i="22"/>
  <c r="O227" i="22"/>
  <c r="P227" i="22"/>
  <c r="F353" i="22"/>
  <c r="G353" i="22"/>
  <c r="F354" i="22"/>
  <c r="G354" i="22"/>
  <c r="F355" i="22"/>
  <c r="G355" i="22"/>
  <c r="F356" i="22"/>
  <c r="G356" i="22"/>
  <c r="F357" i="22"/>
  <c r="G357" i="22"/>
  <c r="F358" i="22"/>
  <c r="G358" i="22"/>
  <c r="F359" i="22"/>
  <c r="G359" i="22"/>
  <c r="F360" i="22"/>
  <c r="G360" i="22"/>
  <c r="F361" i="22"/>
  <c r="G361" i="22"/>
  <c r="F362" i="22"/>
  <c r="G362" i="22"/>
  <c r="F363" i="22"/>
  <c r="G363" i="22"/>
  <c r="F364" i="22"/>
  <c r="G364" i="22"/>
  <c r="F352" i="22"/>
  <c r="G352" i="22"/>
  <c r="F328" i="22"/>
  <c r="G328" i="22"/>
  <c r="F329" i="22"/>
  <c r="G329" i="22"/>
  <c r="F330" i="22"/>
  <c r="G330" i="22"/>
  <c r="F331" i="22"/>
  <c r="G331" i="22"/>
  <c r="F332" i="22"/>
  <c r="G332" i="22"/>
  <c r="F333" i="22"/>
  <c r="G333" i="22"/>
  <c r="F334" i="22"/>
  <c r="G334" i="22"/>
  <c r="F335" i="22"/>
  <c r="G335" i="22"/>
  <c r="F336" i="22"/>
  <c r="G336" i="22"/>
  <c r="F337" i="22"/>
  <c r="G337" i="22"/>
  <c r="F338" i="22"/>
  <c r="G338" i="22"/>
  <c r="F339" i="22"/>
  <c r="G339" i="22"/>
  <c r="G327" i="22"/>
  <c r="F327" i="22"/>
  <c r="G53" i="18" l="1"/>
  <c r="V53" i="18" s="1"/>
  <c r="K54" i="11"/>
  <c r="G82" i="18"/>
  <c r="V82" i="18" s="1"/>
  <c r="M83" i="11"/>
  <c r="N83" i="11" s="1"/>
  <c r="O83" i="11" s="1"/>
  <c r="AD83" i="11" s="1"/>
  <c r="Y224" i="4"/>
  <c r="Z224" i="4"/>
  <c r="AC324" i="6"/>
  <c r="AB324" i="6"/>
  <c r="Y199" i="4"/>
  <c r="Z199" i="4"/>
  <c r="AC124" i="6"/>
  <c r="AB124" i="6"/>
  <c r="AB74" i="6"/>
  <c r="AC74" i="6"/>
  <c r="Y49" i="4"/>
  <c r="Z49" i="4"/>
  <c r="Y24" i="4"/>
  <c r="Z24" i="4"/>
  <c r="K82" i="18"/>
  <c r="L82" i="18" s="1"/>
  <c r="M82" i="18" s="1"/>
  <c r="Z82" i="18" s="1"/>
  <c r="AB24" i="6"/>
  <c r="AC24" i="6"/>
  <c r="Y374" i="4"/>
  <c r="Z374" i="4"/>
  <c r="Z124" i="4"/>
  <c r="Y124" i="4"/>
  <c r="Y324" i="4"/>
  <c r="Z324" i="4"/>
  <c r="AB99" i="6"/>
  <c r="AC99" i="6"/>
  <c r="AB174" i="6"/>
  <c r="AC174" i="6"/>
  <c r="Y74" i="4"/>
  <c r="Z74" i="4"/>
  <c r="O81" i="19"/>
  <c r="P81" i="19" s="1"/>
  <c r="Q81" i="19" s="1"/>
  <c r="K53" i="18"/>
  <c r="L53" i="18" s="1"/>
  <c r="M53" i="18" s="1"/>
  <c r="Z53" i="18" s="1"/>
  <c r="AC299" i="6"/>
  <c r="AB299" i="6"/>
  <c r="AB149" i="6"/>
  <c r="AC149" i="6"/>
  <c r="AB249" i="6"/>
  <c r="AC249" i="6"/>
  <c r="Y99" i="4"/>
  <c r="Z99" i="4"/>
  <c r="Y249" i="4"/>
  <c r="Z249" i="4"/>
  <c r="Z174" i="4"/>
  <c r="Y174" i="4"/>
  <c r="AB374" i="6"/>
  <c r="AC374" i="6"/>
  <c r="AB199" i="6"/>
  <c r="AC199" i="6"/>
  <c r="O53" i="19"/>
  <c r="P53" i="19" s="1"/>
  <c r="Q53" i="19" s="1"/>
  <c r="AB349" i="6"/>
  <c r="AC349" i="6"/>
  <c r="Y149" i="4"/>
  <c r="Z149" i="4"/>
  <c r="AB274" i="6"/>
  <c r="AC274" i="6"/>
  <c r="AB49" i="6"/>
  <c r="AC49" i="6"/>
  <c r="Y299" i="4"/>
  <c r="Z299" i="4"/>
  <c r="AB224" i="6"/>
  <c r="AC224" i="6"/>
  <c r="Y349" i="4"/>
  <c r="Z349" i="4"/>
  <c r="Y274" i="4"/>
  <c r="Z274" i="4"/>
  <c r="Y366" i="20"/>
  <c r="Z366" i="20"/>
  <c r="Z341" i="20"/>
  <c r="Y341" i="20"/>
  <c r="Y266" i="20"/>
  <c r="Z266" i="20"/>
  <c r="Z241" i="20"/>
  <c r="Y241" i="20"/>
  <c r="Z316" i="20"/>
  <c r="Y316" i="20"/>
  <c r="Y291" i="20"/>
  <c r="Z291" i="20"/>
  <c r="F303" i="22"/>
  <c r="G303" i="22"/>
  <c r="F304" i="22"/>
  <c r="G304" i="22"/>
  <c r="F305" i="22"/>
  <c r="G305" i="22"/>
  <c r="F306" i="22"/>
  <c r="G306" i="22"/>
  <c r="F307" i="22"/>
  <c r="G307" i="22"/>
  <c r="F308" i="22"/>
  <c r="G308" i="22"/>
  <c r="F309" i="22"/>
  <c r="G309" i="22"/>
  <c r="F310" i="22"/>
  <c r="G310" i="22"/>
  <c r="F311" i="22"/>
  <c r="G311" i="22"/>
  <c r="F312" i="22"/>
  <c r="G312" i="22"/>
  <c r="F313" i="22"/>
  <c r="G313" i="22"/>
  <c r="F314" i="22"/>
  <c r="G314" i="22"/>
  <c r="F302" i="22"/>
  <c r="G302" i="22"/>
  <c r="F278" i="22"/>
  <c r="G278" i="22"/>
  <c r="F279" i="22"/>
  <c r="G279" i="22"/>
  <c r="F280" i="22"/>
  <c r="G280" i="22"/>
  <c r="F281" i="22"/>
  <c r="G281" i="22"/>
  <c r="F282" i="22"/>
  <c r="G282" i="22"/>
  <c r="F283" i="22"/>
  <c r="G283" i="22"/>
  <c r="F284" i="22"/>
  <c r="G284" i="22"/>
  <c r="F285" i="22"/>
  <c r="G285" i="22"/>
  <c r="F286" i="22"/>
  <c r="G286" i="22"/>
  <c r="F287" i="22"/>
  <c r="G287" i="22"/>
  <c r="F288" i="22"/>
  <c r="G288" i="22"/>
  <c r="F289" i="22"/>
  <c r="G289" i="22"/>
  <c r="F277" i="22"/>
  <c r="G277" i="22"/>
  <c r="F253" i="22"/>
  <c r="G253" i="22"/>
  <c r="F254" i="22"/>
  <c r="G254" i="22"/>
  <c r="F255" i="22"/>
  <c r="G255" i="22"/>
  <c r="F256" i="22"/>
  <c r="G256" i="22"/>
  <c r="F257" i="22"/>
  <c r="G257" i="22"/>
  <c r="F258" i="22"/>
  <c r="G258" i="22"/>
  <c r="F259" i="22"/>
  <c r="G259" i="22"/>
  <c r="F260" i="22"/>
  <c r="G260" i="22"/>
  <c r="F261" i="22"/>
  <c r="G261" i="22"/>
  <c r="F262" i="22"/>
  <c r="G262" i="22"/>
  <c r="F263" i="22"/>
  <c r="G263" i="22"/>
  <c r="F264" i="22"/>
  <c r="G264" i="22"/>
  <c r="G252" i="22"/>
  <c r="F252" i="22"/>
  <c r="F228" i="22"/>
  <c r="G228" i="22"/>
  <c r="F229" i="22"/>
  <c r="G229" i="22"/>
  <c r="F230" i="22"/>
  <c r="G230" i="22"/>
  <c r="F231" i="22"/>
  <c r="G231" i="22"/>
  <c r="F232" i="22"/>
  <c r="G232" i="22"/>
  <c r="F233" i="22"/>
  <c r="G233" i="22"/>
  <c r="F234" i="22"/>
  <c r="G234" i="22"/>
  <c r="F235" i="22"/>
  <c r="G235" i="22"/>
  <c r="F236" i="22"/>
  <c r="G236" i="22"/>
  <c r="F237" i="22"/>
  <c r="G237" i="22"/>
  <c r="F238" i="22"/>
  <c r="G238" i="22"/>
  <c r="F239" i="22"/>
  <c r="G239" i="22"/>
  <c r="G227" i="22"/>
  <c r="F227" i="22"/>
  <c r="O261" i="22"/>
  <c r="P257" i="22"/>
  <c r="P252" i="22"/>
  <c r="O251" i="22"/>
  <c r="O250" i="22"/>
  <c r="P247" i="22"/>
  <c r="O245" i="22"/>
  <c r="P264" i="22"/>
  <c r="O264" i="22"/>
  <c r="P263" i="22"/>
  <c r="O263" i="22"/>
  <c r="O262" i="22"/>
  <c r="P261" i="22"/>
  <c r="P260" i="22"/>
  <c r="O260" i="22"/>
  <c r="P259" i="22"/>
  <c r="O259" i="22"/>
  <c r="P258" i="22"/>
  <c r="O258" i="22"/>
  <c r="O257" i="22"/>
  <c r="P256" i="22"/>
  <c r="O256" i="22"/>
  <c r="P255" i="22"/>
  <c r="O255" i="22"/>
  <c r="P254" i="22"/>
  <c r="O254" i="22"/>
  <c r="P253" i="22"/>
  <c r="O253" i="22"/>
  <c r="O252" i="22"/>
  <c r="P251" i="22"/>
  <c r="P250" i="22"/>
  <c r="P249" i="22"/>
  <c r="O249" i="22"/>
  <c r="P248" i="22"/>
  <c r="O248" i="22"/>
  <c r="O247" i="22"/>
  <c r="O246" i="22"/>
  <c r="P245" i="22"/>
  <c r="P244" i="22"/>
  <c r="O244" i="22"/>
  <c r="H215" i="22"/>
  <c r="H214" i="22"/>
  <c r="H213" i="22"/>
  <c r="H212" i="22"/>
  <c r="H211" i="22"/>
  <c r="H210" i="22"/>
  <c r="H209" i="22"/>
  <c r="H208" i="22"/>
  <c r="H207" i="22"/>
  <c r="H206" i="22"/>
  <c r="H205" i="22"/>
  <c r="H204" i="22"/>
  <c r="H203" i="22"/>
  <c r="H191" i="22"/>
  <c r="H190" i="22"/>
  <c r="H189" i="22"/>
  <c r="H188" i="22"/>
  <c r="H187" i="22"/>
  <c r="H186" i="22"/>
  <c r="H185" i="22"/>
  <c r="H184" i="22"/>
  <c r="H183" i="22"/>
  <c r="H182" i="22"/>
  <c r="H181" i="22"/>
  <c r="H180" i="22"/>
  <c r="H179" i="22"/>
  <c r="H167" i="22"/>
  <c r="H166" i="22"/>
  <c r="H165" i="22"/>
  <c r="H164" i="22"/>
  <c r="H163" i="22"/>
  <c r="H162" i="22"/>
  <c r="H161" i="22"/>
  <c r="H160" i="22"/>
  <c r="H159" i="22"/>
  <c r="H158" i="22"/>
  <c r="H157" i="22"/>
  <c r="H156" i="22"/>
  <c r="H155" i="22"/>
  <c r="H143" i="22"/>
  <c r="H142" i="22"/>
  <c r="H141" i="22"/>
  <c r="H140" i="22"/>
  <c r="H139" i="22"/>
  <c r="H138" i="22"/>
  <c r="H137" i="22"/>
  <c r="H136" i="22"/>
  <c r="H135" i="22"/>
  <c r="H134" i="22"/>
  <c r="H133" i="22"/>
  <c r="H132" i="22"/>
  <c r="H131" i="22"/>
  <c r="H119" i="22"/>
  <c r="H118" i="22"/>
  <c r="H117" i="22"/>
  <c r="H116" i="22"/>
  <c r="H115" i="22"/>
  <c r="H114" i="22"/>
  <c r="H113" i="22"/>
  <c r="H112" i="22"/>
  <c r="H111" i="22"/>
  <c r="H110" i="22"/>
  <c r="H109" i="22"/>
  <c r="H108" i="22"/>
  <c r="H107" i="22"/>
  <c r="H95" i="22"/>
  <c r="H94" i="22"/>
  <c r="H93" i="22"/>
  <c r="H92" i="22"/>
  <c r="H91" i="22"/>
  <c r="H90" i="22"/>
  <c r="H89" i="22"/>
  <c r="H88" i="22"/>
  <c r="H87" i="22"/>
  <c r="H86" i="22"/>
  <c r="H85" i="22"/>
  <c r="H84" i="22"/>
  <c r="H83" i="22"/>
  <c r="H71" i="22"/>
  <c r="H70" i="22"/>
  <c r="H69" i="22"/>
  <c r="H68" i="22"/>
  <c r="H67" i="22"/>
  <c r="H66" i="22"/>
  <c r="H65" i="22"/>
  <c r="H64" i="22"/>
  <c r="H63" i="22"/>
  <c r="H62" i="22"/>
  <c r="H61" i="22"/>
  <c r="H60" i="22"/>
  <c r="H59" i="22"/>
  <c r="H47" i="22"/>
  <c r="H46" i="22"/>
  <c r="H45" i="22"/>
  <c r="H44" i="22"/>
  <c r="H43" i="22"/>
  <c r="H42" i="22"/>
  <c r="H41" i="22"/>
  <c r="H40" i="22"/>
  <c r="H39" i="22"/>
  <c r="H38" i="22"/>
  <c r="H37" i="22"/>
  <c r="H36" i="22"/>
  <c r="H35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C1" i="22"/>
  <c r="B1" i="22"/>
  <c r="A1" i="22"/>
  <c r="M54" i="11" l="1"/>
  <c r="N54" i="11" s="1"/>
  <c r="O54" i="11" s="1"/>
  <c r="AD54" i="11" s="1"/>
  <c r="AB54" i="11"/>
  <c r="P246" i="22"/>
  <c r="P262" i="22"/>
  <c r="F228" i="20" l="1"/>
  <c r="G228" i="20"/>
  <c r="P365" i="20" l="1"/>
  <c r="O365" i="20"/>
  <c r="P364" i="20"/>
  <c r="O364" i="20"/>
  <c r="P363" i="20"/>
  <c r="O363" i="20"/>
  <c r="P362" i="20"/>
  <c r="O362" i="20"/>
  <c r="P361" i="20"/>
  <c r="O361" i="20"/>
  <c r="P360" i="20"/>
  <c r="O360" i="20"/>
  <c r="P359" i="20"/>
  <c r="O359" i="20"/>
  <c r="P358" i="20"/>
  <c r="O358" i="20"/>
  <c r="P357" i="20"/>
  <c r="O357" i="20"/>
  <c r="P356" i="20"/>
  <c r="O356" i="20"/>
  <c r="P355" i="20"/>
  <c r="O355" i="20"/>
  <c r="P354" i="20"/>
  <c r="O354" i="20"/>
  <c r="P353" i="20"/>
  <c r="O353" i="20"/>
  <c r="O340" i="20"/>
  <c r="P340" i="20"/>
  <c r="P339" i="20"/>
  <c r="O339" i="20"/>
  <c r="P338" i="20"/>
  <c r="O338" i="20"/>
  <c r="P337" i="20"/>
  <c r="O337" i="20"/>
  <c r="P336" i="20"/>
  <c r="O336" i="20"/>
  <c r="P335" i="20"/>
  <c r="O335" i="20"/>
  <c r="P334" i="20"/>
  <c r="O334" i="20"/>
  <c r="P333" i="20"/>
  <c r="O333" i="20"/>
  <c r="P332" i="20"/>
  <c r="O332" i="20"/>
  <c r="P331" i="20"/>
  <c r="O331" i="20"/>
  <c r="P330" i="20"/>
  <c r="O330" i="20"/>
  <c r="P329" i="20"/>
  <c r="O329" i="20"/>
  <c r="P328" i="20"/>
  <c r="O328" i="20"/>
  <c r="P315" i="20"/>
  <c r="P265" i="20" s="1"/>
  <c r="O246" i="20"/>
  <c r="P246" i="20"/>
  <c r="O247" i="20"/>
  <c r="O248" i="20"/>
  <c r="O249" i="20"/>
  <c r="O250" i="20"/>
  <c r="O251" i="20"/>
  <c r="O252" i="20"/>
  <c r="O303" i="20"/>
  <c r="O253" i="20" s="1"/>
  <c r="P303" i="20"/>
  <c r="O304" i="20"/>
  <c r="O254" i="20" s="1"/>
  <c r="P304" i="20"/>
  <c r="O305" i="20"/>
  <c r="O255" i="20" s="1"/>
  <c r="P305" i="20"/>
  <c r="O306" i="20"/>
  <c r="O256" i="20" s="1"/>
  <c r="P306" i="20"/>
  <c r="O307" i="20"/>
  <c r="O257" i="20" s="1"/>
  <c r="P307" i="20"/>
  <c r="O308" i="20"/>
  <c r="O258" i="20" s="1"/>
  <c r="P308" i="20"/>
  <c r="O309" i="20"/>
  <c r="O259" i="20" s="1"/>
  <c r="P309" i="20"/>
  <c r="O310" i="20"/>
  <c r="O260" i="20" s="1"/>
  <c r="P310" i="20"/>
  <c r="O311" i="20"/>
  <c r="O261" i="20" s="1"/>
  <c r="P311" i="20"/>
  <c r="O312" i="20"/>
  <c r="O262" i="20" s="1"/>
  <c r="P312" i="20"/>
  <c r="O313" i="20"/>
  <c r="O263" i="20" s="1"/>
  <c r="P313" i="20"/>
  <c r="O314" i="20"/>
  <c r="O264" i="20" s="1"/>
  <c r="P314" i="20"/>
  <c r="O315" i="20"/>
  <c r="O265" i="20" s="1"/>
  <c r="O245" i="20"/>
  <c r="O278" i="20"/>
  <c r="P278" i="20"/>
  <c r="O279" i="20"/>
  <c r="P279" i="20"/>
  <c r="O280" i="20"/>
  <c r="P280" i="20"/>
  <c r="O281" i="20"/>
  <c r="P281" i="20"/>
  <c r="O282" i="20"/>
  <c r="P282" i="20"/>
  <c r="O283" i="20"/>
  <c r="P283" i="20"/>
  <c r="O284" i="20"/>
  <c r="P284" i="20"/>
  <c r="O285" i="20"/>
  <c r="P285" i="20"/>
  <c r="O286" i="20"/>
  <c r="P286" i="20"/>
  <c r="O287" i="20"/>
  <c r="P287" i="20"/>
  <c r="O288" i="20"/>
  <c r="P288" i="20"/>
  <c r="O289" i="20"/>
  <c r="P289" i="20"/>
  <c r="O290" i="20"/>
  <c r="P290" i="20"/>
  <c r="O240" i="20"/>
  <c r="O229" i="20"/>
  <c r="P229" i="20"/>
  <c r="O230" i="20"/>
  <c r="P230" i="20"/>
  <c r="O231" i="20"/>
  <c r="P231" i="20"/>
  <c r="O232" i="20"/>
  <c r="P232" i="20"/>
  <c r="O233" i="20"/>
  <c r="P233" i="20"/>
  <c r="O234" i="20"/>
  <c r="P234" i="20"/>
  <c r="O235" i="20"/>
  <c r="P235" i="20"/>
  <c r="O236" i="20"/>
  <c r="P236" i="20"/>
  <c r="O237" i="20"/>
  <c r="P237" i="20"/>
  <c r="O238" i="20"/>
  <c r="P238" i="20"/>
  <c r="O239" i="20"/>
  <c r="P239" i="20"/>
  <c r="P240" i="20"/>
  <c r="O228" i="20"/>
  <c r="P228" i="20"/>
  <c r="F358" i="20"/>
  <c r="G358" i="20"/>
  <c r="F359" i="20"/>
  <c r="G359" i="20"/>
  <c r="F360" i="20"/>
  <c r="G360" i="20"/>
  <c r="F361" i="20"/>
  <c r="G361" i="20"/>
  <c r="F362" i="20"/>
  <c r="G362" i="20"/>
  <c r="F363" i="20"/>
  <c r="G363" i="20"/>
  <c r="F364" i="20"/>
  <c r="G364" i="20"/>
  <c r="F365" i="20"/>
  <c r="G365" i="20"/>
  <c r="F354" i="20"/>
  <c r="G354" i="20"/>
  <c r="F355" i="20"/>
  <c r="G355" i="20"/>
  <c r="F356" i="20"/>
  <c r="G356" i="20"/>
  <c r="F357" i="20"/>
  <c r="G357" i="20"/>
  <c r="F353" i="20"/>
  <c r="G353" i="20"/>
  <c r="F329" i="20"/>
  <c r="G329" i="20"/>
  <c r="F330" i="20"/>
  <c r="G330" i="20"/>
  <c r="F331" i="20"/>
  <c r="G331" i="20"/>
  <c r="F332" i="20"/>
  <c r="G332" i="20"/>
  <c r="F333" i="20"/>
  <c r="G333" i="20"/>
  <c r="F334" i="20"/>
  <c r="G334" i="20"/>
  <c r="F335" i="20"/>
  <c r="G335" i="20"/>
  <c r="F336" i="20"/>
  <c r="G336" i="20"/>
  <c r="F337" i="20"/>
  <c r="G337" i="20"/>
  <c r="F338" i="20"/>
  <c r="G338" i="20"/>
  <c r="F339" i="20"/>
  <c r="G339" i="20"/>
  <c r="G328" i="20"/>
  <c r="G315" i="20"/>
  <c r="F328" i="20"/>
  <c r="F304" i="20"/>
  <c r="G304" i="20"/>
  <c r="F305" i="20"/>
  <c r="G305" i="20"/>
  <c r="F306" i="20"/>
  <c r="G306" i="20"/>
  <c r="F307" i="20"/>
  <c r="G307" i="20"/>
  <c r="F308" i="20"/>
  <c r="G308" i="20"/>
  <c r="F309" i="20"/>
  <c r="G309" i="20"/>
  <c r="F310" i="20"/>
  <c r="G310" i="20"/>
  <c r="F311" i="20"/>
  <c r="G311" i="20"/>
  <c r="F312" i="20"/>
  <c r="G312" i="20"/>
  <c r="F313" i="20"/>
  <c r="G313" i="20"/>
  <c r="F314" i="20"/>
  <c r="G314" i="20"/>
  <c r="F315" i="20"/>
  <c r="F303" i="20"/>
  <c r="G303" i="20"/>
  <c r="F279" i="20"/>
  <c r="G279" i="20"/>
  <c r="F280" i="20"/>
  <c r="G280" i="20"/>
  <c r="F281" i="20"/>
  <c r="G281" i="20"/>
  <c r="F282" i="20"/>
  <c r="G282" i="20"/>
  <c r="F283" i="20"/>
  <c r="G283" i="20"/>
  <c r="F284" i="20"/>
  <c r="G284" i="20"/>
  <c r="F285" i="20"/>
  <c r="G285" i="20"/>
  <c r="F286" i="20"/>
  <c r="G286" i="20"/>
  <c r="F287" i="20"/>
  <c r="G287" i="20"/>
  <c r="F288" i="20"/>
  <c r="G288" i="20"/>
  <c r="F289" i="20"/>
  <c r="G289" i="20"/>
  <c r="F290" i="20"/>
  <c r="G290" i="20"/>
  <c r="F278" i="20"/>
  <c r="G278" i="20"/>
  <c r="G265" i="20"/>
  <c r="F253" i="20"/>
  <c r="G253" i="20"/>
  <c r="F254" i="20"/>
  <c r="G254" i="20"/>
  <c r="F255" i="20"/>
  <c r="G255" i="20"/>
  <c r="F256" i="20"/>
  <c r="G256" i="20"/>
  <c r="F257" i="20"/>
  <c r="G257" i="20"/>
  <c r="F258" i="20"/>
  <c r="G258" i="20"/>
  <c r="F259" i="20"/>
  <c r="G259" i="20"/>
  <c r="F260" i="20"/>
  <c r="G260" i="20"/>
  <c r="F261" i="20"/>
  <c r="G261" i="20"/>
  <c r="F262" i="20"/>
  <c r="G262" i="20"/>
  <c r="F263" i="20"/>
  <c r="G263" i="20"/>
  <c r="F264" i="20"/>
  <c r="G264" i="20"/>
  <c r="F265" i="20"/>
  <c r="F229" i="20"/>
  <c r="G229" i="20"/>
  <c r="F230" i="20"/>
  <c r="G230" i="20"/>
  <c r="F231" i="20"/>
  <c r="G231" i="20"/>
  <c r="F232" i="20"/>
  <c r="G232" i="20"/>
  <c r="F233" i="20"/>
  <c r="G233" i="20"/>
  <c r="F234" i="20"/>
  <c r="G234" i="20"/>
  <c r="F235" i="20"/>
  <c r="G235" i="20"/>
  <c r="F236" i="20"/>
  <c r="G236" i="20"/>
  <c r="F237" i="20"/>
  <c r="G237" i="20"/>
  <c r="F238" i="20"/>
  <c r="G238" i="20"/>
  <c r="F239" i="20"/>
  <c r="G239" i="20"/>
  <c r="F240" i="20"/>
  <c r="G240" i="20"/>
  <c r="P264" i="20" l="1"/>
  <c r="P248" i="20"/>
  <c r="P262" i="20"/>
  <c r="P260" i="20"/>
  <c r="P258" i="20"/>
  <c r="P256" i="20"/>
  <c r="P254" i="20"/>
  <c r="P252" i="20"/>
  <c r="P250" i="20"/>
  <c r="P245" i="20"/>
  <c r="P263" i="20"/>
  <c r="P261" i="20"/>
  <c r="P259" i="20"/>
  <c r="P257" i="20"/>
  <c r="P255" i="20"/>
  <c r="P253" i="20"/>
  <c r="P251" i="20"/>
  <c r="P249" i="20"/>
  <c r="P247" i="20"/>
  <c r="H216" i="20"/>
  <c r="H215" i="20"/>
  <c r="H214" i="20"/>
  <c r="H213" i="20"/>
  <c r="H212" i="20"/>
  <c r="H211" i="20"/>
  <c r="H210" i="20"/>
  <c r="H209" i="20"/>
  <c r="H208" i="20"/>
  <c r="H207" i="20"/>
  <c r="H206" i="20"/>
  <c r="H205" i="20"/>
  <c r="H204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C1" i="20"/>
  <c r="B1" i="20"/>
  <c r="A1" i="20"/>
  <c r="J15" i="2" l="1"/>
  <c r="I190" i="2" l="1"/>
  <c r="J40" i="2" l="1"/>
  <c r="P236" i="6" l="1"/>
  <c r="Q236" i="6"/>
  <c r="P237" i="6"/>
  <c r="Q237" i="6"/>
  <c r="P238" i="6"/>
  <c r="Q238" i="6"/>
  <c r="P239" i="6"/>
  <c r="Q239" i="6"/>
  <c r="P240" i="6"/>
  <c r="Q240" i="6"/>
  <c r="P241" i="6"/>
  <c r="Q241" i="6"/>
  <c r="P242" i="6"/>
  <c r="Q242" i="6"/>
  <c r="P243" i="6"/>
  <c r="Q243" i="6"/>
  <c r="P244" i="6"/>
  <c r="Q244" i="6"/>
  <c r="P245" i="6"/>
  <c r="Q245" i="6"/>
  <c r="P246" i="6"/>
  <c r="Q246" i="6"/>
  <c r="P247" i="6"/>
  <c r="Q247" i="6"/>
  <c r="P248" i="6"/>
  <c r="Q248" i="6"/>
  <c r="P261" i="6"/>
  <c r="Q261" i="6"/>
  <c r="P262" i="6"/>
  <c r="Q262" i="6"/>
  <c r="P263" i="6"/>
  <c r="Q263" i="6"/>
  <c r="P264" i="6"/>
  <c r="Q264" i="6"/>
  <c r="P265" i="6"/>
  <c r="Q265" i="6"/>
  <c r="P266" i="6"/>
  <c r="Q266" i="6"/>
  <c r="P267" i="6"/>
  <c r="Q267" i="6"/>
  <c r="P270" i="6"/>
  <c r="Q270" i="6"/>
  <c r="P271" i="6"/>
  <c r="Q271" i="6"/>
  <c r="P272" i="6"/>
  <c r="Q272" i="6"/>
  <c r="P273" i="6"/>
  <c r="Q273" i="6"/>
  <c r="P286" i="6"/>
  <c r="Q286" i="6"/>
  <c r="P287" i="6"/>
  <c r="Q287" i="6"/>
  <c r="P288" i="6"/>
  <c r="Q288" i="6"/>
  <c r="P289" i="6"/>
  <c r="Q289" i="6"/>
  <c r="P290" i="6"/>
  <c r="Q290" i="6"/>
  <c r="P291" i="6"/>
  <c r="Q291" i="6"/>
  <c r="P292" i="6"/>
  <c r="Q292" i="6"/>
  <c r="P293" i="6"/>
  <c r="Q293" i="6"/>
  <c r="P294" i="6"/>
  <c r="Q294" i="6"/>
  <c r="P295" i="6"/>
  <c r="Q295" i="6"/>
  <c r="P296" i="6"/>
  <c r="Q296" i="6"/>
  <c r="P297" i="6"/>
  <c r="Q297" i="6"/>
  <c r="P298" i="6"/>
  <c r="Q298" i="6"/>
  <c r="P311" i="6"/>
  <c r="Q311" i="6"/>
  <c r="P312" i="6"/>
  <c r="Q312" i="6"/>
  <c r="P313" i="6"/>
  <c r="Q313" i="6"/>
  <c r="P314" i="6"/>
  <c r="Q314" i="6"/>
  <c r="P315" i="6"/>
  <c r="Q315" i="6"/>
  <c r="P316" i="6"/>
  <c r="Q316" i="6"/>
  <c r="P317" i="6"/>
  <c r="Q317" i="6"/>
  <c r="P318" i="6"/>
  <c r="Q318" i="6"/>
  <c r="P319" i="6"/>
  <c r="Q319" i="6"/>
  <c r="P320" i="6"/>
  <c r="Q320" i="6"/>
  <c r="P321" i="6"/>
  <c r="Q321" i="6"/>
  <c r="P322" i="6"/>
  <c r="Q322" i="6"/>
  <c r="P323" i="6"/>
  <c r="Q323" i="6"/>
  <c r="P336" i="6"/>
  <c r="Q336" i="6"/>
  <c r="P337" i="6"/>
  <c r="Q337" i="6"/>
  <c r="P338" i="6"/>
  <c r="Q338" i="6"/>
  <c r="P339" i="6"/>
  <c r="Q339" i="6"/>
  <c r="P340" i="6"/>
  <c r="Q340" i="6"/>
  <c r="P341" i="6"/>
  <c r="Q341" i="6"/>
  <c r="P342" i="6"/>
  <c r="Q342" i="6"/>
  <c r="P343" i="6"/>
  <c r="Q343" i="6"/>
  <c r="P344" i="6"/>
  <c r="Q344" i="6"/>
  <c r="P345" i="6"/>
  <c r="Q345" i="6"/>
  <c r="P346" i="6"/>
  <c r="Q346" i="6"/>
  <c r="P347" i="6"/>
  <c r="Q347" i="6"/>
  <c r="P348" i="6"/>
  <c r="Q348" i="6"/>
  <c r="P362" i="6"/>
  <c r="Q362" i="6"/>
  <c r="P363" i="6"/>
  <c r="Q363" i="6"/>
  <c r="P364" i="6"/>
  <c r="Q364" i="6"/>
  <c r="P365" i="6"/>
  <c r="Q365" i="6"/>
  <c r="P366" i="6"/>
  <c r="Q366" i="6"/>
  <c r="P367" i="6"/>
  <c r="Q367" i="6"/>
  <c r="P368" i="6"/>
  <c r="Q368" i="6"/>
  <c r="P369" i="6"/>
  <c r="Q369" i="6"/>
  <c r="P370" i="6"/>
  <c r="Q370" i="6"/>
  <c r="P371" i="6"/>
  <c r="Q371" i="6"/>
  <c r="P372" i="6"/>
  <c r="Q372" i="6"/>
  <c r="P373" i="6"/>
  <c r="Q373" i="6"/>
  <c r="Q361" i="6"/>
  <c r="P361" i="6"/>
  <c r="O361" i="4"/>
  <c r="P361" i="4"/>
  <c r="O362" i="4"/>
  <c r="P362" i="4"/>
  <c r="O363" i="4"/>
  <c r="P363" i="4"/>
  <c r="O364" i="4"/>
  <c r="P364" i="4"/>
  <c r="O365" i="4"/>
  <c r="P365" i="4"/>
  <c r="O366" i="4"/>
  <c r="P366" i="4"/>
  <c r="O367" i="4"/>
  <c r="P367" i="4"/>
  <c r="O368" i="4"/>
  <c r="P368" i="4"/>
  <c r="O369" i="4"/>
  <c r="P369" i="4"/>
  <c r="O370" i="4"/>
  <c r="P370" i="4"/>
  <c r="O371" i="4"/>
  <c r="P371" i="4"/>
  <c r="O372" i="4"/>
  <c r="P372" i="4"/>
  <c r="O373" i="4"/>
  <c r="P373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O336" i="4"/>
  <c r="P336" i="4"/>
  <c r="O337" i="4"/>
  <c r="P337" i="4"/>
  <c r="O338" i="4"/>
  <c r="P338" i="4"/>
  <c r="O339" i="4"/>
  <c r="P339" i="4"/>
  <c r="O340" i="4"/>
  <c r="P340" i="4"/>
  <c r="O341" i="4"/>
  <c r="P341" i="4"/>
  <c r="O342" i="4"/>
  <c r="P342" i="4"/>
  <c r="O343" i="4"/>
  <c r="P343" i="4"/>
  <c r="O344" i="4"/>
  <c r="P344" i="4"/>
  <c r="O345" i="4"/>
  <c r="P345" i="4"/>
  <c r="O346" i="4"/>
  <c r="P346" i="4"/>
  <c r="O347" i="4"/>
  <c r="P347" i="4"/>
  <c r="O348" i="4"/>
  <c r="P348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61" i="4"/>
  <c r="G261" i="4"/>
  <c r="F262" i="4"/>
  <c r="G262" i="4"/>
  <c r="F263" i="4"/>
  <c r="G263" i="4"/>
  <c r="F264" i="4"/>
  <c r="G264" i="4"/>
  <c r="F265" i="4"/>
  <c r="G265" i="4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3" i="4"/>
  <c r="O311" i="4"/>
  <c r="P311" i="4"/>
  <c r="O312" i="4"/>
  <c r="P312" i="4"/>
  <c r="O313" i="4"/>
  <c r="P313" i="4"/>
  <c r="O314" i="4"/>
  <c r="P314" i="4"/>
  <c r="O315" i="4"/>
  <c r="P315" i="4"/>
  <c r="O316" i="4"/>
  <c r="P316" i="4"/>
  <c r="O317" i="4"/>
  <c r="P317" i="4"/>
  <c r="O318" i="4"/>
  <c r="P318" i="4"/>
  <c r="O319" i="4"/>
  <c r="P319" i="4"/>
  <c r="O320" i="4"/>
  <c r="P320" i="4"/>
  <c r="O321" i="4"/>
  <c r="P321" i="4"/>
  <c r="O322" i="4"/>
  <c r="P322" i="4"/>
  <c r="O323" i="4"/>
  <c r="P323" i="4"/>
  <c r="O286" i="4"/>
  <c r="P286" i="4"/>
  <c r="O287" i="4"/>
  <c r="P287" i="4"/>
  <c r="O288" i="4"/>
  <c r="P288" i="4"/>
  <c r="O289" i="4"/>
  <c r="P289" i="4"/>
  <c r="O290" i="4"/>
  <c r="P290" i="4"/>
  <c r="O291" i="4"/>
  <c r="P291" i="4"/>
  <c r="O292" i="4"/>
  <c r="P292" i="4"/>
  <c r="O293" i="4"/>
  <c r="P293" i="4"/>
  <c r="O294" i="4"/>
  <c r="P294" i="4"/>
  <c r="O295" i="4"/>
  <c r="P295" i="4"/>
  <c r="O296" i="4"/>
  <c r="P296" i="4"/>
  <c r="O297" i="4"/>
  <c r="P297" i="4"/>
  <c r="O298" i="4"/>
  <c r="P298" i="4"/>
  <c r="O261" i="4"/>
  <c r="P261" i="4"/>
  <c r="O262" i="4"/>
  <c r="P262" i="4"/>
  <c r="O263" i="4"/>
  <c r="P263" i="4"/>
  <c r="O264" i="4"/>
  <c r="P264" i="4"/>
  <c r="O265" i="4"/>
  <c r="P265" i="4"/>
  <c r="O266" i="4"/>
  <c r="P266" i="4"/>
  <c r="O267" i="4"/>
  <c r="P267" i="4"/>
  <c r="O270" i="4"/>
  <c r="P270" i="4"/>
  <c r="O271" i="4"/>
  <c r="P271" i="4"/>
  <c r="O272" i="4"/>
  <c r="P272" i="4"/>
  <c r="O273" i="4"/>
  <c r="P273" i="4"/>
  <c r="O236" i="4"/>
  <c r="P236" i="4"/>
  <c r="O237" i="4"/>
  <c r="P237" i="4"/>
  <c r="O238" i="4"/>
  <c r="P238" i="4"/>
  <c r="O239" i="4"/>
  <c r="P239" i="4"/>
  <c r="O240" i="4"/>
  <c r="P240" i="4"/>
  <c r="O241" i="4"/>
  <c r="P241" i="4"/>
  <c r="O242" i="4"/>
  <c r="P242" i="4"/>
  <c r="O243" i="4"/>
  <c r="P243" i="4"/>
  <c r="O244" i="4"/>
  <c r="P244" i="4"/>
  <c r="O245" i="4"/>
  <c r="P245" i="4"/>
  <c r="O246" i="4"/>
  <c r="P246" i="4"/>
  <c r="O247" i="4"/>
  <c r="P247" i="4"/>
  <c r="O248" i="4"/>
  <c r="P248" i="4"/>
  <c r="O104" i="4" l="1"/>
  <c r="O105" i="4"/>
  <c r="O108" i="4"/>
  <c r="O109" i="4"/>
  <c r="O110" i="4"/>
  <c r="O111" i="4"/>
  <c r="O112" i="4"/>
  <c r="O113" i="4"/>
  <c r="O114" i="4"/>
  <c r="P114" i="4"/>
  <c r="O115" i="4"/>
  <c r="O116" i="4"/>
  <c r="O117" i="4"/>
  <c r="O118" i="4"/>
  <c r="O119" i="4"/>
  <c r="O120" i="4"/>
  <c r="O121" i="4"/>
  <c r="O122" i="4"/>
  <c r="O106" i="4"/>
  <c r="P106" i="4"/>
  <c r="O107" i="4"/>
  <c r="O123" i="4" l="1"/>
  <c r="O23" i="4"/>
  <c r="P122" i="4"/>
  <c r="P120" i="4"/>
  <c r="P118" i="4"/>
  <c r="P116" i="4"/>
  <c r="P112" i="4"/>
  <c r="P110" i="4"/>
  <c r="P108" i="4"/>
  <c r="P104" i="4"/>
  <c r="P103" i="4"/>
  <c r="P123" i="4"/>
  <c r="P121" i="4"/>
  <c r="P119" i="4"/>
  <c r="P117" i="4"/>
  <c r="P115" i="4"/>
  <c r="P113" i="4"/>
  <c r="P111" i="4"/>
  <c r="P109" i="4"/>
  <c r="P107" i="4"/>
  <c r="P105" i="4"/>
  <c r="J213" i="13"/>
  <c r="K213" i="13" s="1"/>
  <c r="J212" i="13"/>
  <c r="K212" i="13" s="1"/>
  <c r="J211" i="13"/>
  <c r="K211" i="13" s="1"/>
  <c r="J210" i="13"/>
  <c r="J209" i="13"/>
  <c r="J208" i="13"/>
  <c r="J207" i="13"/>
  <c r="J206" i="13"/>
  <c r="J205" i="13"/>
  <c r="J204" i="13"/>
  <c r="K204" i="13" s="1"/>
  <c r="J203" i="13"/>
  <c r="K203" i="13" s="1"/>
  <c r="J202" i="13"/>
  <c r="K202" i="13" s="1"/>
  <c r="J201" i="13"/>
  <c r="K201" i="13" s="1"/>
  <c r="H215" i="13"/>
  <c r="J215" i="13" s="1"/>
  <c r="K215" i="13" s="1"/>
  <c r="H216" i="13"/>
  <c r="J216" i="13" s="1"/>
  <c r="K216" i="13" s="1"/>
  <c r="H217" i="13"/>
  <c r="J217" i="13" s="1"/>
  <c r="K217" i="13" s="1"/>
  <c r="H218" i="13"/>
  <c r="J218" i="13" s="1"/>
  <c r="K218" i="13" s="1"/>
  <c r="H219" i="13"/>
  <c r="J219" i="13" s="1"/>
  <c r="K219" i="13" s="1"/>
  <c r="H220" i="13"/>
  <c r="J220" i="13" s="1"/>
  <c r="K220" i="13" s="1"/>
  <c r="H221" i="13"/>
  <c r="J221" i="13" s="1"/>
  <c r="K221" i="13" s="1"/>
  <c r="H214" i="13"/>
  <c r="J214" i="13" s="1"/>
  <c r="K214" i="13" s="1"/>
  <c r="J185" i="13"/>
  <c r="J184" i="13"/>
  <c r="J183" i="13"/>
  <c r="J182" i="13"/>
  <c r="J181" i="13"/>
  <c r="J180" i="13"/>
  <c r="J179" i="13"/>
  <c r="J178" i="13"/>
  <c r="J177" i="13"/>
  <c r="J176" i="13"/>
  <c r="J175" i="13"/>
  <c r="J174" i="13"/>
  <c r="J173" i="13"/>
  <c r="H187" i="13"/>
  <c r="J187" i="13" s="1"/>
  <c r="H188" i="13"/>
  <c r="J188" i="13" s="1"/>
  <c r="H189" i="13"/>
  <c r="J189" i="13" s="1"/>
  <c r="H190" i="13"/>
  <c r="J190" i="13" s="1"/>
  <c r="H191" i="13"/>
  <c r="J191" i="13" s="1"/>
  <c r="H192" i="13"/>
  <c r="J192" i="13" s="1"/>
  <c r="H193" i="13"/>
  <c r="J193" i="13" s="1"/>
  <c r="H186" i="13"/>
  <c r="J186" i="13" s="1"/>
  <c r="J157" i="13"/>
  <c r="J156" i="13"/>
  <c r="J155" i="13"/>
  <c r="J154" i="13"/>
  <c r="J153" i="13"/>
  <c r="J152" i="13"/>
  <c r="J151" i="13"/>
  <c r="J150" i="13"/>
  <c r="J149" i="13"/>
  <c r="J148" i="13"/>
  <c r="J147" i="13"/>
  <c r="J146" i="13"/>
  <c r="J145" i="13"/>
  <c r="H159" i="13"/>
  <c r="J159" i="13" s="1"/>
  <c r="H160" i="13"/>
  <c r="J160" i="13" s="1"/>
  <c r="K160" i="13" s="1"/>
  <c r="H161" i="13"/>
  <c r="J161" i="13" s="1"/>
  <c r="H162" i="13"/>
  <c r="J162" i="13" s="1"/>
  <c r="H163" i="13"/>
  <c r="J163" i="13" s="1"/>
  <c r="H164" i="13"/>
  <c r="J164" i="13" s="1"/>
  <c r="H165" i="13"/>
  <c r="J165" i="13" s="1"/>
  <c r="H158" i="13"/>
  <c r="J158" i="13" s="1"/>
  <c r="J129" i="13"/>
  <c r="J128" i="13"/>
  <c r="J127" i="13"/>
  <c r="J126" i="13"/>
  <c r="J125" i="13"/>
  <c r="J124" i="13"/>
  <c r="J123" i="13"/>
  <c r="J122" i="13"/>
  <c r="J121" i="13"/>
  <c r="J120" i="13"/>
  <c r="J119" i="13"/>
  <c r="J118" i="13"/>
  <c r="J117" i="13"/>
  <c r="H131" i="13"/>
  <c r="J131" i="13" s="1"/>
  <c r="H132" i="13"/>
  <c r="J132" i="13" s="1"/>
  <c r="H133" i="13"/>
  <c r="J133" i="13" s="1"/>
  <c r="H134" i="13"/>
  <c r="J134" i="13" s="1"/>
  <c r="H135" i="13"/>
  <c r="J135" i="13" s="1"/>
  <c r="H136" i="13"/>
  <c r="J136" i="13" s="1"/>
  <c r="H137" i="13"/>
  <c r="J137" i="13" s="1"/>
  <c r="H130" i="13"/>
  <c r="J130" i="13" s="1"/>
  <c r="J101" i="13"/>
  <c r="K101" i="13" s="1"/>
  <c r="J100" i="13"/>
  <c r="K100" i="13" s="1"/>
  <c r="J99" i="13"/>
  <c r="K99" i="13" s="1"/>
  <c r="J98" i="13"/>
  <c r="K98" i="13" s="1"/>
  <c r="J97" i="13"/>
  <c r="K97" i="13" s="1"/>
  <c r="J96" i="13"/>
  <c r="J95" i="13"/>
  <c r="K95" i="13" s="1"/>
  <c r="J94" i="13"/>
  <c r="K94" i="13" s="1"/>
  <c r="J93" i="13"/>
  <c r="J92" i="13"/>
  <c r="K92" i="13" s="1"/>
  <c r="J91" i="13"/>
  <c r="J90" i="13"/>
  <c r="J89" i="13"/>
  <c r="H103" i="13"/>
  <c r="J103" i="13" s="1"/>
  <c r="H104" i="13"/>
  <c r="J104" i="13" s="1"/>
  <c r="H105" i="13"/>
  <c r="J105" i="13" s="1"/>
  <c r="K105" i="13" s="1"/>
  <c r="H106" i="13"/>
  <c r="J106" i="13" s="1"/>
  <c r="K106" i="13" s="1"/>
  <c r="H107" i="13"/>
  <c r="J107" i="13" s="1"/>
  <c r="K107" i="13" s="1"/>
  <c r="H108" i="13"/>
  <c r="J108" i="13" s="1"/>
  <c r="K108" i="13" s="1"/>
  <c r="H109" i="13"/>
  <c r="J109" i="13" s="1"/>
  <c r="K109" i="13" s="1"/>
  <c r="H102" i="13"/>
  <c r="J102" i="13" s="1"/>
  <c r="K102" i="13" s="1"/>
  <c r="J73" i="13"/>
  <c r="K73" i="13" s="1"/>
  <c r="J72" i="13"/>
  <c r="K72" i="13" s="1"/>
  <c r="J71" i="13"/>
  <c r="J70" i="13"/>
  <c r="K70" i="13" s="1"/>
  <c r="J69" i="13"/>
  <c r="K69" i="13" s="1"/>
  <c r="J68" i="13"/>
  <c r="K68" i="13" s="1"/>
  <c r="J67" i="13"/>
  <c r="K67" i="13" s="1"/>
  <c r="J66" i="13"/>
  <c r="K66" i="13" s="1"/>
  <c r="J65" i="13"/>
  <c r="K65" i="13" s="1"/>
  <c r="J64" i="13"/>
  <c r="K64" i="13" s="1"/>
  <c r="J63" i="13"/>
  <c r="J62" i="13"/>
  <c r="J61" i="13"/>
  <c r="K61" i="13" s="1"/>
  <c r="J45" i="13"/>
  <c r="J44" i="13"/>
  <c r="J43" i="13"/>
  <c r="J42" i="13"/>
  <c r="J41" i="13"/>
  <c r="J40" i="13"/>
  <c r="J39" i="13"/>
  <c r="J38" i="13"/>
  <c r="K38" i="13" s="1"/>
  <c r="J37" i="13"/>
  <c r="J36" i="13"/>
  <c r="J35" i="13"/>
  <c r="J34" i="13"/>
  <c r="J33" i="13"/>
  <c r="J17" i="13"/>
  <c r="J16" i="13"/>
  <c r="K16" i="13" s="1"/>
  <c r="J15" i="13"/>
  <c r="K15" i="13" s="1"/>
  <c r="J14" i="13"/>
  <c r="K14" i="13" s="1"/>
  <c r="J13" i="13"/>
  <c r="J12" i="13"/>
  <c r="J11" i="13"/>
  <c r="J10" i="13"/>
  <c r="J9" i="13"/>
  <c r="J8" i="13"/>
  <c r="J7" i="13"/>
  <c r="K7" i="13" s="1"/>
  <c r="J6" i="13"/>
  <c r="J5" i="13"/>
  <c r="H75" i="13"/>
  <c r="J75" i="13" s="1"/>
  <c r="K75" i="13" s="1"/>
  <c r="H76" i="13"/>
  <c r="J76" i="13" s="1"/>
  <c r="H77" i="13"/>
  <c r="J77" i="13" s="1"/>
  <c r="H78" i="13"/>
  <c r="J78" i="13" s="1"/>
  <c r="H79" i="13"/>
  <c r="J79" i="13" s="1"/>
  <c r="H80" i="13"/>
  <c r="J80" i="13" s="1"/>
  <c r="K80" i="13" s="1"/>
  <c r="H81" i="13"/>
  <c r="J81" i="13" s="1"/>
  <c r="H74" i="13"/>
  <c r="J74" i="13" s="1"/>
  <c r="K74" i="13" s="1"/>
  <c r="H47" i="13"/>
  <c r="J47" i="13" s="1"/>
  <c r="H48" i="13"/>
  <c r="J48" i="13" s="1"/>
  <c r="H49" i="13"/>
  <c r="J49" i="13" s="1"/>
  <c r="H50" i="13"/>
  <c r="J50" i="13" s="1"/>
  <c r="H51" i="13"/>
  <c r="J51" i="13" s="1"/>
  <c r="H52" i="13"/>
  <c r="J52" i="13" s="1"/>
  <c r="H53" i="13"/>
  <c r="J53" i="13" s="1"/>
  <c r="H46" i="13"/>
  <c r="J46" i="13" s="1"/>
  <c r="H19" i="13"/>
  <c r="J19" i="13" s="1"/>
  <c r="H20" i="13"/>
  <c r="J20" i="13" s="1"/>
  <c r="H21" i="13"/>
  <c r="J21" i="13" s="1"/>
  <c r="H22" i="13"/>
  <c r="J22" i="13" s="1"/>
  <c r="H23" i="13"/>
  <c r="J23" i="13" s="1"/>
  <c r="H24" i="13"/>
  <c r="J24" i="13" s="1"/>
  <c r="K24" i="13" s="1"/>
  <c r="H25" i="13"/>
  <c r="J25" i="13" s="1"/>
  <c r="K25" i="13" s="1"/>
  <c r="H18" i="13"/>
  <c r="J18" i="13" s="1"/>
  <c r="K18" i="13" s="1"/>
  <c r="D157" i="13" l="1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29" i="13"/>
  <c r="D128" i="13"/>
  <c r="D127" i="13"/>
  <c r="D126" i="13"/>
  <c r="D125" i="13"/>
  <c r="D124" i="13"/>
  <c r="D123" i="13"/>
  <c r="D122" i="13"/>
  <c r="D121" i="13"/>
  <c r="D120" i="13"/>
  <c r="D119" i="13"/>
  <c r="D118" i="13"/>
  <c r="D117" i="13"/>
  <c r="D101" i="13"/>
  <c r="D100" i="13"/>
  <c r="D99" i="13"/>
  <c r="E99" i="13" s="1"/>
  <c r="D98" i="13"/>
  <c r="E98" i="13" s="1"/>
  <c r="D97" i="13"/>
  <c r="E97" i="13" s="1"/>
  <c r="D96" i="13"/>
  <c r="D95" i="13"/>
  <c r="E95" i="13" s="1"/>
  <c r="D94" i="13"/>
  <c r="E94" i="13" s="1"/>
  <c r="D93" i="13"/>
  <c r="E93" i="13" s="1"/>
  <c r="D92" i="13"/>
  <c r="E92" i="13" s="1"/>
  <c r="D91" i="13"/>
  <c r="D90" i="13"/>
  <c r="D89" i="13"/>
  <c r="E89" i="13" s="1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45" i="13"/>
  <c r="D44" i="13"/>
  <c r="E44" i="13" s="1"/>
  <c r="D43" i="13"/>
  <c r="E43" i="13" s="1"/>
  <c r="D42" i="13"/>
  <c r="E42" i="13" s="1"/>
  <c r="D41" i="13"/>
  <c r="D40" i="13"/>
  <c r="D39" i="13"/>
  <c r="E39" i="13" s="1"/>
  <c r="D38" i="13"/>
  <c r="E38" i="13" s="1"/>
  <c r="D37" i="13"/>
  <c r="E37" i="13" s="1"/>
  <c r="D36" i="13"/>
  <c r="E36" i="13" s="1"/>
  <c r="D35" i="13"/>
  <c r="E35" i="13" s="1"/>
  <c r="D34" i="13"/>
  <c r="D33" i="13"/>
  <c r="E33" i="13" s="1"/>
  <c r="D6" i="13"/>
  <c r="D7" i="13"/>
  <c r="E7" i="13" s="1"/>
  <c r="D8" i="13"/>
  <c r="E8" i="13" s="1"/>
  <c r="D9" i="13"/>
  <c r="E9" i="13" s="1"/>
  <c r="D10" i="13"/>
  <c r="E10" i="13" s="1"/>
  <c r="D11" i="13"/>
  <c r="D12" i="13"/>
  <c r="E12" i="13" s="1"/>
  <c r="D13" i="13"/>
  <c r="E13" i="13" s="1"/>
  <c r="D14" i="13"/>
  <c r="E14" i="13" s="1"/>
  <c r="D15" i="13"/>
  <c r="E15" i="13" s="1"/>
  <c r="D16" i="13"/>
  <c r="E16" i="13" s="1"/>
  <c r="D17" i="13"/>
  <c r="E17" i="13" s="1"/>
  <c r="D5" i="13"/>
  <c r="B159" i="13"/>
  <c r="D159" i="13" s="1"/>
  <c r="B160" i="13"/>
  <c r="D160" i="13" s="1"/>
  <c r="E160" i="13" s="1"/>
  <c r="B161" i="13"/>
  <c r="D161" i="13" s="1"/>
  <c r="E161" i="13" s="1"/>
  <c r="B162" i="13"/>
  <c r="D162" i="13" s="1"/>
  <c r="E162" i="13" s="1"/>
  <c r="B163" i="13"/>
  <c r="D163" i="13" s="1"/>
  <c r="E163" i="13" s="1"/>
  <c r="B164" i="13"/>
  <c r="D164" i="13" s="1"/>
  <c r="E164" i="13" s="1"/>
  <c r="B165" i="13"/>
  <c r="D165" i="13" s="1"/>
  <c r="E165" i="13" s="1"/>
  <c r="B158" i="13"/>
  <c r="D158" i="13" s="1"/>
  <c r="B131" i="13"/>
  <c r="D131" i="13" s="1"/>
  <c r="B132" i="13"/>
  <c r="D132" i="13" s="1"/>
  <c r="B133" i="13"/>
  <c r="D133" i="13" s="1"/>
  <c r="B134" i="13"/>
  <c r="D134" i="13" s="1"/>
  <c r="B135" i="13"/>
  <c r="D135" i="13" s="1"/>
  <c r="B136" i="13"/>
  <c r="D136" i="13" s="1"/>
  <c r="B137" i="13"/>
  <c r="D137" i="13" s="1"/>
  <c r="B130" i="13"/>
  <c r="D130" i="13" s="1"/>
  <c r="B103" i="13"/>
  <c r="D103" i="13" s="1"/>
  <c r="E103" i="13" s="1"/>
  <c r="B104" i="13"/>
  <c r="D104" i="13" s="1"/>
  <c r="B105" i="13"/>
  <c r="D105" i="13" s="1"/>
  <c r="B106" i="13"/>
  <c r="D106" i="13" s="1"/>
  <c r="B107" i="13"/>
  <c r="D107" i="13" s="1"/>
  <c r="B108" i="13"/>
  <c r="D108" i="13" s="1"/>
  <c r="B109" i="13"/>
  <c r="D109" i="13" s="1"/>
  <c r="B102" i="13"/>
  <c r="D102" i="13" s="1"/>
  <c r="E102" i="13" s="1"/>
  <c r="B75" i="13"/>
  <c r="D75" i="13" s="1"/>
  <c r="B76" i="13"/>
  <c r="D76" i="13" s="1"/>
  <c r="B77" i="13"/>
  <c r="D77" i="13" s="1"/>
  <c r="B78" i="13"/>
  <c r="D78" i="13" s="1"/>
  <c r="B79" i="13"/>
  <c r="D79" i="13" s="1"/>
  <c r="B80" i="13"/>
  <c r="D80" i="13" s="1"/>
  <c r="B81" i="13"/>
  <c r="D81" i="13" s="1"/>
  <c r="E81" i="13" s="1"/>
  <c r="B74" i="13"/>
  <c r="D74" i="13" s="1"/>
  <c r="E74" i="13" s="1"/>
  <c r="B47" i="13"/>
  <c r="D47" i="13" s="1"/>
  <c r="B48" i="13"/>
  <c r="D48" i="13" s="1"/>
  <c r="B49" i="13"/>
  <c r="D49" i="13" s="1"/>
  <c r="B50" i="13"/>
  <c r="D50" i="13" s="1"/>
  <c r="E50" i="13" s="1"/>
  <c r="B51" i="13"/>
  <c r="D51" i="13" s="1"/>
  <c r="E51" i="13" s="1"/>
  <c r="B52" i="13"/>
  <c r="D52" i="13" s="1"/>
  <c r="E52" i="13" s="1"/>
  <c r="B53" i="13"/>
  <c r="D53" i="13" s="1"/>
  <c r="E53" i="13" s="1"/>
  <c r="B46" i="13"/>
  <c r="D46" i="13" s="1"/>
  <c r="E46" i="13" s="1"/>
  <c r="B19" i="13"/>
  <c r="D19" i="13" s="1"/>
  <c r="B20" i="13"/>
  <c r="D20" i="13" s="1"/>
  <c r="E20" i="13" s="1"/>
  <c r="B21" i="13"/>
  <c r="D21" i="13" s="1"/>
  <c r="B22" i="13"/>
  <c r="D22" i="13" s="1"/>
  <c r="E22" i="13" s="1"/>
  <c r="B23" i="13"/>
  <c r="D23" i="13" s="1"/>
  <c r="B24" i="13"/>
  <c r="D24" i="13" s="1"/>
  <c r="E24" i="13" s="1"/>
  <c r="B25" i="13"/>
  <c r="D25" i="13" s="1"/>
  <c r="E25" i="13" s="1"/>
  <c r="B18" i="13"/>
  <c r="D18" i="13" s="1"/>
  <c r="E18" i="13" s="1"/>
  <c r="D58" i="12" l="1"/>
  <c r="D59" i="12"/>
  <c r="D60" i="12"/>
  <c r="D61" i="12"/>
  <c r="D62" i="12"/>
  <c r="D63" i="12"/>
  <c r="D64" i="12"/>
  <c r="D57" i="12"/>
  <c r="D47" i="12"/>
  <c r="D48" i="12"/>
  <c r="D49" i="12"/>
  <c r="D50" i="12"/>
  <c r="D51" i="12"/>
  <c r="D52" i="12"/>
  <c r="D53" i="12"/>
  <c r="D46" i="12"/>
  <c r="D36" i="12"/>
  <c r="D37" i="12"/>
  <c r="D38" i="12"/>
  <c r="D39" i="12"/>
  <c r="D40" i="12"/>
  <c r="D41" i="12"/>
  <c r="D42" i="12"/>
  <c r="D35" i="12"/>
  <c r="D25" i="12"/>
  <c r="D26" i="12"/>
  <c r="D27" i="12"/>
  <c r="D28" i="12"/>
  <c r="D29" i="12"/>
  <c r="D30" i="12"/>
  <c r="D31" i="12"/>
  <c r="D24" i="12"/>
  <c r="D14" i="12"/>
  <c r="D15" i="12"/>
  <c r="D16" i="12"/>
  <c r="D17" i="12"/>
  <c r="D18" i="12"/>
  <c r="D19" i="12"/>
  <c r="D20" i="12"/>
  <c r="D13" i="12"/>
  <c r="D3" i="12"/>
  <c r="D4" i="12"/>
  <c r="D5" i="12"/>
  <c r="D6" i="12"/>
  <c r="D7" i="12"/>
  <c r="D8" i="12"/>
  <c r="D9" i="12"/>
  <c r="D2" i="12"/>
  <c r="E245" i="22" l="1"/>
  <c r="E246" i="22"/>
  <c r="E247" i="22"/>
  <c r="E248" i="22"/>
  <c r="E249" i="22"/>
  <c r="E250" i="22"/>
  <c r="E251" i="22"/>
  <c r="E252" i="22"/>
  <c r="E253" i="22"/>
  <c r="E254" i="22"/>
  <c r="E255" i="22"/>
  <c r="E256" i="22"/>
  <c r="E257" i="22"/>
  <c r="E258" i="22"/>
  <c r="E259" i="22"/>
  <c r="E260" i="22"/>
  <c r="E261" i="22"/>
  <c r="E262" i="22"/>
  <c r="E263" i="22"/>
  <c r="E264" i="22"/>
  <c r="E244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E64" i="22"/>
  <c r="E65" i="22"/>
  <c r="E66" i="22"/>
  <c r="E67" i="22"/>
  <c r="E68" i="22"/>
  <c r="E69" i="22"/>
  <c r="E70" i="22"/>
  <c r="E71" i="22"/>
  <c r="E51" i="22"/>
  <c r="I71" i="2"/>
  <c r="J71" i="2"/>
  <c r="I72" i="2"/>
  <c r="J72" i="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27" i="22"/>
  <c r="I40" i="2"/>
  <c r="I46" i="2"/>
  <c r="J46" i="2"/>
  <c r="I39" i="22" l="1"/>
  <c r="J39" i="22" s="1"/>
  <c r="K39" i="22" s="1"/>
  <c r="E40" i="20"/>
  <c r="I40" i="20" s="1"/>
  <c r="J40" i="20" s="1"/>
  <c r="K40" i="20" s="1"/>
  <c r="E251" i="20"/>
  <c r="E31" i="20"/>
  <c r="I65" i="22"/>
  <c r="J65" i="22" s="1"/>
  <c r="K65" i="22" s="1"/>
  <c r="E66" i="20"/>
  <c r="I66" i="20" s="1"/>
  <c r="J66" i="20" s="1"/>
  <c r="K66" i="20" s="1"/>
  <c r="E57" i="20"/>
  <c r="E265" i="20"/>
  <c r="E45" i="20"/>
  <c r="I45" i="20" s="1"/>
  <c r="J45" i="20" s="1"/>
  <c r="K45" i="20" s="1"/>
  <c r="I44" i="22"/>
  <c r="J44" i="22" s="1"/>
  <c r="K44" i="22" s="1"/>
  <c r="E37" i="20"/>
  <c r="I37" i="20" s="1"/>
  <c r="J37" i="20" s="1"/>
  <c r="K37" i="20" s="1"/>
  <c r="I36" i="22"/>
  <c r="J36" i="22" s="1"/>
  <c r="K36" i="22" s="1"/>
  <c r="E29" i="20"/>
  <c r="E72" i="20"/>
  <c r="I72" i="20" s="1"/>
  <c r="J72" i="20" s="1"/>
  <c r="K72" i="20" s="1"/>
  <c r="I71" i="22"/>
  <c r="J71" i="22" s="1"/>
  <c r="K71" i="22" s="1"/>
  <c r="E64" i="20"/>
  <c r="I64" i="20" s="1"/>
  <c r="J64" i="20" s="1"/>
  <c r="K64" i="20" s="1"/>
  <c r="I63" i="22"/>
  <c r="J63" i="22" s="1"/>
  <c r="K63" i="22" s="1"/>
  <c r="E56" i="20"/>
  <c r="E264" i="20"/>
  <c r="E256" i="20"/>
  <c r="E248" i="20"/>
  <c r="E32" i="20"/>
  <c r="E67" i="20"/>
  <c r="I67" i="20" s="1"/>
  <c r="J67" i="20" s="1"/>
  <c r="K67" i="20" s="1"/>
  <c r="I66" i="22"/>
  <c r="J66" i="22" s="1"/>
  <c r="K66" i="22" s="1"/>
  <c r="E259" i="20"/>
  <c r="E39" i="20"/>
  <c r="I39" i="20" s="1"/>
  <c r="J39" i="20" s="1"/>
  <c r="K39" i="20" s="1"/>
  <c r="I38" i="22"/>
  <c r="J38" i="22" s="1"/>
  <c r="K38" i="22" s="1"/>
  <c r="E245" i="20"/>
  <c r="E250" i="20"/>
  <c r="I37" i="22"/>
  <c r="J37" i="22" s="1"/>
  <c r="K37" i="22" s="1"/>
  <c r="E38" i="20"/>
  <c r="I38" i="20" s="1"/>
  <c r="J38" i="20" s="1"/>
  <c r="K38" i="20" s="1"/>
  <c r="E65" i="20"/>
  <c r="I65" i="20" s="1"/>
  <c r="J65" i="20" s="1"/>
  <c r="K65" i="20" s="1"/>
  <c r="I64" i="22"/>
  <c r="J64" i="22" s="1"/>
  <c r="K64" i="22" s="1"/>
  <c r="E257" i="20"/>
  <c r="E249" i="20"/>
  <c r="E44" i="20"/>
  <c r="I44" i="20" s="1"/>
  <c r="J44" i="20" s="1"/>
  <c r="K44" i="20" s="1"/>
  <c r="I43" i="22"/>
  <c r="J43" i="22" s="1"/>
  <c r="K43" i="22" s="1"/>
  <c r="E36" i="20"/>
  <c r="I36" i="20" s="1"/>
  <c r="J36" i="20" s="1"/>
  <c r="K36" i="20" s="1"/>
  <c r="I35" i="22"/>
  <c r="J35" i="22" s="1"/>
  <c r="K35" i="22" s="1"/>
  <c r="I70" i="22"/>
  <c r="J70" i="22" s="1"/>
  <c r="K70" i="22" s="1"/>
  <c r="E71" i="20"/>
  <c r="I71" i="20" s="1"/>
  <c r="J71" i="20" s="1"/>
  <c r="K71" i="20" s="1"/>
  <c r="I62" i="22"/>
  <c r="J62" i="22" s="1"/>
  <c r="K62" i="22" s="1"/>
  <c r="E63" i="20"/>
  <c r="I63" i="20" s="1"/>
  <c r="J63" i="20" s="1"/>
  <c r="K63" i="20" s="1"/>
  <c r="E55" i="20"/>
  <c r="E263" i="20"/>
  <c r="E255" i="20"/>
  <c r="E247" i="20"/>
  <c r="I47" i="22"/>
  <c r="J47" i="22" s="1"/>
  <c r="K47" i="22" s="1"/>
  <c r="E48" i="20"/>
  <c r="I48" i="20" s="1"/>
  <c r="J48" i="20" s="1"/>
  <c r="K48" i="20" s="1"/>
  <c r="E47" i="20"/>
  <c r="I47" i="20" s="1"/>
  <c r="J47" i="20" s="1"/>
  <c r="K47" i="20" s="1"/>
  <c r="I46" i="22"/>
  <c r="J46" i="22" s="1"/>
  <c r="K46" i="22" s="1"/>
  <c r="E58" i="20"/>
  <c r="E258" i="20"/>
  <c r="I45" i="22"/>
  <c r="J45" i="22" s="1"/>
  <c r="K45" i="22" s="1"/>
  <c r="E46" i="20"/>
  <c r="I46" i="20" s="1"/>
  <c r="J46" i="20" s="1"/>
  <c r="K46" i="20" s="1"/>
  <c r="E30" i="20"/>
  <c r="E52" i="20"/>
  <c r="I42" i="22"/>
  <c r="J42" i="22" s="1"/>
  <c r="K42" i="22" s="1"/>
  <c r="E43" i="20"/>
  <c r="I43" i="20" s="1"/>
  <c r="J43" i="20" s="1"/>
  <c r="K43" i="20" s="1"/>
  <c r="E35" i="20"/>
  <c r="I69" i="22"/>
  <c r="J69" i="22" s="1"/>
  <c r="K69" i="22" s="1"/>
  <c r="E70" i="20"/>
  <c r="I70" i="20" s="1"/>
  <c r="J70" i="20" s="1"/>
  <c r="K70" i="20" s="1"/>
  <c r="I61" i="22"/>
  <c r="J61" i="22" s="1"/>
  <c r="K61" i="22" s="1"/>
  <c r="E62" i="20"/>
  <c r="I62" i="20" s="1"/>
  <c r="J62" i="20" s="1"/>
  <c r="K62" i="20" s="1"/>
  <c r="E54" i="20"/>
  <c r="E262" i="20"/>
  <c r="E254" i="20"/>
  <c r="E246" i="20"/>
  <c r="E59" i="20"/>
  <c r="I41" i="22"/>
  <c r="J41" i="22" s="1"/>
  <c r="K41" i="22" s="1"/>
  <c r="E42" i="20"/>
  <c r="I42" i="20" s="1"/>
  <c r="J42" i="20" s="1"/>
  <c r="K42" i="20" s="1"/>
  <c r="E34" i="20"/>
  <c r="E69" i="20"/>
  <c r="I69" i="20" s="1"/>
  <c r="J69" i="20" s="1"/>
  <c r="K69" i="20" s="1"/>
  <c r="I68" i="22"/>
  <c r="J68" i="22" s="1"/>
  <c r="K68" i="22" s="1"/>
  <c r="E61" i="20"/>
  <c r="I61" i="20" s="1"/>
  <c r="J61" i="20" s="1"/>
  <c r="K61" i="20" s="1"/>
  <c r="I60" i="22"/>
  <c r="J60" i="22" s="1"/>
  <c r="K60" i="22" s="1"/>
  <c r="E53" i="20"/>
  <c r="E261" i="20"/>
  <c r="E253" i="20"/>
  <c r="E28" i="20"/>
  <c r="E41" i="20"/>
  <c r="I41" i="20" s="1"/>
  <c r="J41" i="20" s="1"/>
  <c r="K41" i="20" s="1"/>
  <c r="I40" i="22"/>
  <c r="J40" i="22" s="1"/>
  <c r="K40" i="22" s="1"/>
  <c r="E33" i="20"/>
  <c r="I67" i="22"/>
  <c r="J67" i="22" s="1"/>
  <c r="K67" i="22" s="1"/>
  <c r="E68" i="20"/>
  <c r="I68" i="20" s="1"/>
  <c r="J68" i="20" s="1"/>
  <c r="K68" i="20" s="1"/>
  <c r="I59" i="22"/>
  <c r="J59" i="22" s="1"/>
  <c r="K59" i="22" s="1"/>
  <c r="E60" i="20"/>
  <c r="I60" i="20" s="1"/>
  <c r="J60" i="20" s="1"/>
  <c r="K60" i="20" s="1"/>
  <c r="E260" i="20"/>
  <c r="E252" i="20"/>
  <c r="L260" i="2"/>
  <c r="L259" i="2"/>
  <c r="L258" i="2"/>
  <c r="L261" i="2"/>
  <c r="L257" i="2"/>
  <c r="L264" i="2"/>
  <c r="L256" i="2"/>
  <c r="L263" i="2"/>
  <c r="L255" i="2"/>
  <c r="L253" i="2"/>
  <c r="L46" i="2"/>
  <c r="I23" i="11" s="1"/>
  <c r="L262" i="2"/>
  <c r="L254" i="2"/>
  <c r="D53" i="4"/>
  <c r="L40" i="2"/>
  <c r="L72" i="2"/>
  <c r="K24" i="11" s="1"/>
  <c r="L71" i="2"/>
  <c r="K23" i="11" s="1"/>
  <c r="H246" i="22" l="1"/>
  <c r="I246" i="22"/>
  <c r="J246" i="22" s="1"/>
  <c r="K246" i="22" s="1"/>
  <c r="I28" i="22"/>
  <c r="J28" i="22" s="1"/>
  <c r="K28" i="22" s="1"/>
  <c r="H28" i="22"/>
  <c r="I253" i="20"/>
  <c r="J253" i="20" s="1"/>
  <c r="K253" i="20" s="1"/>
  <c r="H253" i="20"/>
  <c r="I245" i="20"/>
  <c r="J245" i="20" s="1"/>
  <c r="K245" i="20" s="1"/>
  <c r="H245" i="20"/>
  <c r="I55" i="22"/>
  <c r="J55" i="22" s="1"/>
  <c r="K55" i="22" s="1"/>
  <c r="H55" i="22"/>
  <c r="H252" i="22"/>
  <c r="I252" i="22"/>
  <c r="J252" i="22" s="1"/>
  <c r="K252" i="22" s="1"/>
  <c r="I257" i="20"/>
  <c r="J257" i="20" s="1"/>
  <c r="K257" i="20" s="1"/>
  <c r="H257" i="20"/>
  <c r="I56" i="20"/>
  <c r="J56" i="20" s="1"/>
  <c r="K56" i="20" s="1"/>
  <c r="H56" i="20"/>
  <c r="H251" i="22"/>
  <c r="I251" i="22"/>
  <c r="J251" i="22" s="1"/>
  <c r="K251" i="22" s="1"/>
  <c r="I33" i="20"/>
  <c r="J33" i="20" s="1"/>
  <c r="K33" i="20" s="1"/>
  <c r="H33" i="20"/>
  <c r="I261" i="20"/>
  <c r="J261" i="20" s="1"/>
  <c r="K261" i="20" s="1"/>
  <c r="H261" i="20"/>
  <c r="H34" i="20"/>
  <c r="I34" i="20"/>
  <c r="J34" i="20" s="1"/>
  <c r="K34" i="20" s="1"/>
  <c r="H253" i="22"/>
  <c r="I253" i="22"/>
  <c r="J253" i="22" s="1"/>
  <c r="K253" i="22" s="1"/>
  <c r="H30" i="20"/>
  <c r="I30" i="20"/>
  <c r="J30" i="20" s="1"/>
  <c r="K30" i="20" s="1"/>
  <c r="H263" i="20"/>
  <c r="I263" i="20"/>
  <c r="J263" i="20" s="1"/>
  <c r="K263" i="20" s="1"/>
  <c r="I248" i="20"/>
  <c r="J248" i="20" s="1"/>
  <c r="K248" i="20" s="1"/>
  <c r="H248" i="20"/>
  <c r="I30" i="22"/>
  <c r="J30" i="22" s="1"/>
  <c r="K30" i="22" s="1"/>
  <c r="H30" i="22"/>
  <c r="I59" i="20"/>
  <c r="J59" i="20" s="1"/>
  <c r="K59" i="20" s="1"/>
  <c r="H59" i="20"/>
  <c r="H257" i="22"/>
  <c r="I257" i="22"/>
  <c r="J257" i="22" s="1"/>
  <c r="K257" i="22" s="1"/>
  <c r="I249" i="22"/>
  <c r="J249" i="22" s="1"/>
  <c r="K249" i="22" s="1"/>
  <c r="H249" i="22"/>
  <c r="H263" i="22"/>
  <c r="I263" i="22"/>
  <c r="J263" i="22" s="1"/>
  <c r="K263" i="22" s="1"/>
  <c r="I57" i="20"/>
  <c r="J57" i="20" s="1"/>
  <c r="K57" i="20" s="1"/>
  <c r="H57" i="20"/>
  <c r="H245" i="22"/>
  <c r="I245" i="22"/>
  <c r="J245" i="22" s="1"/>
  <c r="K245" i="22" s="1"/>
  <c r="H52" i="20"/>
  <c r="I52" i="20"/>
  <c r="J52" i="20" s="1"/>
  <c r="K52" i="20" s="1"/>
  <c r="I58" i="20"/>
  <c r="J58" i="20" s="1"/>
  <c r="K58" i="20" s="1"/>
  <c r="H58" i="20"/>
  <c r="I255" i="20"/>
  <c r="J255" i="20" s="1"/>
  <c r="K255" i="20" s="1"/>
  <c r="H255" i="20"/>
  <c r="I256" i="22"/>
  <c r="J256" i="22" s="1"/>
  <c r="K256" i="22" s="1"/>
  <c r="H256" i="22"/>
  <c r="I31" i="22"/>
  <c r="J31" i="22" s="1"/>
  <c r="K31" i="22" s="1"/>
  <c r="H31" i="22"/>
  <c r="I246" i="20"/>
  <c r="J246" i="20" s="1"/>
  <c r="K246" i="20" s="1"/>
  <c r="H246" i="20"/>
  <c r="I51" i="22"/>
  <c r="J51" i="22" s="1"/>
  <c r="K51" i="22" s="1"/>
  <c r="H51" i="22"/>
  <c r="I57" i="22"/>
  <c r="J57" i="22" s="1"/>
  <c r="K57" i="22" s="1"/>
  <c r="H57" i="22"/>
  <c r="I254" i="22"/>
  <c r="J254" i="22" s="1"/>
  <c r="K254" i="22" s="1"/>
  <c r="H254" i="22"/>
  <c r="I244" i="22"/>
  <c r="J244" i="22" s="1"/>
  <c r="K244" i="22" s="1"/>
  <c r="H244" i="22"/>
  <c r="H32" i="20"/>
  <c r="I32" i="20"/>
  <c r="J32" i="20" s="1"/>
  <c r="K32" i="20" s="1"/>
  <c r="H252" i="20"/>
  <c r="I252" i="20"/>
  <c r="J252" i="20" s="1"/>
  <c r="K252" i="20" s="1"/>
  <c r="I32" i="22"/>
  <c r="J32" i="22" s="1"/>
  <c r="K32" i="22" s="1"/>
  <c r="H32" i="22"/>
  <c r="H260" i="22"/>
  <c r="I260" i="22"/>
  <c r="J260" i="22" s="1"/>
  <c r="K260" i="22" s="1"/>
  <c r="I33" i="22"/>
  <c r="J33" i="22" s="1"/>
  <c r="K33" i="22" s="1"/>
  <c r="H33" i="22"/>
  <c r="H254" i="20"/>
  <c r="I254" i="20"/>
  <c r="J254" i="20" s="1"/>
  <c r="K254" i="20" s="1"/>
  <c r="I29" i="22"/>
  <c r="J29" i="22" s="1"/>
  <c r="K29" i="22" s="1"/>
  <c r="H29" i="22"/>
  <c r="H262" i="22"/>
  <c r="I262" i="22"/>
  <c r="J262" i="22" s="1"/>
  <c r="K262" i="22" s="1"/>
  <c r="H247" i="22"/>
  <c r="I247" i="22"/>
  <c r="J247" i="22" s="1"/>
  <c r="K247" i="22" s="1"/>
  <c r="I31" i="20"/>
  <c r="J31" i="20" s="1"/>
  <c r="K31" i="20" s="1"/>
  <c r="H31" i="20"/>
  <c r="H259" i="22"/>
  <c r="I259" i="22"/>
  <c r="J259" i="22" s="1"/>
  <c r="K259" i="22" s="1"/>
  <c r="I52" i="22"/>
  <c r="J52" i="22" s="1"/>
  <c r="K52" i="22" s="1"/>
  <c r="H52" i="22"/>
  <c r="H261" i="22"/>
  <c r="I261" i="22"/>
  <c r="J261" i="22" s="1"/>
  <c r="K261" i="22" s="1"/>
  <c r="I35" i="20"/>
  <c r="J35" i="20" s="1"/>
  <c r="K35" i="20" s="1"/>
  <c r="H35" i="20"/>
  <c r="I55" i="20"/>
  <c r="J55" i="20" s="1"/>
  <c r="K55" i="20" s="1"/>
  <c r="H55" i="20"/>
  <c r="I259" i="20"/>
  <c r="J259" i="20" s="1"/>
  <c r="K259" i="20" s="1"/>
  <c r="H259" i="20"/>
  <c r="I256" i="20"/>
  <c r="J256" i="20" s="1"/>
  <c r="K256" i="20" s="1"/>
  <c r="H256" i="20"/>
  <c r="I264" i="22"/>
  <c r="J264" i="22" s="1"/>
  <c r="K264" i="22" s="1"/>
  <c r="H264" i="22"/>
  <c r="H251" i="20"/>
  <c r="I251" i="20"/>
  <c r="J251" i="20" s="1"/>
  <c r="K251" i="20" s="1"/>
  <c r="H260" i="20"/>
  <c r="I260" i="20"/>
  <c r="J260" i="20" s="1"/>
  <c r="K260" i="20" s="1"/>
  <c r="H53" i="20"/>
  <c r="I53" i="20"/>
  <c r="J53" i="20" s="1"/>
  <c r="K53" i="20" s="1"/>
  <c r="I262" i="20"/>
  <c r="J262" i="20" s="1"/>
  <c r="K262" i="20" s="1"/>
  <c r="H262" i="20"/>
  <c r="H34" i="22"/>
  <c r="I34" i="22"/>
  <c r="J34" i="22" s="1"/>
  <c r="K34" i="22" s="1"/>
  <c r="H54" i="22"/>
  <c r="I54" i="22"/>
  <c r="J54" i="22" s="1"/>
  <c r="K54" i="22" s="1"/>
  <c r="H258" i="22"/>
  <c r="I258" i="22"/>
  <c r="J258" i="22" s="1"/>
  <c r="K258" i="22" s="1"/>
  <c r="H255" i="22"/>
  <c r="I255" i="22"/>
  <c r="J255" i="22" s="1"/>
  <c r="K255" i="22" s="1"/>
  <c r="I265" i="20"/>
  <c r="J265" i="20" s="1"/>
  <c r="K265" i="20" s="1"/>
  <c r="H265" i="20"/>
  <c r="I250" i="22"/>
  <c r="J250" i="22" s="1"/>
  <c r="K250" i="22" s="1"/>
  <c r="H250" i="22"/>
  <c r="I27" i="22"/>
  <c r="J27" i="22" s="1"/>
  <c r="K27" i="22" s="1"/>
  <c r="H27" i="22"/>
  <c r="I58" i="22"/>
  <c r="J58" i="22" s="1"/>
  <c r="K58" i="22" s="1"/>
  <c r="H58" i="22"/>
  <c r="I54" i="20"/>
  <c r="J54" i="20" s="1"/>
  <c r="K54" i="20" s="1"/>
  <c r="H54" i="20"/>
  <c r="I258" i="20"/>
  <c r="J258" i="20" s="1"/>
  <c r="K258" i="20" s="1"/>
  <c r="H258" i="20"/>
  <c r="H247" i="20"/>
  <c r="I247" i="20"/>
  <c r="J247" i="20" s="1"/>
  <c r="K247" i="20" s="1"/>
  <c r="H248" i="22"/>
  <c r="I248" i="22"/>
  <c r="J248" i="22" s="1"/>
  <c r="K248" i="22" s="1"/>
  <c r="I250" i="20"/>
  <c r="J250" i="20" s="1"/>
  <c r="K250" i="20" s="1"/>
  <c r="H250" i="20"/>
  <c r="I264" i="20"/>
  <c r="J264" i="20" s="1"/>
  <c r="K264" i="20" s="1"/>
  <c r="H264" i="20"/>
  <c r="I29" i="20"/>
  <c r="J29" i="20" s="1"/>
  <c r="K29" i="20" s="1"/>
  <c r="H29" i="20"/>
  <c r="I56" i="22"/>
  <c r="J56" i="22" s="1"/>
  <c r="K56" i="22" s="1"/>
  <c r="H56" i="22"/>
  <c r="H28" i="20"/>
  <c r="I28" i="20"/>
  <c r="J28" i="20" s="1"/>
  <c r="K28" i="20" s="1"/>
  <c r="I53" i="22"/>
  <c r="J53" i="22" s="1"/>
  <c r="K53" i="22" s="1"/>
  <c r="H53" i="22"/>
  <c r="I249" i="20"/>
  <c r="J249" i="20" s="1"/>
  <c r="K249" i="20" s="1"/>
  <c r="H249" i="20"/>
  <c r="M46" i="2"/>
  <c r="M259" i="2"/>
  <c r="N259" i="2" s="1"/>
  <c r="E11" i="19"/>
  <c r="M256" i="2"/>
  <c r="N256" i="2" s="1"/>
  <c r="E8" i="19"/>
  <c r="M258" i="2"/>
  <c r="N258" i="2" s="1"/>
  <c r="E10" i="19"/>
  <c r="M253" i="2"/>
  <c r="N253" i="2" s="1"/>
  <c r="E5" i="19"/>
  <c r="M263" i="2"/>
  <c r="N263" i="2" s="1"/>
  <c r="E15" i="19"/>
  <c r="M40" i="2"/>
  <c r="I17" i="11"/>
  <c r="M254" i="2"/>
  <c r="N254" i="2" s="1"/>
  <c r="E6" i="19"/>
  <c r="M264" i="2"/>
  <c r="N264" i="2" s="1"/>
  <c r="E16" i="19"/>
  <c r="M257" i="2"/>
  <c r="N257" i="2" s="1"/>
  <c r="E9" i="19"/>
  <c r="M260" i="2"/>
  <c r="N260" i="2" s="1"/>
  <c r="E12" i="19"/>
  <c r="M262" i="2"/>
  <c r="N262" i="2" s="1"/>
  <c r="E14" i="19"/>
  <c r="M255" i="2"/>
  <c r="N255" i="2" s="1"/>
  <c r="E7" i="19"/>
  <c r="M261" i="2"/>
  <c r="N261" i="2" s="1"/>
  <c r="E13" i="19"/>
  <c r="I168" i="2"/>
  <c r="J165" i="2"/>
  <c r="I15" i="2" l="1"/>
  <c r="AN8" i="10" l="1"/>
  <c r="AN7" i="10"/>
  <c r="AN16" i="10"/>
  <c r="AN6" i="10"/>
  <c r="AN5" i="10"/>
  <c r="AN15" i="10"/>
  <c r="AN3" i="10"/>
  <c r="AN17" i="10"/>
  <c r="AN18" i="10"/>
  <c r="AN19" i="10"/>
  <c r="AN20" i="10"/>
  <c r="AN21" i="10"/>
  <c r="AN26" i="10"/>
  <c r="F74" i="10"/>
  <c r="G74" i="10" s="1"/>
  <c r="F75" i="10"/>
  <c r="G75" i="10" s="1"/>
  <c r="F76" i="10"/>
  <c r="G76" i="10" s="1"/>
  <c r="F77" i="10"/>
  <c r="G77" i="10" s="1"/>
  <c r="F78" i="10"/>
  <c r="G78" i="10" s="1"/>
  <c r="F79" i="10"/>
  <c r="G79" i="10" s="1"/>
  <c r="F80" i="10"/>
  <c r="G80" i="10" s="1"/>
  <c r="F81" i="10"/>
  <c r="G81" i="10" s="1"/>
  <c r="F86" i="10"/>
  <c r="G86" i="10" s="1"/>
  <c r="F87" i="10"/>
  <c r="G87" i="10" s="1"/>
  <c r="F88" i="10"/>
  <c r="G88" i="10" s="1"/>
  <c r="F89" i="10"/>
  <c r="G89" i="10" s="1"/>
  <c r="F90" i="10"/>
  <c r="G90" i="10" s="1"/>
  <c r="F91" i="10"/>
  <c r="G91" i="10" s="1"/>
  <c r="F92" i="10"/>
  <c r="G92" i="10" s="1"/>
  <c r="F93" i="10"/>
  <c r="G93" i="10" s="1"/>
  <c r="F98" i="10"/>
  <c r="G98" i="10" s="1"/>
  <c r="F99" i="10"/>
  <c r="G99" i="10" s="1"/>
  <c r="F100" i="10"/>
  <c r="G100" i="10" s="1"/>
  <c r="F101" i="10"/>
  <c r="G101" i="10" s="1"/>
  <c r="F102" i="10"/>
  <c r="G102" i="10" s="1"/>
  <c r="F103" i="10"/>
  <c r="G103" i="10" s="1"/>
  <c r="F104" i="10"/>
  <c r="G104" i="10" s="1"/>
  <c r="F105" i="10"/>
  <c r="G105" i="10" s="1"/>
  <c r="F110" i="10"/>
  <c r="G110" i="10" s="1"/>
  <c r="F111" i="10"/>
  <c r="G111" i="10" s="1"/>
  <c r="F112" i="10"/>
  <c r="G112" i="10" s="1"/>
  <c r="F113" i="10"/>
  <c r="G113" i="10" s="1"/>
  <c r="F114" i="10"/>
  <c r="G114" i="10" s="1"/>
  <c r="F115" i="10"/>
  <c r="G115" i="10" s="1"/>
  <c r="F116" i="10"/>
  <c r="G116" i="10" s="1"/>
  <c r="F117" i="10"/>
  <c r="G117" i="10" s="1"/>
  <c r="F122" i="10"/>
  <c r="G122" i="10" s="1"/>
  <c r="F123" i="10"/>
  <c r="G123" i="10" s="1"/>
  <c r="F124" i="10"/>
  <c r="G124" i="10" s="1"/>
  <c r="F125" i="10"/>
  <c r="G125" i="10" s="1"/>
  <c r="F126" i="10"/>
  <c r="G126" i="10" s="1"/>
  <c r="F127" i="10"/>
  <c r="G127" i="10" s="1"/>
  <c r="F128" i="10"/>
  <c r="G128" i="10" s="1"/>
  <c r="F129" i="10"/>
  <c r="G129" i="10" s="1"/>
  <c r="F134" i="10"/>
  <c r="G134" i="10" s="1"/>
  <c r="F135" i="10"/>
  <c r="G135" i="10" s="1"/>
  <c r="F136" i="10"/>
  <c r="G136" i="10" s="1"/>
  <c r="F137" i="10"/>
  <c r="G137" i="10" s="1"/>
  <c r="F138" i="10"/>
  <c r="G138" i="10" s="1"/>
  <c r="F139" i="10"/>
  <c r="G139" i="10" s="1"/>
  <c r="F140" i="10"/>
  <c r="G140" i="10" s="1"/>
  <c r="F141" i="10"/>
  <c r="G141" i="10" s="1"/>
  <c r="F146" i="10"/>
  <c r="G146" i="10" s="1"/>
  <c r="F147" i="10"/>
  <c r="G147" i="10" s="1"/>
  <c r="F148" i="10"/>
  <c r="G148" i="10" s="1"/>
  <c r="F149" i="10"/>
  <c r="G149" i="10" s="1"/>
  <c r="F150" i="10"/>
  <c r="G150" i="10" s="1"/>
  <c r="F151" i="10"/>
  <c r="G151" i="10" s="1"/>
  <c r="F152" i="10"/>
  <c r="G152" i="10" s="1"/>
  <c r="F153" i="10"/>
  <c r="G153" i="10" s="1"/>
  <c r="F158" i="10"/>
  <c r="G158" i="10" s="1"/>
  <c r="F159" i="10"/>
  <c r="G159" i="10" s="1"/>
  <c r="F160" i="10"/>
  <c r="G160" i="10" s="1"/>
  <c r="F161" i="10"/>
  <c r="G161" i="10" s="1"/>
  <c r="F162" i="10"/>
  <c r="G162" i="10" s="1"/>
  <c r="F163" i="10"/>
  <c r="G163" i="10" s="1"/>
  <c r="F164" i="10"/>
  <c r="G164" i="10" s="1"/>
  <c r="F165" i="10"/>
  <c r="G165" i="10" s="1"/>
  <c r="F170" i="10"/>
  <c r="G170" i="10" s="1"/>
  <c r="F171" i="10"/>
  <c r="G171" i="10" s="1"/>
  <c r="F172" i="10"/>
  <c r="G172" i="10" s="1"/>
  <c r="F173" i="10"/>
  <c r="G173" i="10" s="1"/>
  <c r="F174" i="10"/>
  <c r="G174" i="10" s="1"/>
  <c r="F175" i="10"/>
  <c r="G175" i="10" s="1"/>
  <c r="F176" i="10"/>
  <c r="G176" i="10" s="1"/>
  <c r="F177" i="10"/>
  <c r="G177" i="10" s="1"/>
  <c r="F182" i="10"/>
  <c r="G182" i="10" s="1"/>
  <c r="F183" i="10"/>
  <c r="G183" i="10" s="1"/>
  <c r="F184" i="10"/>
  <c r="G184" i="10" s="1"/>
  <c r="F185" i="10"/>
  <c r="G185" i="10" s="1"/>
  <c r="F186" i="10"/>
  <c r="G186" i="10" s="1"/>
  <c r="F187" i="10"/>
  <c r="G187" i="10" s="1"/>
  <c r="F188" i="10"/>
  <c r="G188" i="10" s="1"/>
  <c r="F189" i="10"/>
  <c r="G189" i="10" s="1"/>
  <c r="C105" i="10"/>
  <c r="C103" i="10"/>
  <c r="C104" i="10"/>
  <c r="C102" i="10"/>
  <c r="C101" i="10"/>
  <c r="C100" i="10"/>
  <c r="C99" i="10"/>
  <c r="C98" i="10"/>
  <c r="C93" i="10"/>
  <c r="C92" i="10"/>
  <c r="F3" i="10"/>
  <c r="G3" i="10" s="1"/>
  <c r="F4" i="10"/>
  <c r="G4" i="10" s="1"/>
  <c r="F5" i="10"/>
  <c r="G5" i="10" s="1"/>
  <c r="F6" i="10"/>
  <c r="G6" i="10" s="1"/>
  <c r="F7" i="10"/>
  <c r="G7" i="10" s="1"/>
  <c r="F8" i="10"/>
  <c r="G8" i="10" s="1"/>
  <c r="F14" i="10"/>
  <c r="G14" i="10" s="1"/>
  <c r="F15" i="10"/>
  <c r="G15" i="10" s="1"/>
  <c r="F16" i="10"/>
  <c r="G16" i="10" s="1"/>
  <c r="F17" i="10"/>
  <c r="G17" i="10" s="1"/>
  <c r="F18" i="10"/>
  <c r="G18" i="10" s="1"/>
  <c r="F19" i="10"/>
  <c r="G19" i="10" s="1"/>
  <c r="F20" i="10"/>
  <c r="G20" i="10" s="1"/>
  <c r="F21" i="10"/>
  <c r="G21" i="10" s="1"/>
  <c r="F26" i="10"/>
  <c r="G26" i="10" s="1"/>
  <c r="F27" i="10"/>
  <c r="G27" i="10" s="1"/>
  <c r="F28" i="10"/>
  <c r="G28" i="10" s="1"/>
  <c r="F29" i="10"/>
  <c r="G29" i="10" s="1"/>
  <c r="F30" i="10"/>
  <c r="G30" i="10" s="1"/>
  <c r="F31" i="10"/>
  <c r="G31" i="10" s="1"/>
  <c r="F32" i="10"/>
  <c r="G32" i="10" s="1"/>
  <c r="F33" i="10"/>
  <c r="G33" i="10" s="1"/>
  <c r="F38" i="10"/>
  <c r="G38" i="10" s="1"/>
  <c r="F39" i="10"/>
  <c r="G39" i="10" s="1"/>
  <c r="F40" i="10"/>
  <c r="G40" i="10" s="1"/>
  <c r="F41" i="10"/>
  <c r="G41" i="10" s="1"/>
  <c r="F42" i="10"/>
  <c r="G42" i="10" s="1"/>
  <c r="F43" i="10"/>
  <c r="G43" i="10" s="1"/>
  <c r="F44" i="10"/>
  <c r="G44" i="10" s="1"/>
  <c r="F45" i="10"/>
  <c r="G45" i="10" s="1"/>
  <c r="F50" i="10"/>
  <c r="G50" i="10" s="1"/>
  <c r="F51" i="10"/>
  <c r="G51" i="10" s="1"/>
  <c r="F52" i="10"/>
  <c r="G52" i="10" s="1"/>
  <c r="F53" i="10"/>
  <c r="G53" i="10" s="1"/>
  <c r="F54" i="10"/>
  <c r="G54" i="10" s="1"/>
  <c r="F55" i="10"/>
  <c r="G55" i="10" s="1"/>
  <c r="F56" i="10"/>
  <c r="G56" i="10" s="1"/>
  <c r="F57" i="10"/>
  <c r="G57" i="10" s="1"/>
  <c r="F62" i="10"/>
  <c r="G62" i="10" s="1"/>
  <c r="F63" i="10"/>
  <c r="G63" i="10" s="1"/>
  <c r="F64" i="10"/>
  <c r="G64" i="10" s="1"/>
  <c r="F65" i="10"/>
  <c r="G65" i="10" s="1"/>
  <c r="F66" i="10"/>
  <c r="G66" i="10" s="1"/>
  <c r="F67" i="10"/>
  <c r="G67" i="10" s="1"/>
  <c r="F68" i="10"/>
  <c r="G68" i="10" s="1"/>
  <c r="F69" i="10"/>
  <c r="G69" i="10" s="1"/>
  <c r="F2" i="10"/>
  <c r="G2" i="10" s="1"/>
  <c r="I23" i="6" l="1"/>
  <c r="I321" i="6"/>
  <c r="I373" i="6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E75" i="22"/>
  <c r="E76" i="22"/>
  <c r="E77" i="22"/>
  <c r="E78" i="22"/>
  <c r="E79" i="22"/>
  <c r="E80" i="22"/>
  <c r="E81" i="22"/>
  <c r="E82" i="22"/>
  <c r="E83" i="22"/>
  <c r="E84" i="22"/>
  <c r="E85" i="22"/>
  <c r="E86" i="22"/>
  <c r="E87" i="22"/>
  <c r="E88" i="22"/>
  <c r="E89" i="22"/>
  <c r="E90" i="22"/>
  <c r="E91" i="22"/>
  <c r="E92" i="22"/>
  <c r="E93" i="22"/>
  <c r="E94" i="22"/>
  <c r="E95" i="22"/>
  <c r="E99" i="22"/>
  <c r="E100" i="22"/>
  <c r="E101" i="22"/>
  <c r="E102" i="22"/>
  <c r="E103" i="22"/>
  <c r="E104" i="22"/>
  <c r="E105" i="22"/>
  <c r="E106" i="22"/>
  <c r="E107" i="22"/>
  <c r="E108" i="22"/>
  <c r="E109" i="22"/>
  <c r="E110" i="22"/>
  <c r="E111" i="22"/>
  <c r="E112" i="22"/>
  <c r="E113" i="22"/>
  <c r="E114" i="22"/>
  <c r="E115" i="22"/>
  <c r="E116" i="22"/>
  <c r="E117" i="22"/>
  <c r="E118" i="22"/>
  <c r="E119" i="22"/>
  <c r="E123" i="22"/>
  <c r="E124" i="22"/>
  <c r="E125" i="22"/>
  <c r="E126" i="22"/>
  <c r="E127" i="22"/>
  <c r="E128" i="22"/>
  <c r="E129" i="22"/>
  <c r="E130" i="22"/>
  <c r="E131" i="22"/>
  <c r="E132" i="22"/>
  <c r="E133" i="22"/>
  <c r="E134" i="22"/>
  <c r="E135" i="22"/>
  <c r="E136" i="22"/>
  <c r="E137" i="22"/>
  <c r="E138" i="22"/>
  <c r="E139" i="22"/>
  <c r="E140" i="22"/>
  <c r="E141" i="22"/>
  <c r="E142" i="22"/>
  <c r="E143" i="22"/>
  <c r="E147" i="22"/>
  <c r="E148" i="22"/>
  <c r="E149" i="22"/>
  <c r="E150" i="22"/>
  <c r="E151" i="22"/>
  <c r="E152" i="22"/>
  <c r="E153" i="22"/>
  <c r="E154" i="22"/>
  <c r="E155" i="22"/>
  <c r="E156" i="22"/>
  <c r="E157" i="22"/>
  <c r="E158" i="22"/>
  <c r="E159" i="22"/>
  <c r="E160" i="22"/>
  <c r="E161" i="22"/>
  <c r="E162" i="22"/>
  <c r="E163" i="22"/>
  <c r="E164" i="22"/>
  <c r="E165" i="22"/>
  <c r="E166" i="22"/>
  <c r="E167" i="22"/>
  <c r="E171" i="22"/>
  <c r="E172" i="22"/>
  <c r="E173" i="22"/>
  <c r="E174" i="22"/>
  <c r="E175" i="22"/>
  <c r="E176" i="22"/>
  <c r="E177" i="22"/>
  <c r="E178" i="22"/>
  <c r="E179" i="22"/>
  <c r="E180" i="22"/>
  <c r="E181" i="22"/>
  <c r="E182" i="22"/>
  <c r="E183" i="22"/>
  <c r="E184" i="22"/>
  <c r="E185" i="22"/>
  <c r="E186" i="22"/>
  <c r="E187" i="22"/>
  <c r="E188" i="22"/>
  <c r="E189" i="22"/>
  <c r="E190" i="22"/>
  <c r="E191" i="22"/>
  <c r="E195" i="22"/>
  <c r="E196" i="22"/>
  <c r="E197" i="22"/>
  <c r="E198" i="22"/>
  <c r="E199" i="22"/>
  <c r="E200" i="22"/>
  <c r="E201" i="22"/>
  <c r="E202" i="22"/>
  <c r="E203" i="22"/>
  <c r="E204" i="22"/>
  <c r="E205" i="22"/>
  <c r="E206" i="22"/>
  <c r="E207" i="22"/>
  <c r="E208" i="22"/>
  <c r="E209" i="22"/>
  <c r="E210" i="22"/>
  <c r="E211" i="22"/>
  <c r="E212" i="22"/>
  <c r="E213" i="22"/>
  <c r="E214" i="22"/>
  <c r="E215" i="22"/>
  <c r="E219" i="22"/>
  <c r="E220" i="22"/>
  <c r="E221" i="22"/>
  <c r="E222" i="22"/>
  <c r="E223" i="22"/>
  <c r="E224" i="22"/>
  <c r="E225" i="22"/>
  <c r="E226" i="22"/>
  <c r="E227" i="22"/>
  <c r="E228" i="22"/>
  <c r="E229" i="22"/>
  <c r="E230" i="22"/>
  <c r="E231" i="22"/>
  <c r="E232" i="22"/>
  <c r="E233" i="22"/>
  <c r="E234" i="22"/>
  <c r="E235" i="22"/>
  <c r="E236" i="22"/>
  <c r="E237" i="22"/>
  <c r="E238" i="22"/>
  <c r="E239" i="22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E269" i="22"/>
  <c r="E270" i="22"/>
  <c r="E271" i="22"/>
  <c r="E272" i="22"/>
  <c r="E273" i="22"/>
  <c r="E274" i="22"/>
  <c r="E275" i="22"/>
  <c r="E276" i="22"/>
  <c r="E277" i="22"/>
  <c r="E278" i="22"/>
  <c r="E279" i="22"/>
  <c r="E280" i="22"/>
  <c r="E281" i="22"/>
  <c r="E282" i="22"/>
  <c r="E283" i="22"/>
  <c r="E284" i="22"/>
  <c r="E285" i="22"/>
  <c r="E286" i="22"/>
  <c r="E287" i="22"/>
  <c r="E288" i="22"/>
  <c r="E289" i="22"/>
  <c r="E294" i="22"/>
  <c r="E295" i="22"/>
  <c r="E296" i="22"/>
  <c r="E297" i="22"/>
  <c r="E298" i="22"/>
  <c r="E299" i="22"/>
  <c r="E300" i="22"/>
  <c r="E301" i="22"/>
  <c r="E302" i="22"/>
  <c r="E303" i="22"/>
  <c r="E304" i="22"/>
  <c r="E305" i="22"/>
  <c r="E306" i="22"/>
  <c r="E307" i="22"/>
  <c r="E308" i="22"/>
  <c r="E309" i="22"/>
  <c r="E310" i="22"/>
  <c r="E311" i="22"/>
  <c r="E312" i="22"/>
  <c r="E313" i="22"/>
  <c r="E314" i="22"/>
  <c r="E319" i="22"/>
  <c r="E320" i="22"/>
  <c r="E321" i="22"/>
  <c r="E322" i="22"/>
  <c r="E323" i="22"/>
  <c r="E324" i="22"/>
  <c r="E325" i="22"/>
  <c r="E326" i="22"/>
  <c r="E327" i="22"/>
  <c r="E328" i="22"/>
  <c r="E329" i="22"/>
  <c r="E330" i="22"/>
  <c r="E331" i="22"/>
  <c r="E332" i="22"/>
  <c r="E333" i="22"/>
  <c r="E334" i="22"/>
  <c r="E335" i="22"/>
  <c r="E336" i="22"/>
  <c r="E337" i="22"/>
  <c r="E338" i="22"/>
  <c r="E339" i="22"/>
  <c r="E344" i="22"/>
  <c r="E345" i="22"/>
  <c r="E346" i="22"/>
  <c r="E347" i="22"/>
  <c r="E348" i="22"/>
  <c r="E349" i="22"/>
  <c r="E350" i="22"/>
  <c r="E351" i="22"/>
  <c r="E352" i="22"/>
  <c r="E353" i="22"/>
  <c r="E354" i="22"/>
  <c r="E355" i="22"/>
  <c r="E356" i="22"/>
  <c r="E357" i="22"/>
  <c r="E358" i="22"/>
  <c r="E359" i="22"/>
  <c r="E360" i="22"/>
  <c r="E361" i="22"/>
  <c r="E362" i="22"/>
  <c r="E363" i="22"/>
  <c r="E364" i="22"/>
  <c r="E3" i="22"/>
  <c r="H23" i="4"/>
  <c r="I232" i="4"/>
  <c r="I233" i="4"/>
  <c r="I234" i="4"/>
  <c r="I235" i="4"/>
  <c r="I236" i="4"/>
  <c r="I240" i="4"/>
  <c r="I241" i="4"/>
  <c r="I242" i="4"/>
  <c r="I243" i="4"/>
  <c r="I244" i="4"/>
  <c r="I248" i="4"/>
  <c r="I253" i="4"/>
  <c r="I254" i="4"/>
  <c r="I255" i="4"/>
  <c r="I257" i="4"/>
  <c r="I258" i="4"/>
  <c r="I259" i="4"/>
  <c r="I261" i="4"/>
  <c r="I262" i="4"/>
  <c r="I263" i="4"/>
  <c r="I265" i="4"/>
  <c r="I266" i="4"/>
  <c r="I267" i="4"/>
  <c r="I269" i="4"/>
  <c r="I270" i="4"/>
  <c r="I271" i="4"/>
  <c r="I273" i="4"/>
  <c r="I278" i="4"/>
  <c r="I279" i="4"/>
  <c r="I286" i="4"/>
  <c r="I287" i="4"/>
  <c r="I294" i="4"/>
  <c r="I295" i="4"/>
  <c r="I306" i="4"/>
  <c r="I307" i="4"/>
  <c r="I314" i="4"/>
  <c r="I315" i="4"/>
  <c r="I322" i="4"/>
  <c r="I323" i="4"/>
  <c r="I329" i="4"/>
  <c r="I337" i="4"/>
  <c r="I345" i="4"/>
  <c r="I357" i="4"/>
  <c r="I365" i="4"/>
  <c r="I373" i="4"/>
  <c r="H3" i="4"/>
  <c r="J23" i="6" l="1"/>
  <c r="E23" i="22"/>
  <c r="I23" i="22" s="1"/>
  <c r="J23" i="22" s="1"/>
  <c r="K23" i="22" s="1"/>
  <c r="J313" i="6"/>
  <c r="E305" i="20"/>
  <c r="E221" i="20"/>
  <c r="J169" i="6"/>
  <c r="I163" i="22"/>
  <c r="J163" i="22" s="1"/>
  <c r="K163" i="22" s="1"/>
  <c r="E164" i="20"/>
  <c r="I164" i="20" s="1"/>
  <c r="J164" i="20" s="1"/>
  <c r="K164" i="20" s="1"/>
  <c r="J141" i="6"/>
  <c r="E137" i="20"/>
  <c r="I137" i="20" s="1"/>
  <c r="J137" i="20" s="1"/>
  <c r="K137" i="20" s="1"/>
  <c r="I136" i="22"/>
  <c r="J136" i="22" s="1"/>
  <c r="K136" i="22" s="1"/>
  <c r="J121" i="6"/>
  <c r="I117" i="22"/>
  <c r="J117" i="22" s="1"/>
  <c r="K117" i="22" s="1"/>
  <c r="E118" i="20"/>
  <c r="I118" i="20" s="1"/>
  <c r="J118" i="20" s="1"/>
  <c r="K118" i="20" s="1"/>
  <c r="E83" i="20"/>
  <c r="J17" i="6"/>
  <c r="E17" i="20"/>
  <c r="I17" i="20" s="1"/>
  <c r="J17" i="20" s="1"/>
  <c r="K17" i="20" s="1"/>
  <c r="I17" i="22"/>
  <c r="J17" i="22" s="1"/>
  <c r="K17" i="22" s="1"/>
  <c r="J368" i="6"/>
  <c r="E360" i="20"/>
  <c r="E352" i="20"/>
  <c r="J348" i="6"/>
  <c r="E340" i="20"/>
  <c r="J340" i="6"/>
  <c r="E332" i="20"/>
  <c r="E324" i="20"/>
  <c r="J320" i="6"/>
  <c r="E312" i="20"/>
  <c r="J312" i="6"/>
  <c r="E304" i="20"/>
  <c r="E296" i="20"/>
  <c r="J292" i="6"/>
  <c r="E284" i="20"/>
  <c r="E276" i="20"/>
  <c r="J244" i="6"/>
  <c r="E236" i="20"/>
  <c r="J236" i="6"/>
  <c r="E228" i="20"/>
  <c r="E220" i="20"/>
  <c r="H220" i="20" s="1"/>
  <c r="J216" i="6"/>
  <c r="E209" i="20"/>
  <c r="I209" i="20" s="1"/>
  <c r="J209" i="20" s="1"/>
  <c r="K209" i="20" s="1"/>
  <c r="I208" i="22"/>
  <c r="J208" i="22" s="1"/>
  <c r="K208" i="22" s="1"/>
  <c r="E201" i="20"/>
  <c r="J196" i="6"/>
  <c r="I189" i="22"/>
  <c r="J189" i="22" s="1"/>
  <c r="K189" i="22" s="1"/>
  <c r="E190" i="20"/>
  <c r="I190" i="20" s="1"/>
  <c r="J190" i="20" s="1"/>
  <c r="K190" i="20" s="1"/>
  <c r="J188" i="6"/>
  <c r="I181" i="22"/>
  <c r="J181" i="22" s="1"/>
  <c r="K181" i="22" s="1"/>
  <c r="E182" i="20"/>
  <c r="I182" i="20" s="1"/>
  <c r="J182" i="20" s="1"/>
  <c r="K182" i="20" s="1"/>
  <c r="E174" i="20"/>
  <c r="J168" i="6"/>
  <c r="E163" i="20"/>
  <c r="I163" i="20" s="1"/>
  <c r="J163" i="20" s="1"/>
  <c r="K163" i="20" s="1"/>
  <c r="I162" i="22"/>
  <c r="J162" i="22" s="1"/>
  <c r="K162" i="22" s="1"/>
  <c r="E155" i="20"/>
  <c r="J148" i="6"/>
  <c r="I143" i="22"/>
  <c r="J143" i="22" s="1"/>
  <c r="K143" i="22" s="1"/>
  <c r="E144" i="20"/>
  <c r="I144" i="20" s="1"/>
  <c r="J144" i="20" s="1"/>
  <c r="K144" i="20" s="1"/>
  <c r="J140" i="6"/>
  <c r="I135" i="22"/>
  <c r="J135" i="22" s="1"/>
  <c r="K135" i="22" s="1"/>
  <c r="E136" i="20"/>
  <c r="I136" i="20" s="1"/>
  <c r="J136" i="20" s="1"/>
  <c r="K136" i="20" s="1"/>
  <c r="E128" i="20"/>
  <c r="J120" i="6"/>
  <c r="E117" i="20"/>
  <c r="I117" i="20" s="1"/>
  <c r="J117" i="20" s="1"/>
  <c r="K117" i="20" s="1"/>
  <c r="I116" i="22"/>
  <c r="J116" i="22" s="1"/>
  <c r="K116" i="22" s="1"/>
  <c r="J112" i="6"/>
  <c r="E109" i="20"/>
  <c r="I109" i="20" s="1"/>
  <c r="J109" i="20" s="1"/>
  <c r="K109" i="20" s="1"/>
  <c r="I108" i="22"/>
  <c r="J108" i="22" s="1"/>
  <c r="K108" i="22" s="1"/>
  <c r="E101" i="20"/>
  <c r="J92" i="6"/>
  <c r="E90" i="20"/>
  <c r="I90" i="20" s="1"/>
  <c r="J90" i="20" s="1"/>
  <c r="K90" i="20" s="1"/>
  <c r="I89" i="22"/>
  <c r="J89" i="22" s="1"/>
  <c r="K89" i="22" s="1"/>
  <c r="E82" i="20"/>
  <c r="J16" i="6"/>
  <c r="E16" i="20"/>
  <c r="I16" i="20" s="1"/>
  <c r="J16" i="20" s="1"/>
  <c r="K16" i="20" s="1"/>
  <c r="I16" i="22"/>
  <c r="J16" i="22" s="1"/>
  <c r="K16" i="22" s="1"/>
  <c r="E8" i="20"/>
  <c r="J369" i="6"/>
  <c r="E361" i="20"/>
  <c r="E325" i="20"/>
  <c r="J293" i="6"/>
  <c r="E285" i="20"/>
  <c r="J237" i="6"/>
  <c r="E229" i="20"/>
  <c r="E175" i="20"/>
  <c r="E129" i="20"/>
  <c r="J93" i="6"/>
  <c r="E91" i="20"/>
  <c r="I91" i="20" s="1"/>
  <c r="J91" i="20" s="1"/>
  <c r="K91" i="20" s="1"/>
  <c r="I90" i="22"/>
  <c r="J90" i="22" s="1"/>
  <c r="K90" i="22" s="1"/>
  <c r="J367" i="6"/>
  <c r="E359" i="20"/>
  <c r="E351" i="20"/>
  <c r="J339" i="6"/>
  <c r="E331" i="20"/>
  <c r="E323" i="20"/>
  <c r="J311" i="6"/>
  <c r="E303" i="20"/>
  <c r="E295" i="20"/>
  <c r="J291" i="6"/>
  <c r="E283" i="20"/>
  <c r="E275" i="20"/>
  <c r="J243" i="6"/>
  <c r="E235" i="20"/>
  <c r="E227" i="20"/>
  <c r="J223" i="6"/>
  <c r="I215" i="22"/>
  <c r="J215" i="22" s="1"/>
  <c r="K215" i="22" s="1"/>
  <c r="E216" i="20"/>
  <c r="I216" i="20" s="1"/>
  <c r="J216" i="20" s="1"/>
  <c r="K216" i="20" s="1"/>
  <c r="J215" i="6"/>
  <c r="I207" i="22"/>
  <c r="J207" i="22" s="1"/>
  <c r="K207" i="22" s="1"/>
  <c r="E208" i="20"/>
  <c r="I208" i="20" s="1"/>
  <c r="J208" i="20" s="1"/>
  <c r="K208" i="20" s="1"/>
  <c r="E200" i="20"/>
  <c r="J195" i="6"/>
  <c r="E189" i="20"/>
  <c r="I189" i="20" s="1"/>
  <c r="J189" i="20" s="1"/>
  <c r="K189" i="20" s="1"/>
  <c r="I188" i="22"/>
  <c r="J188" i="22" s="1"/>
  <c r="K188" i="22" s="1"/>
  <c r="J187" i="6"/>
  <c r="E181" i="20"/>
  <c r="I181" i="20" s="1"/>
  <c r="J181" i="20" s="1"/>
  <c r="K181" i="20" s="1"/>
  <c r="I180" i="22"/>
  <c r="J180" i="22" s="1"/>
  <c r="K180" i="22" s="1"/>
  <c r="J167" i="6"/>
  <c r="I161" i="22"/>
  <c r="J161" i="22" s="1"/>
  <c r="K161" i="22" s="1"/>
  <c r="E162" i="20"/>
  <c r="I162" i="20" s="1"/>
  <c r="J162" i="20" s="1"/>
  <c r="K162" i="20" s="1"/>
  <c r="E154" i="20"/>
  <c r="J147" i="6"/>
  <c r="I142" i="22"/>
  <c r="J142" i="22" s="1"/>
  <c r="K142" i="22" s="1"/>
  <c r="E143" i="20"/>
  <c r="I143" i="20" s="1"/>
  <c r="J143" i="20" s="1"/>
  <c r="K143" i="20" s="1"/>
  <c r="J139" i="6"/>
  <c r="E135" i="20"/>
  <c r="I135" i="20" s="1"/>
  <c r="J135" i="20" s="1"/>
  <c r="K135" i="20" s="1"/>
  <c r="I134" i="22"/>
  <c r="J134" i="22" s="1"/>
  <c r="K134" i="22" s="1"/>
  <c r="E127" i="20"/>
  <c r="J119" i="6"/>
  <c r="E116" i="20"/>
  <c r="I116" i="20" s="1"/>
  <c r="J116" i="20" s="1"/>
  <c r="K116" i="20" s="1"/>
  <c r="I115" i="22"/>
  <c r="J115" i="22" s="1"/>
  <c r="K115" i="22" s="1"/>
  <c r="J111" i="6"/>
  <c r="E108" i="20"/>
  <c r="I108" i="20" s="1"/>
  <c r="J108" i="20" s="1"/>
  <c r="K108" i="20" s="1"/>
  <c r="I107" i="22"/>
  <c r="J107" i="22" s="1"/>
  <c r="K107" i="22" s="1"/>
  <c r="E100" i="20"/>
  <c r="J91" i="6"/>
  <c r="I88" i="22"/>
  <c r="J88" i="22" s="1"/>
  <c r="K88" i="22" s="1"/>
  <c r="E89" i="20"/>
  <c r="I89" i="20" s="1"/>
  <c r="J89" i="20" s="1"/>
  <c r="K89" i="20" s="1"/>
  <c r="E81" i="20"/>
  <c r="E23" i="20"/>
  <c r="I23" i="20" s="1"/>
  <c r="J23" i="20" s="1"/>
  <c r="K23" i="20" s="1"/>
  <c r="J15" i="6"/>
  <c r="I15" i="22"/>
  <c r="J15" i="22" s="1"/>
  <c r="K15" i="22" s="1"/>
  <c r="E15" i="20"/>
  <c r="I15" i="20" s="1"/>
  <c r="J15" i="20" s="1"/>
  <c r="K15" i="20" s="1"/>
  <c r="E7" i="20"/>
  <c r="J361" i="6"/>
  <c r="E353" i="20"/>
  <c r="J197" i="6"/>
  <c r="E191" i="20"/>
  <c r="I191" i="20" s="1"/>
  <c r="J191" i="20" s="1"/>
  <c r="K191" i="20" s="1"/>
  <c r="I190" i="22"/>
  <c r="J190" i="22" s="1"/>
  <c r="K190" i="22" s="1"/>
  <c r="J347" i="6"/>
  <c r="E339" i="20"/>
  <c r="J319" i="6"/>
  <c r="E311" i="20"/>
  <c r="E173" i="20"/>
  <c r="E3" i="20"/>
  <c r="J366" i="6"/>
  <c r="E358" i="20"/>
  <c r="E350" i="20"/>
  <c r="J346" i="6"/>
  <c r="E338" i="20"/>
  <c r="J338" i="6"/>
  <c r="E330" i="20"/>
  <c r="E322" i="20"/>
  <c r="J318" i="6"/>
  <c r="E310" i="20"/>
  <c r="E302" i="20"/>
  <c r="J298" i="6"/>
  <c r="E290" i="20"/>
  <c r="J290" i="6"/>
  <c r="E282" i="20"/>
  <c r="E274" i="20"/>
  <c r="J242" i="6"/>
  <c r="E234" i="20"/>
  <c r="E226" i="20"/>
  <c r="J222" i="6"/>
  <c r="E215" i="20"/>
  <c r="I215" i="20" s="1"/>
  <c r="J215" i="20" s="1"/>
  <c r="K215" i="20" s="1"/>
  <c r="I214" i="22"/>
  <c r="J214" i="22" s="1"/>
  <c r="K214" i="22" s="1"/>
  <c r="J214" i="6"/>
  <c r="E207" i="20"/>
  <c r="I207" i="20" s="1"/>
  <c r="J207" i="20" s="1"/>
  <c r="K207" i="20" s="1"/>
  <c r="I206" i="22"/>
  <c r="J206" i="22" s="1"/>
  <c r="K206" i="22" s="1"/>
  <c r="E199" i="20"/>
  <c r="J194" i="6"/>
  <c r="I187" i="22"/>
  <c r="J187" i="22" s="1"/>
  <c r="K187" i="22" s="1"/>
  <c r="E188" i="20"/>
  <c r="I188" i="20" s="1"/>
  <c r="J188" i="20" s="1"/>
  <c r="K188" i="20" s="1"/>
  <c r="J186" i="6"/>
  <c r="I179" i="22"/>
  <c r="J179" i="22" s="1"/>
  <c r="K179" i="22" s="1"/>
  <c r="E180" i="20"/>
  <c r="I180" i="20" s="1"/>
  <c r="J180" i="20" s="1"/>
  <c r="K180" i="20" s="1"/>
  <c r="E172" i="20"/>
  <c r="J166" i="6"/>
  <c r="I160" i="22"/>
  <c r="J160" i="22" s="1"/>
  <c r="K160" i="22" s="1"/>
  <c r="E161" i="20"/>
  <c r="I161" i="20" s="1"/>
  <c r="J161" i="20" s="1"/>
  <c r="K161" i="20" s="1"/>
  <c r="E153" i="20"/>
  <c r="J146" i="6"/>
  <c r="E142" i="20"/>
  <c r="I142" i="20" s="1"/>
  <c r="J142" i="20" s="1"/>
  <c r="K142" i="20" s="1"/>
  <c r="I141" i="22"/>
  <c r="J141" i="22" s="1"/>
  <c r="K141" i="22" s="1"/>
  <c r="J138" i="6"/>
  <c r="E134" i="20"/>
  <c r="I134" i="20" s="1"/>
  <c r="J134" i="20" s="1"/>
  <c r="K134" i="20" s="1"/>
  <c r="I133" i="22"/>
  <c r="J133" i="22" s="1"/>
  <c r="K133" i="22" s="1"/>
  <c r="E126" i="20"/>
  <c r="J118" i="6"/>
  <c r="I114" i="22"/>
  <c r="J114" i="22" s="1"/>
  <c r="K114" i="22" s="1"/>
  <c r="E115" i="20"/>
  <c r="I115" i="20" s="1"/>
  <c r="J115" i="20" s="1"/>
  <c r="K115" i="20" s="1"/>
  <c r="E107" i="20"/>
  <c r="J98" i="6"/>
  <c r="I95" i="22"/>
  <c r="J95" i="22" s="1"/>
  <c r="K95" i="22" s="1"/>
  <c r="E96" i="20"/>
  <c r="I96" i="20" s="1"/>
  <c r="J96" i="20" s="1"/>
  <c r="K96" i="20" s="1"/>
  <c r="J90" i="6"/>
  <c r="I87" i="22"/>
  <c r="J87" i="22" s="1"/>
  <c r="K87" i="22" s="1"/>
  <c r="E88" i="20"/>
  <c r="I88" i="20" s="1"/>
  <c r="J88" i="20" s="1"/>
  <c r="K88" i="20" s="1"/>
  <c r="E80" i="20"/>
  <c r="J22" i="6"/>
  <c r="E22" i="20"/>
  <c r="I22" i="20" s="1"/>
  <c r="J22" i="20" s="1"/>
  <c r="K22" i="20" s="1"/>
  <c r="I22" i="22"/>
  <c r="J22" i="22" s="1"/>
  <c r="K22" i="22" s="1"/>
  <c r="J14" i="6"/>
  <c r="E14" i="20"/>
  <c r="I14" i="20" s="1"/>
  <c r="J14" i="20" s="1"/>
  <c r="K14" i="20" s="1"/>
  <c r="I14" i="22"/>
  <c r="J14" i="22" s="1"/>
  <c r="K14" i="22" s="1"/>
  <c r="E6" i="20"/>
  <c r="E277" i="20"/>
  <c r="J373" i="6"/>
  <c r="E365" i="20"/>
  <c r="J365" i="6"/>
  <c r="E357" i="20"/>
  <c r="J345" i="6"/>
  <c r="E337" i="20"/>
  <c r="J337" i="6"/>
  <c r="E329" i="20"/>
  <c r="E321" i="20"/>
  <c r="J317" i="6"/>
  <c r="E309" i="20"/>
  <c r="J297" i="6"/>
  <c r="E289" i="20"/>
  <c r="J289" i="6"/>
  <c r="E281" i="20"/>
  <c r="E273" i="20"/>
  <c r="J241" i="6"/>
  <c r="E233" i="20"/>
  <c r="E225" i="20"/>
  <c r="J221" i="6"/>
  <c r="I213" i="22"/>
  <c r="J213" i="22" s="1"/>
  <c r="K213" i="22" s="1"/>
  <c r="E214" i="20"/>
  <c r="I214" i="20" s="1"/>
  <c r="J214" i="20" s="1"/>
  <c r="K214" i="20" s="1"/>
  <c r="J213" i="6"/>
  <c r="I205" i="22"/>
  <c r="J205" i="22" s="1"/>
  <c r="K205" i="22" s="1"/>
  <c r="E206" i="20"/>
  <c r="I206" i="20" s="1"/>
  <c r="J206" i="20" s="1"/>
  <c r="K206" i="20" s="1"/>
  <c r="E198" i="20"/>
  <c r="J193" i="6"/>
  <c r="I186" i="22"/>
  <c r="J186" i="22" s="1"/>
  <c r="K186" i="22" s="1"/>
  <c r="E187" i="20"/>
  <c r="I187" i="20" s="1"/>
  <c r="J187" i="20" s="1"/>
  <c r="K187" i="20" s="1"/>
  <c r="E179" i="20"/>
  <c r="J173" i="6"/>
  <c r="E168" i="20"/>
  <c r="I168" i="20" s="1"/>
  <c r="J168" i="20" s="1"/>
  <c r="K168" i="20" s="1"/>
  <c r="I167" i="22"/>
  <c r="J167" i="22" s="1"/>
  <c r="K167" i="22" s="1"/>
  <c r="J165" i="6"/>
  <c r="E160" i="20"/>
  <c r="I160" i="20" s="1"/>
  <c r="J160" i="20" s="1"/>
  <c r="K160" i="20" s="1"/>
  <c r="I159" i="22"/>
  <c r="J159" i="22" s="1"/>
  <c r="K159" i="22" s="1"/>
  <c r="E152" i="20"/>
  <c r="J145" i="6"/>
  <c r="I140" i="22"/>
  <c r="J140" i="22" s="1"/>
  <c r="K140" i="22" s="1"/>
  <c r="E141" i="20"/>
  <c r="I141" i="20" s="1"/>
  <c r="J141" i="20" s="1"/>
  <c r="K141" i="20" s="1"/>
  <c r="E125" i="20"/>
  <c r="J117" i="6"/>
  <c r="I113" i="22"/>
  <c r="J113" i="22" s="1"/>
  <c r="K113" i="22" s="1"/>
  <c r="E114" i="20"/>
  <c r="I114" i="20" s="1"/>
  <c r="J114" i="20" s="1"/>
  <c r="K114" i="20" s="1"/>
  <c r="E106" i="20"/>
  <c r="J97" i="6"/>
  <c r="E95" i="20"/>
  <c r="I95" i="20" s="1"/>
  <c r="J95" i="20" s="1"/>
  <c r="K95" i="20" s="1"/>
  <c r="I94" i="22"/>
  <c r="J94" i="22" s="1"/>
  <c r="K94" i="22" s="1"/>
  <c r="J89" i="6"/>
  <c r="E87" i="20"/>
  <c r="I87" i="20" s="1"/>
  <c r="J87" i="20" s="1"/>
  <c r="K87" i="20" s="1"/>
  <c r="I86" i="22"/>
  <c r="J86" i="22" s="1"/>
  <c r="K86" i="22" s="1"/>
  <c r="E79" i="20"/>
  <c r="J21" i="6"/>
  <c r="I21" i="22"/>
  <c r="J21" i="22" s="1"/>
  <c r="K21" i="22" s="1"/>
  <c r="E21" i="20"/>
  <c r="I21" i="20" s="1"/>
  <c r="J21" i="20" s="1"/>
  <c r="K21" i="20" s="1"/>
  <c r="J13" i="6"/>
  <c r="I13" i="22"/>
  <c r="J13" i="22" s="1"/>
  <c r="K13" i="22" s="1"/>
  <c r="E13" i="20"/>
  <c r="I13" i="20" s="1"/>
  <c r="J13" i="20" s="1"/>
  <c r="K13" i="20" s="1"/>
  <c r="E5" i="20"/>
  <c r="J321" i="6"/>
  <c r="E313" i="20"/>
  <c r="E202" i="20"/>
  <c r="J161" i="6"/>
  <c r="I155" i="22"/>
  <c r="J155" i="22" s="1"/>
  <c r="K155" i="22" s="1"/>
  <c r="E156" i="20"/>
  <c r="I156" i="20" s="1"/>
  <c r="J156" i="20" s="1"/>
  <c r="K156" i="20" s="1"/>
  <c r="J113" i="6"/>
  <c r="I109" i="22"/>
  <c r="J109" i="22" s="1"/>
  <c r="K109" i="22" s="1"/>
  <c r="E110" i="20"/>
  <c r="I110" i="20" s="1"/>
  <c r="J110" i="20" s="1"/>
  <c r="K110" i="20" s="1"/>
  <c r="E349" i="20"/>
  <c r="E301" i="20"/>
  <c r="J137" i="6"/>
  <c r="I132" i="22"/>
  <c r="J132" i="22" s="1"/>
  <c r="K132" i="22" s="1"/>
  <c r="E133" i="20"/>
  <c r="I133" i="20" s="1"/>
  <c r="J133" i="20" s="1"/>
  <c r="K133" i="20" s="1"/>
  <c r="J372" i="6"/>
  <c r="E364" i="20"/>
  <c r="J364" i="6"/>
  <c r="E356" i="20"/>
  <c r="E348" i="20"/>
  <c r="J344" i="6"/>
  <c r="E336" i="20"/>
  <c r="J336" i="6"/>
  <c r="E328" i="20"/>
  <c r="I328" i="6"/>
  <c r="E320" i="20"/>
  <c r="J316" i="6"/>
  <c r="E308" i="20"/>
  <c r="E300" i="20"/>
  <c r="J296" i="6"/>
  <c r="E288" i="20"/>
  <c r="J288" i="6"/>
  <c r="E280" i="20"/>
  <c r="E272" i="20"/>
  <c r="J248" i="6"/>
  <c r="E240" i="20"/>
  <c r="H240" i="20" s="1"/>
  <c r="J240" i="6"/>
  <c r="E232" i="20"/>
  <c r="E224" i="20"/>
  <c r="J220" i="6"/>
  <c r="I212" i="22"/>
  <c r="J212" i="22" s="1"/>
  <c r="K212" i="22" s="1"/>
  <c r="E213" i="20"/>
  <c r="I213" i="20" s="1"/>
  <c r="J213" i="20" s="1"/>
  <c r="K213" i="20" s="1"/>
  <c r="J212" i="6"/>
  <c r="I204" i="22"/>
  <c r="J204" i="22" s="1"/>
  <c r="K204" i="22" s="1"/>
  <c r="E205" i="20"/>
  <c r="I205" i="20" s="1"/>
  <c r="J205" i="20" s="1"/>
  <c r="K205" i="20" s="1"/>
  <c r="E197" i="20"/>
  <c r="J192" i="6"/>
  <c r="E186" i="20"/>
  <c r="I186" i="20" s="1"/>
  <c r="J186" i="20" s="1"/>
  <c r="K186" i="20" s="1"/>
  <c r="I185" i="22"/>
  <c r="J185" i="22" s="1"/>
  <c r="K185" i="22" s="1"/>
  <c r="E178" i="20"/>
  <c r="J172" i="6"/>
  <c r="I166" i="22"/>
  <c r="J166" i="22" s="1"/>
  <c r="K166" i="22" s="1"/>
  <c r="E167" i="20"/>
  <c r="I167" i="20" s="1"/>
  <c r="J167" i="20" s="1"/>
  <c r="K167" i="20" s="1"/>
  <c r="J164" i="6"/>
  <c r="I158" i="22"/>
  <c r="J158" i="22" s="1"/>
  <c r="K158" i="22" s="1"/>
  <c r="E159" i="20"/>
  <c r="I159" i="20" s="1"/>
  <c r="J159" i="20" s="1"/>
  <c r="K159" i="20" s="1"/>
  <c r="E151" i="20"/>
  <c r="J144" i="6"/>
  <c r="I139" i="22"/>
  <c r="J139" i="22" s="1"/>
  <c r="K139" i="22" s="1"/>
  <c r="E140" i="20"/>
  <c r="I140" i="20" s="1"/>
  <c r="J140" i="20" s="1"/>
  <c r="K140" i="20" s="1"/>
  <c r="J136" i="6"/>
  <c r="I131" i="22"/>
  <c r="J131" i="22" s="1"/>
  <c r="K131" i="22" s="1"/>
  <c r="E132" i="20"/>
  <c r="I132" i="20" s="1"/>
  <c r="J132" i="20" s="1"/>
  <c r="K132" i="20" s="1"/>
  <c r="E124" i="20"/>
  <c r="J116" i="6"/>
  <c r="E113" i="20"/>
  <c r="I113" i="20" s="1"/>
  <c r="J113" i="20" s="1"/>
  <c r="K113" i="20" s="1"/>
  <c r="I112" i="22"/>
  <c r="J112" i="22" s="1"/>
  <c r="K112" i="22" s="1"/>
  <c r="E105" i="20"/>
  <c r="J96" i="6"/>
  <c r="I93" i="22"/>
  <c r="J93" i="22" s="1"/>
  <c r="K93" i="22" s="1"/>
  <c r="E94" i="20"/>
  <c r="I94" i="20" s="1"/>
  <c r="J94" i="20" s="1"/>
  <c r="K94" i="20" s="1"/>
  <c r="J88" i="6"/>
  <c r="I85" i="22"/>
  <c r="J85" i="22" s="1"/>
  <c r="K85" i="22" s="1"/>
  <c r="E86" i="20"/>
  <c r="I86" i="20" s="1"/>
  <c r="J86" i="20" s="1"/>
  <c r="K86" i="20" s="1"/>
  <c r="E78" i="20"/>
  <c r="J20" i="6"/>
  <c r="E20" i="20"/>
  <c r="I20" i="20" s="1"/>
  <c r="J20" i="20" s="1"/>
  <c r="K20" i="20" s="1"/>
  <c r="I20" i="22"/>
  <c r="J20" i="22" s="1"/>
  <c r="K20" i="22" s="1"/>
  <c r="J12" i="6"/>
  <c r="E12" i="20"/>
  <c r="I12" i="20" s="1"/>
  <c r="J12" i="20" s="1"/>
  <c r="K12" i="20" s="1"/>
  <c r="I12" i="22"/>
  <c r="J12" i="22" s="1"/>
  <c r="K12" i="22" s="1"/>
  <c r="E4" i="20"/>
  <c r="E345" i="20"/>
  <c r="E297" i="20"/>
  <c r="J245" i="6"/>
  <c r="E237" i="20"/>
  <c r="J189" i="6"/>
  <c r="E183" i="20"/>
  <c r="I183" i="20" s="1"/>
  <c r="J183" i="20" s="1"/>
  <c r="K183" i="20" s="1"/>
  <c r="I182" i="22"/>
  <c r="J182" i="22" s="1"/>
  <c r="K182" i="22" s="1"/>
  <c r="E148" i="20"/>
  <c r="E102" i="20"/>
  <c r="J371" i="6"/>
  <c r="E363" i="20"/>
  <c r="J363" i="6"/>
  <c r="E355" i="20"/>
  <c r="E347" i="20"/>
  <c r="J343" i="6"/>
  <c r="E335" i="20"/>
  <c r="E327" i="20"/>
  <c r="J323" i="6"/>
  <c r="E315" i="20"/>
  <c r="J315" i="6"/>
  <c r="E307" i="20"/>
  <c r="E299" i="20"/>
  <c r="J295" i="6"/>
  <c r="E287" i="20"/>
  <c r="J287" i="6"/>
  <c r="E279" i="20"/>
  <c r="E271" i="20"/>
  <c r="J247" i="6"/>
  <c r="E239" i="20"/>
  <c r="J239" i="6"/>
  <c r="E231" i="20"/>
  <c r="E223" i="20"/>
  <c r="J219" i="6"/>
  <c r="E212" i="20"/>
  <c r="I212" i="20" s="1"/>
  <c r="J212" i="20" s="1"/>
  <c r="K212" i="20" s="1"/>
  <c r="I211" i="22"/>
  <c r="J211" i="22" s="1"/>
  <c r="K211" i="22" s="1"/>
  <c r="J211" i="6"/>
  <c r="E204" i="20"/>
  <c r="I204" i="20" s="1"/>
  <c r="J204" i="20" s="1"/>
  <c r="K204" i="20" s="1"/>
  <c r="I203" i="22"/>
  <c r="J203" i="22" s="1"/>
  <c r="K203" i="22" s="1"/>
  <c r="E196" i="20"/>
  <c r="J191" i="6"/>
  <c r="I184" i="22"/>
  <c r="J184" i="22" s="1"/>
  <c r="K184" i="22" s="1"/>
  <c r="E185" i="20"/>
  <c r="I185" i="20" s="1"/>
  <c r="J185" i="20" s="1"/>
  <c r="K185" i="20" s="1"/>
  <c r="E177" i="20"/>
  <c r="J171" i="6"/>
  <c r="I165" i="22"/>
  <c r="J165" i="22" s="1"/>
  <c r="K165" i="22" s="1"/>
  <c r="E166" i="20"/>
  <c r="I166" i="20" s="1"/>
  <c r="J166" i="20" s="1"/>
  <c r="K166" i="20" s="1"/>
  <c r="J163" i="6"/>
  <c r="I157" i="22"/>
  <c r="J157" i="22" s="1"/>
  <c r="K157" i="22" s="1"/>
  <c r="E158" i="20"/>
  <c r="I158" i="20" s="1"/>
  <c r="J158" i="20" s="1"/>
  <c r="K158" i="20" s="1"/>
  <c r="E150" i="20"/>
  <c r="J143" i="6"/>
  <c r="E139" i="20"/>
  <c r="I139" i="20" s="1"/>
  <c r="J139" i="20" s="1"/>
  <c r="K139" i="20" s="1"/>
  <c r="I138" i="22"/>
  <c r="J138" i="22" s="1"/>
  <c r="K138" i="22" s="1"/>
  <c r="E131" i="20"/>
  <c r="J123" i="6"/>
  <c r="I119" i="22"/>
  <c r="J119" i="22" s="1"/>
  <c r="K119" i="22" s="1"/>
  <c r="E120" i="20"/>
  <c r="I120" i="20" s="1"/>
  <c r="J120" i="20" s="1"/>
  <c r="K120" i="20" s="1"/>
  <c r="J115" i="6"/>
  <c r="I111" i="22"/>
  <c r="J111" i="22" s="1"/>
  <c r="K111" i="22" s="1"/>
  <c r="E112" i="20"/>
  <c r="I112" i="20" s="1"/>
  <c r="J112" i="20" s="1"/>
  <c r="K112" i="20" s="1"/>
  <c r="E104" i="20"/>
  <c r="J95" i="6"/>
  <c r="E93" i="20"/>
  <c r="I93" i="20" s="1"/>
  <c r="J93" i="20" s="1"/>
  <c r="K93" i="20" s="1"/>
  <c r="I92" i="22"/>
  <c r="J92" i="22" s="1"/>
  <c r="K92" i="22" s="1"/>
  <c r="J87" i="6"/>
  <c r="E85" i="20"/>
  <c r="I85" i="20" s="1"/>
  <c r="J85" i="20" s="1"/>
  <c r="K85" i="20" s="1"/>
  <c r="I84" i="22"/>
  <c r="J84" i="22" s="1"/>
  <c r="K84" i="22" s="1"/>
  <c r="E77" i="20"/>
  <c r="J19" i="6"/>
  <c r="I19" i="22"/>
  <c r="J19" i="22" s="1"/>
  <c r="K19" i="22" s="1"/>
  <c r="E19" i="20"/>
  <c r="I19" i="20" s="1"/>
  <c r="J19" i="20" s="1"/>
  <c r="K19" i="20" s="1"/>
  <c r="J11" i="6"/>
  <c r="I11" i="22"/>
  <c r="J11" i="22" s="1"/>
  <c r="K11" i="22" s="1"/>
  <c r="E11" i="20"/>
  <c r="I11" i="20" s="1"/>
  <c r="J11" i="20" s="1"/>
  <c r="K11" i="20" s="1"/>
  <c r="J341" i="6"/>
  <c r="E333" i="20"/>
  <c r="J217" i="6"/>
  <c r="I209" i="22"/>
  <c r="J209" i="22" s="1"/>
  <c r="K209" i="22" s="1"/>
  <c r="E210" i="20"/>
  <c r="I210" i="20" s="1"/>
  <c r="J210" i="20" s="1"/>
  <c r="K210" i="20" s="1"/>
  <c r="E9" i="20"/>
  <c r="J370" i="6"/>
  <c r="E362" i="20"/>
  <c r="J362" i="6"/>
  <c r="E354" i="20"/>
  <c r="J354" i="6"/>
  <c r="E346" i="20"/>
  <c r="J342" i="6"/>
  <c r="E334" i="20"/>
  <c r="E326" i="20"/>
  <c r="J322" i="6"/>
  <c r="E314" i="20"/>
  <c r="J314" i="6"/>
  <c r="E306" i="20"/>
  <c r="J306" i="6"/>
  <c r="E298" i="20"/>
  <c r="J294" i="6"/>
  <c r="E286" i="20"/>
  <c r="J286" i="6"/>
  <c r="E278" i="20"/>
  <c r="E270" i="20"/>
  <c r="J246" i="6"/>
  <c r="E238" i="20"/>
  <c r="J238" i="6"/>
  <c r="E230" i="20"/>
  <c r="E222" i="20"/>
  <c r="J218" i="6"/>
  <c r="I210" i="22"/>
  <c r="J210" i="22" s="1"/>
  <c r="K210" i="22" s="1"/>
  <c r="E211" i="20"/>
  <c r="I211" i="20" s="1"/>
  <c r="J211" i="20" s="1"/>
  <c r="K211" i="20" s="1"/>
  <c r="J210" i="6"/>
  <c r="E203" i="20"/>
  <c r="J198" i="6"/>
  <c r="I191" i="22"/>
  <c r="J191" i="22" s="1"/>
  <c r="K191" i="22" s="1"/>
  <c r="E192" i="20"/>
  <c r="I192" i="20" s="1"/>
  <c r="J192" i="20" s="1"/>
  <c r="K192" i="20" s="1"/>
  <c r="J190" i="6"/>
  <c r="I183" i="22"/>
  <c r="J183" i="22" s="1"/>
  <c r="K183" i="22" s="1"/>
  <c r="E184" i="20"/>
  <c r="I184" i="20" s="1"/>
  <c r="J184" i="20" s="1"/>
  <c r="K184" i="20" s="1"/>
  <c r="E176" i="20"/>
  <c r="J170" i="6"/>
  <c r="E165" i="20"/>
  <c r="I165" i="20" s="1"/>
  <c r="J165" i="20" s="1"/>
  <c r="K165" i="20" s="1"/>
  <c r="I164" i="22"/>
  <c r="J164" i="22" s="1"/>
  <c r="K164" i="22" s="1"/>
  <c r="J162" i="6"/>
  <c r="E157" i="20"/>
  <c r="I157" i="20" s="1"/>
  <c r="J157" i="20" s="1"/>
  <c r="K157" i="20" s="1"/>
  <c r="I156" i="22"/>
  <c r="J156" i="22" s="1"/>
  <c r="K156" i="22" s="1"/>
  <c r="E149" i="20"/>
  <c r="J142" i="6"/>
  <c r="I137" i="22"/>
  <c r="J137" i="22" s="1"/>
  <c r="K137" i="22" s="1"/>
  <c r="E138" i="20"/>
  <c r="I138" i="20" s="1"/>
  <c r="J138" i="20" s="1"/>
  <c r="K138" i="20" s="1"/>
  <c r="E130" i="20"/>
  <c r="J122" i="6"/>
  <c r="E119" i="20"/>
  <c r="I119" i="20" s="1"/>
  <c r="J119" i="20" s="1"/>
  <c r="K119" i="20" s="1"/>
  <c r="I118" i="22"/>
  <c r="J118" i="22" s="1"/>
  <c r="K118" i="22" s="1"/>
  <c r="J114" i="6"/>
  <c r="E111" i="20"/>
  <c r="I111" i="20" s="1"/>
  <c r="J111" i="20" s="1"/>
  <c r="K111" i="20" s="1"/>
  <c r="I110" i="22"/>
  <c r="J110" i="22" s="1"/>
  <c r="K110" i="22" s="1"/>
  <c r="E103" i="20"/>
  <c r="J94" i="6"/>
  <c r="I91" i="22"/>
  <c r="J91" i="22" s="1"/>
  <c r="K91" i="22" s="1"/>
  <c r="E92" i="20"/>
  <c r="I92" i="20" s="1"/>
  <c r="J92" i="20" s="1"/>
  <c r="K92" i="20" s="1"/>
  <c r="J86" i="6"/>
  <c r="I83" i="22"/>
  <c r="J83" i="22" s="1"/>
  <c r="K83" i="22" s="1"/>
  <c r="E84" i="20"/>
  <c r="I84" i="20" s="1"/>
  <c r="J84" i="20" s="1"/>
  <c r="K84" i="20" s="1"/>
  <c r="E76" i="20"/>
  <c r="J18" i="6"/>
  <c r="I18" i="22"/>
  <c r="J18" i="22" s="1"/>
  <c r="K18" i="22" s="1"/>
  <c r="E18" i="20"/>
  <c r="I18" i="20" s="1"/>
  <c r="J18" i="20" s="1"/>
  <c r="K18" i="20" s="1"/>
  <c r="E10" i="20"/>
  <c r="I23" i="4"/>
  <c r="J303" i="6"/>
  <c r="J235" i="6"/>
  <c r="I228" i="4"/>
  <c r="I372" i="4"/>
  <c r="I356" i="4"/>
  <c r="I344" i="4"/>
  <c r="I336" i="4"/>
  <c r="I328" i="4"/>
  <c r="I364" i="4"/>
  <c r="J359" i="6"/>
  <c r="I348" i="4"/>
  <c r="I340" i="4"/>
  <c r="I332" i="4"/>
  <c r="I360" i="4"/>
  <c r="I368" i="4"/>
  <c r="I318" i="4"/>
  <c r="I310" i="4"/>
  <c r="I298" i="4"/>
  <c r="I290" i="4"/>
  <c r="I282" i="4"/>
  <c r="I280" i="4"/>
  <c r="I334" i="4"/>
  <c r="I369" i="4"/>
  <c r="I361" i="4"/>
  <c r="I353" i="4"/>
  <c r="I341" i="4"/>
  <c r="I333" i="4"/>
  <c r="I308" i="4"/>
  <c r="I354" i="4"/>
  <c r="I320" i="4"/>
  <c r="I312" i="4"/>
  <c r="I304" i="4"/>
  <c r="I292" i="4"/>
  <c r="I284" i="4"/>
  <c r="J232" i="6"/>
  <c r="I316" i="4"/>
  <c r="I288" i="4"/>
  <c r="I370" i="4"/>
  <c r="I342" i="4"/>
  <c r="I319" i="4"/>
  <c r="I311" i="4"/>
  <c r="I303" i="4"/>
  <c r="I291" i="4"/>
  <c r="I283" i="4"/>
  <c r="I296" i="4"/>
  <c r="I362" i="4"/>
  <c r="I366" i="4"/>
  <c r="I358" i="4"/>
  <c r="I346" i="4"/>
  <c r="I338" i="4"/>
  <c r="I330" i="4"/>
  <c r="I355" i="4"/>
  <c r="I371" i="4"/>
  <c r="I343" i="4"/>
  <c r="I335" i="4"/>
  <c r="I272" i="4"/>
  <c r="I264" i="4"/>
  <c r="I256" i="4"/>
  <c r="I363" i="4"/>
  <c r="J328" i="6"/>
  <c r="J333" i="6"/>
  <c r="J285" i="6"/>
  <c r="J254" i="6"/>
  <c r="J253" i="6"/>
  <c r="J278" i="6"/>
  <c r="J332" i="6"/>
  <c r="J284" i="6"/>
  <c r="J280" i="6"/>
  <c r="J257" i="6"/>
  <c r="J355" i="6"/>
  <c r="J307" i="6"/>
  <c r="I317" i="4"/>
  <c r="I309" i="4"/>
  <c r="I297" i="4"/>
  <c r="I289" i="4"/>
  <c r="I281" i="4"/>
  <c r="I246" i="4"/>
  <c r="I238" i="4"/>
  <c r="I230" i="4"/>
  <c r="I245" i="4"/>
  <c r="I237" i="4"/>
  <c r="I229" i="4"/>
  <c r="I321" i="4"/>
  <c r="I313" i="4"/>
  <c r="I305" i="4"/>
  <c r="I293" i="4"/>
  <c r="I285" i="4"/>
  <c r="I367" i="4"/>
  <c r="I359" i="4"/>
  <c r="I347" i="4"/>
  <c r="I339" i="4"/>
  <c r="I331" i="4"/>
  <c r="I268" i="4"/>
  <c r="I260" i="4"/>
  <c r="I247" i="4"/>
  <c r="I239" i="4"/>
  <c r="I231" i="4"/>
  <c r="J234" i="6"/>
  <c r="J330" i="6"/>
  <c r="J282" i="6"/>
  <c r="J259" i="6"/>
  <c r="J255" i="6"/>
  <c r="J305" i="6"/>
  <c r="J357" i="6"/>
  <c r="J309" i="6"/>
  <c r="J230" i="6"/>
  <c r="J334" i="6"/>
  <c r="J360" i="6"/>
  <c r="J304" i="6"/>
  <c r="J233" i="6"/>
  <c r="J331" i="6"/>
  <c r="J283" i="6"/>
  <c r="J260" i="6"/>
  <c r="J358" i="6"/>
  <c r="J310" i="6"/>
  <c r="J231" i="6"/>
  <c r="J329" i="6"/>
  <c r="J281" i="6"/>
  <c r="J356" i="6"/>
  <c r="J308" i="6"/>
  <c r="J229" i="6"/>
  <c r="J353" i="6"/>
  <c r="J258" i="6"/>
  <c r="J335" i="6"/>
  <c r="J279" i="6"/>
  <c r="J256" i="6"/>
  <c r="I221" i="22" l="1"/>
  <c r="J221" i="22" s="1"/>
  <c r="K221" i="22" s="1"/>
  <c r="H221" i="22"/>
  <c r="H271" i="20"/>
  <c r="I271" i="20"/>
  <c r="J271" i="20" s="1"/>
  <c r="K271" i="20" s="1"/>
  <c r="I178" i="20"/>
  <c r="J178" i="20" s="1"/>
  <c r="K178" i="20" s="1"/>
  <c r="H178" i="20"/>
  <c r="H363" i="22"/>
  <c r="I363" i="22"/>
  <c r="J363" i="22" s="1"/>
  <c r="K363" i="22" s="1"/>
  <c r="H201" i="22"/>
  <c r="I201" i="22"/>
  <c r="J201" i="22" s="1"/>
  <c r="K201" i="22" s="1"/>
  <c r="H309" i="20"/>
  <c r="I309" i="20"/>
  <c r="J309" i="20" s="1"/>
  <c r="K309" i="20" s="1"/>
  <c r="I125" i="22"/>
  <c r="J125" i="22" s="1"/>
  <c r="K125" i="22" s="1"/>
  <c r="H125" i="22"/>
  <c r="I152" i="22"/>
  <c r="J152" i="22" s="1"/>
  <c r="K152" i="22" s="1"/>
  <c r="H152" i="22"/>
  <c r="H233" i="22"/>
  <c r="I233" i="22"/>
  <c r="J233" i="22" s="1"/>
  <c r="K233" i="22" s="1"/>
  <c r="H289" i="22"/>
  <c r="I289" i="22"/>
  <c r="J289" i="22" s="1"/>
  <c r="K289" i="22" s="1"/>
  <c r="H322" i="20"/>
  <c r="I322" i="20"/>
  <c r="J322" i="20" s="1"/>
  <c r="K322" i="20" s="1"/>
  <c r="H349" i="22"/>
  <c r="I349" i="22"/>
  <c r="J349" i="22" s="1"/>
  <c r="K349" i="22" s="1"/>
  <c r="H310" i="22"/>
  <c r="I310" i="22"/>
  <c r="J310" i="22" s="1"/>
  <c r="K310" i="22" s="1"/>
  <c r="I302" i="22"/>
  <c r="J302" i="22" s="1"/>
  <c r="K302" i="22" s="1"/>
  <c r="H302" i="22"/>
  <c r="H351" i="20"/>
  <c r="I351" i="20"/>
  <c r="J351" i="20" s="1"/>
  <c r="K351" i="20" s="1"/>
  <c r="I128" i="22"/>
  <c r="J128" i="22" s="1"/>
  <c r="K128" i="22" s="1"/>
  <c r="H128" i="22"/>
  <c r="H284" i="22"/>
  <c r="I284" i="22"/>
  <c r="J284" i="22" s="1"/>
  <c r="K284" i="22" s="1"/>
  <c r="H8" i="20"/>
  <c r="I8" i="20"/>
  <c r="J8" i="20" s="1"/>
  <c r="K8" i="20" s="1"/>
  <c r="I236" i="20"/>
  <c r="J236" i="20" s="1"/>
  <c r="K236" i="20" s="1"/>
  <c r="H236" i="20"/>
  <c r="H296" i="20"/>
  <c r="I296" i="20"/>
  <c r="J296" i="20" s="1"/>
  <c r="K296" i="20" s="1"/>
  <c r="H324" i="20"/>
  <c r="I324" i="20"/>
  <c r="J324" i="20" s="1"/>
  <c r="K324" i="20" s="1"/>
  <c r="I351" i="22"/>
  <c r="J351" i="22" s="1"/>
  <c r="K351" i="22" s="1"/>
  <c r="H351" i="22"/>
  <c r="H82" i="22"/>
  <c r="I82" i="22"/>
  <c r="J82" i="22" s="1"/>
  <c r="K82" i="22" s="1"/>
  <c r="I10" i="22"/>
  <c r="J10" i="22" s="1"/>
  <c r="K10" i="22" s="1"/>
  <c r="H10" i="22"/>
  <c r="H222" i="20"/>
  <c r="I222" i="20"/>
  <c r="J222" i="20" s="1"/>
  <c r="K222" i="20" s="1"/>
  <c r="H269" i="22"/>
  <c r="I269" i="22"/>
  <c r="J269" i="22" s="1"/>
  <c r="K269" i="22" s="1"/>
  <c r="I298" i="20"/>
  <c r="J298" i="20" s="1"/>
  <c r="K298" i="20" s="1"/>
  <c r="H298" i="20"/>
  <c r="I326" i="20"/>
  <c r="J326" i="20" s="1"/>
  <c r="K326" i="20" s="1"/>
  <c r="H326" i="20"/>
  <c r="H353" i="22"/>
  <c r="I353" i="22"/>
  <c r="J353" i="22" s="1"/>
  <c r="K353" i="22" s="1"/>
  <c r="I231" i="20"/>
  <c r="J231" i="20" s="1"/>
  <c r="K231" i="20" s="1"/>
  <c r="H231" i="20"/>
  <c r="I278" i="22"/>
  <c r="J278" i="22" s="1"/>
  <c r="K278" i="22" s="1"/>
  <c r="H278" i="22"/>
  <c r="I307" i="20"/>
  <c r="J307" i="20" s="1"/>
  <c r="K307" i="20" s="1"/>
  <c r="H307" i="20"/>
  <c r="I334" i="22"/>
  <c r="J334" i="22" s="1"/>
  <c r="K334" i="22" s="1"/>
  <c r="H334" i="22"/>
  <c r="H363" i="20"/>
  <c r="I363" i="20"/>
  <c r="J363" i="20" s="1"/>
  <c r="K363" i="20" s="1"/>
  <c r="H344" i="22"/>
  <c r="I344" i="22"/>
  <c r="J344" i="22" s="1"/>
  <c r="K344" i="22" s="1"/>
  <c r="I240" i="20"/>
  <c r="J240" i="20" s="1"/>
  <c r="K240" i="20" s="1"/>
  <c r="I288" i="20"/>
  <c r="J288" i="20" s="1"/>
  <c r="K288" i="20" s="1"/>
  <c r="H288" i="20"/>
  <c r="I320" i="20"/>
  <c r="J320" i="20" s="1"/>
  <c r="K320" i="20" s="1"/>
  <c r="H320" i="20"/>
  <c r="I313" i="20"/>
  <c r="J313" i="20" s="1"/>
  <c r="K313" i="20" s="1"/>
  <c r="H313" i="20"/>
  <c r="H125" i="20"/>
  <c r="I125" i="20"/>
  <c r="J125" i="20" s="1"/>
  <c r="K125" i="20" s="1"/>
  <c r="H273" i="20"/>
  <c r="I273" i="20"/>
  <c r="J273" i="20" s="1"/>
  <c r="K273" i="20" s="1"/>
  <c r="I308" i="22"/>
  <c r="J308" i="22" s="1"/>
  <c r="K308" i="22" s="1"/>
  <c r="H308" i="22"/>
  <c r="H336" i="22"/>
  <c r="I336" i="22"/>
  <c r="J336" i="22" s="1"/>
  <c r="K336" i="22" s="1"/>
  <c r="I277" i="20"/>
  <c r="J277" i="20" s="1"/>
  <c r="K277" i="20" s="1"/>
  <c r="H277" i="20"/>
  <c r="I126" i="20"/>
  <c r="J126" i="20" s="1"/>
  <c r="K126" i="20" s="1"/>
  <c r="H126" i="20"/>
  <c r="I153" i="20"/>
  <c r="J153" i="20" s="1"/>
  <c r="K153" i="20" s="1"/>
  <c r="H153" i="20"/>
  <c r="H329" i="22"/>
  <c r="I329" i="22"/>
  <c r="J329" i="22" s="1"/>
  <c r="K329" i="22" s="1"/>
  <c r="I358" i="20"/>
  <c r="J358" i="20" s="1"/>
  <c r="K358" i="20" s="1"/>
  <c r="H358" i="20"/>
  <c r="I311" i="20"/>
  <c r="J311" i="20" s="1"/>
  <c r="K311" i="20" s="1"/>
  <c r="H311" i="20"/>
  <c r="H353" i="20"/>
  <c r="I353" i="20"/>
  <c r="J353" i="20" s="1"/>
  <c r="K353" i="20" s="1"/>
  <c r="I99" i="22"/>
  <c r="J99" i="22" s="1"/>
  <c r="K99" i="22" s="1"/>
  <c r="H99" i="22"/>
  <c r="H126" i="22"/>
  <c r="I126" i="22"/>
  <c r="J126" i="22" s="1"/>
  <c r="K126" i="22" s="1"/>
  <c r="H154" i="20"/>
  <c r="I154" i="20"/>
  <c r="J154" i="20" s="1"/>
  <c r="K154" i="20" s="1"/>
  <c r="I275" i="20"/>
  <c r="J275" i="20" s="1"/>
  <c r="K275" i="20" s="1"/>
  <c r="H275" i="20"/>
  <c r="H303" i="20"/>
  <c r="I303" i="20"/>
  <c r="J303" i="20" s="1"/>
  <c r="K303" i="20" s="1"/>
  <c r="H350" i="22"/>
  <c r="I350" i="22"/>
  <c r="J350" i="22" s="1"/>
  <c r="K350" i="22" s="1"/>
  <c r="I129" i="20"/>
  <c r="J129" i="20" s="1"/>
  <c r="K129" i="20" s="1"/>
  <c r="H129" i="20"/>
  <c r="I100" i="22"/>
  <c r="J100" i="22" s="1"/>
  <c r="K100" i="22" s="1"/>
  <c r="H100" i="22"/>
  <c r="H128" i="20"/>
  <c r="I128" i="20"/>
  <c r="J128" i="20" s="1"/>
  <c r="K128" i="20" s="1"/>
  <c r="I154" i="22"/>
  <c r="J154" i="22" s="1"/>
  <c r="K154" i="22" s="1"/>
  <c r="H154" i="22"/>
  <c r="H235" i="22"/>
  <c r="I235" i="22"/>
  <c r="J235" i="22" s="1"/>
  <c r="K235" i="22" s="1"/>
  <c r="H295" i="22"/>
  <c r="I295" i="22"/>
  <c r="J295" i="22" s="1"/>
  <c r="K295" i="22" s="1"/>
  <c r="H323" i="22"/>
  <c r="I323" i="22"/>
  <c r="J323" i="22" s="1"/>
  <c r="K323" i="22" s="1"/>
  <c r="H352" i="20"/>
  <c r="I352" i="20"/>
  <c r="J352" i="20" s="1"/>
  <c r="K352" i="20" s="1"/>
  <c r="I83" i="20"/>
  <c r="J83" i="20" s="1"/>
  <c r="K83" i="20" s="1"/>
  <c r="H83" i="20"/>
  <c r="I196" i="20"/>
  <c r="J196" i="20" s="1"/>
  <c r="K196" i="20" s="1"/>
  <c r="H196" i="20"/>
  <c r="I327" i="20"/>
  <c r="J327" i="20" s="1"/>
  <c r="K327" i="20" s="1"/>
  <c r="H327" i="20"/>
  <c r="I123" i="22"/>
  <c r="J123" i="22" s="1"/>
  <c r="K123" i="22" s="1"/>
  <c r="H123" i="22"/>
  <c r="H272" i="22"/>
  <c r="I272" i="22"/>
  <c r="J272" i="22" s="1"/>
  <c r="K272" i="22" s="1"/>
  <c r="I176" i="20"/>
  <c r="J176" i="20" s="1"/>
  <c r="K176" i="20" s="1"/>
  <c r="H176" i="20"/>
  <c r="H203" i="20"/>
  <c r="I203" i="20"/>
  <c r="J203" i="20" s="1"/>
  <c r="K203" i="20" s="1"/>
  <c r="H229" i="22"/>
  <c r="I229" i="22"/>
  <c r="J229" i="22" s="1"/>
  <c r="K229" i="22" s="1"/>
  <c r="H278" i="20"/>
  <c r="I278" i="20"/>
  <c r="J278" i="20" s="1"/>
  <c r="K278" i="20" s="1"/>
  <c r="H150" i="20"/>
  <c r="I150" i="20"/>
  <c r="J150" i="20" s="1"/>
  <c r="K150" i="20" s="1"/>
  <c r="H177" i="20"/>
  <c r="I177" i="20"/>
  <c r="J177" i="20" s="1"/>
  <c r="K177" i="20" s="1"/>
  <c r="I230" i="22"/>
  <c r="J230" i="22" s="1"/>
  <c r="K230" i="22" s="1"/>
  <c r="H230" i="22"/>
  <c r="I279" i="20"/>
  <c r="J279" i="20" s="1"/>
  <c r="K279" i="20" s="1"/>
  <c r="H279" i="20"/>
  <c r="H306" i="22"/>
  <c r="I306" i="22"/>
  <c r="J306" i="22" s="1"/>
  <c r="K306" i="22" s="1"/>
  <c r="I335" i="20"/>
  <c r="J335" i="20" s="1"/>
  <c r="K335" i="20" s="1"/>
  <c r="H335" i="20"/>
  <c r="I362" i="22"/>
  <c r="J362" i="22" s="1"/>
  <c r="K362" i="22" s="1"/>
  <c r="H362" i="22"/>
  <c r="H4" i="22"/>
  <c r="I4" i="22"/>
  <c r="J4" i="22" s="1"/>
  <c r="K4" i="22" s="1"/>
  <c r="I78" i="20"/>
  <c r="J78" i="20" s="1"/>
  <c r="K78" i="20" s="1"/>
  <c r="H78" i="20"/>
  <c r="I104" i="22"/>
  <c r="J104" i="22" s="1"/>
  <c r="K104" i="22" s="1"/>
  <c r="H104" i="22"/>
  <c r="H239" i="22"/>
  <c r="I239" i="22"/>
  <c r="J239" i="22" s="1"/>
  <c r="K239" i="22" s="1"/>
  <c r="H287" i="22"/>
  <c r="I287" i="22"/>
  <c r="J287" i="22" s="1"/>
  <c r="K287" i="22" s="1"/>
  <c r="H348" i="20"/>
  <c r="I348" i="20"/>
  <c r="J348" i="20" s="1"/>
  <c r="K348" i="20" s="1"/>
  <c r="H312" i="22"/>
  <c r="I312" i="22"/>
  <c r="J312" i="22" s="1"/>
  <c r="K312" i="22" s="1"/>
  <c r="I124" i="22"/>
  <c r="J124" i="22" s="1"/>
  <c r="K124" i="22" s="1"/>
  <c r="H124" i="22"/>
  <c r="I280" i="22"/>
  <c r="J280" i="22" s="1"/>
  <c r="K280" i="22" s="1"/>
  <c r="H280" i="22"/>
  <c r="I276" i="22"/>
  <c r="J276" i="22" s="1"/>
  <c r="K276" i="22" s="1"/>
  <c r="H276" i="22"/>
  <c r="I274" i="20"/>
  <c r="J274" i="20" s="1"/>
  <c r="K274" i="20" s="1"/>
  <c r="H274" i="20"/>
  <c r="H302" i="20"/>
  <c r="I302" i="20"/>
  <c r="J302" i="20" s="1"/>
  <c r="K302" i="20" s="1"/>
  <c r="H330" i="20"/>
  <c r="I330" i="20"/>
  <c r="J330" i="20" s="1"/>
  <c r="K330" i="20" s="1"/>
  <c r="H357" i="22"/>
  <c r="I357" i="22"/>
  <c r="J357" i="22" s="1"/>
  <c r="K357" i="22" s="1"/>
  <c r="I352" i="22"/>
  <c r="J352" i="22" s="1"/>
  <c r="K352" i="22" s="1"/>
  <c r="H352" i="22"/>
  <c r="H100" i="20"/>
  <c r="I100" i="20"/>
  <c r="J100" i="20" s="1"/>
  <c r="K100" i="20" s="1"/>
  <c r="I127" i="20"/>
  <c r="J127" i="20" s="1"/>
  <c r="K127" i="20" s="1"/>
  <c r="H127" i="20"/>
  <c r="I153" i="22"/>
  <c r="J153" i="22" s="1"/>
  <c r="K153" i="22" s="1"/>
  <c r="H153" i="22"/>
  <c r="I274" i="22"/>
  <c r="J274" i="22" s="1"/>
  <c r="K274" i="22" s="1"/>
  <c r="H274" i="22"/>
  <c r="H359" i="20"/>
  <c r="I359" i="20"/>
  <c r="J359" i="20" s="1"/>
  <c r="K359" i="20" s="1"/>
  <c r="I174" i="22"/>
  <c r="J174" i="22" s="1"/>
  <c r="K174" i="22" s="1"/>
  <c r="H174" i="22"/>
  <c r="I324" i="22"/>
  <c r="J324" i="22" s="1"/>
  <c r="K324" i="22" s="1"/>
  <c r="H324" i="22"/>
  <c r="I101" i="20"/>
  <c r="J101" i="20" s="1"/>
  <c r="K101" i="20" s="1"/>
  <c r="H101" i="20"/>
  <c r="I127" i="22"/>
  <c r="J127" i="22" s="1"/>
  <c r="K127" i="22" s="1"/>
  <c r="H127" i="22"/>
  <c r="H155" i="20"/>
  <c r="I155" i="20"/>
  <c r="J155" i="20" s="1"/>
  <c r="K155" i="20" s="1"/>
  <c r="H303" i="22"/>
  <c r="I303" i="22"/>
  <c r="J303" i="22" s="1"/>
  <c r="K303" i="22" s="1"/>
  <c r="I332" i="20"/>
  <c r="J332" i="20" s="1"/>
  <c r="K332" i="20" s="1"/>
  <c r="H332" i="20"/>
  <c r="H359" i="22"/>
  <c r="I359" i="22"/>
  <c r="J359" i="22" s="1"/>
  <c r="K359" i="22" s="1"/>
  <c r="H10" i="20"/>
  <c r="I10" i="20"/>
  <c r="J10" i="20" s="1"/>
  <c r="K10" i="20" s="1"/>
  <c r="I270" i="20"/>
  <c r="J270" i="20" s="1"/>
  <c r="K270" i="20" s="1"/>
  <c r="H270" i="20"/>
  <c r="I9" i="20"/>
  <c r="J9" i="20" s="1"/>
  <c r="K9" i="20" s="1"/>
  <c r="H9" i="20"/>
  <c r="H222" i="22"/>
  <c r="I222" i="22"/>
  <c r="J222" i="22" s="1"/>
  <c r="K222" i="22" s="1"/>
  <c r="I345" i="20"/>
  <c r="J345" i="20" s="1"/>
  <c r="K345" i="20" s="1"/>
  <c r="H345" i="20"/>
  <c r="I337" i="20"/>
  <c r="J337" i="20" s="1"/>
  <c r="K337" i="20" s="1"/>
  <c r="H337" i="20"/>
  <c r="H149" i="20"/>
  <c r="I149" i="20"/>
  <c r="J149" i="20" s="1"/>
  <c r="K149" i="20" s="1"/>
  <c r="H175" i="22"/>
  <c r="I175" i="22"/>
  <c r="J175" i="22" s="1"/>
  <c r="K175" i="22" s="1"/>
  <c r="H202" i="22"/>
  <c r="I202" i="22"/>
  <c r="J202" i="22" s="1"/>
  <c r="K202" i="22" s="1"/>
  <c r="I230" i="20"/>
  <c r="J230" i="20" s="1"/>
  <c r="K230" i="20" s="1"/>
  <c r="H230" i="20"/>
  <c r="H277" i="22"/>
  <c r="I277" i="22"/>
  <c r="J277" i="22" s="1"/>
  <c r="K277" i="22" s="1"/>
  <c r="H305" i="22"/>
  <c r="I305" i="22"/>
  <c r="J305" i="22" s="1"/>
  <c r="K305" i="22" s="1"/>
  <c r="I334" i="20"/>
  <c r="J334" i="20" s="1"/>
  <c r="K334" i="20" s="1"/>
  <c r="H334" i="20"/>
  <c r="H149" i="22"/>
  <c r="I149" i="22"/>
  <c r="J149" i="22" s="1"/>
  <c r="K149" i="22" s="1"/>
  <c r="I176" i="22"/>
  <c r="J176" i="22" s="1"/>
  <c r="K176" i="22" s="1"/>
  <c r="H176" i="22"/>
  <c r="I237" i="20"/>
  <c r="J237" i="20" s="1"/>
  <c r="K237" i="20" s="1"/>
  <c r="H237" i="20"/>
  <c r="H4" i="20"/>
  <c r="I4" i="20"/>
  <c r="J4" i="20" s="1"/>
  <c r="K4" i="20" s="1"/>
  <c r="I77" i="22"/>
  <c r="J77" i="22" s="1"/>
  <c r="K77" i="22" s="1"/>
  <c r="H77" i="22"/>
  <c r="H105" i="20"/>
  <c r="I105" i="20"/>
  <c r="J105" i="20" s="1"/>
  <c r="K105" i="20" s="1"/>
  <c r="H319" i="22"/>
  <c r="I319" i="22"/>
  <c r="J319" i="22" s="1"/>
  <c r="K319" i="22" s="1"/>
  <c r="H347" i="22"/>
  <c r="I347" i="22"/>
  <c r="J347" i="22" s="1"/>
  <c r="K347" i="22" s="1"/>
  <c r="I198" i="20"/>
  <c r="J198" i="20" s="1"/>
  <c r="K198" i="20" s="1"/>
  <c r="H198" i="20"/>
  <c r="I224" i="22"/>
  <c r="J224" i="22" s="1"/>
  <c r="K224" i="22" s="1"/>
  <c r="H224" i="22"/>
  <c r="H281" i="20"/>
  <c r="I281" i="20"/>
  <c r="J281" i="20" s="1"/>
  <c r="K281" i="20" s="1"/>
  <c r="H321" i="20"/>
  <c r="I321" i="20"/>
  <c r="J321" i="20" s="1"/>
  <c r="K321" i="20" s="1"/>
  <c r="H356" i="22"/>
  <c r="I356" i="22"/>
  <c r="J356" i="22" s="1"/>
  <c r="K356" i="22" s="1"/>
  <c r="I6" i="22"/>
  <c r="J6" i="22" s="1"/>
  <c r="K6" i="22" s="1"/>
  <c r="H6" i="22"/>
  <c r="H80" i="20"/>
  <c r="I80" i="20"/>
  <c r="J80" i="20" s="1"/>
  <c r="K80" i="20" s="1"/>
  <c r="I107" i="20"/>
  <c r="J107" i="20" s="1"/>
  <c r="K107" i="20" s="1"/>
  <c r="H107" i="20"/>
  <c r="H273" i="22"/>
  <c r="I273" i="22"/>
  <c r="J273" i="22" s="1"/>
  <c r="K273" i="22" s="1"/>
  <c r="H301" i="22"/>
  <c r="I301" i="22"/>
  <c r="J301" i="22" s="1"/>
  <c r="K301" i="22" s="1"/>
  <c r="I339" i="20"/>
  <c r="J339" i="20" s="1"/>
  <c r="K339" i="20" s="1"/>
  <c r="H339" i="20"/>
  <c r="H283" i="20"/>
  <c r="I283" i="20"/>
  <c r="J283" i="20" s="1"/>
  <c r="K283" i="20" s="1"/>
  <c r="I323" i="20"/>
  <c r="J323" i="20" s="1"/>
  <c r="K323" i="20" s="1"/>
  <c r="H323" i="20"/>
  <c r="I358" i="22"/>
  <c r="J358" i="22" s="1"/>
  <c r="K358" i="22" s="1"/>
  <c r="H358" i="22"/>
  <c r="I175" i="20"/>
  <c r="J175" i="20" s="1"/>
  <c r="K175" i="20" s="1"/>
  <c r="H175" i="20"/>
  <c r="I325" i="20"/>
  <c r="J325" i="20" s="1"/>
  <c r="K325" i="20" s="1"/>
  <c r="H325" i="20"/>
  <c r="I220" i="20"/>
  <c r="J220" i="20" s="1"/>
  <c r="K220" i="20" s="1"/>
  <c r="H275" i="22"/>
  <c r="I275" i="22"/>
  <c r="J275" i="22" s="1"/>
  <c r="K275" i="22" s="1"/>
  <c r="I304" i="20"/>
  <c r="J304" i="20" s="1"/>
  <c r="K304" i="20" s="1"/>
  <c r="H304" i="20"/>
  <c r="H331" i="22"/>
  <c r="I331" i="22"/>
  <c r="J331" i="22" s="1"/>
  <c r="K331" i="22" s="1"/>
  <c r="I360" i="20"/>
  <c r="J360" i="20" s="1"/>
  <c r="K360" i="20" s="1"/>
  <c r="H360" i="20"/>
  <c r="H221" i="20"/>
  <c r="I221" i="20"/>
  <c r="J221" i="20" s="1"/>
  <c r="K221" i="20" s="1"/>
  <c r="H298" i="22"/>
  <c r="I298" i="22"/>
  <c r="J298" i="22" s="1"/>
  <c r="K298" i="22" s="1"/>
  <c r="I150" i="22"/>
  <c r="J150" i="22" s="1"/>
  <c r="K150" i="22" s="1"/>
  <c r="H150" i="22"/>
  <c r="H349" i="20"/>
  <c r="I349" i="20"/>
  <c r="J349" i="20" s="1"/>
  <c r="K349" i="20" s="1"/>
  <c r="I148" i="22"/>
  <c r="J148" i="22" s="1"/>
  <c r="K148" i="22" s="1"/>
  <c r="H148" i="22"/>
  <c r="I354" i="20"/>
  <c r="J354" i="20" s="1"/>
  <c r="K354" i="20" s="1"/>
  <c r="H354" i="20"/>
  <c r="H333" i="22"/>
  <c r="I333" i="22"/>
  <c r="J333" i="22" s="1"/>
  <c r="K333" i="22" s="1"/>
  <c r="H332" i="22"/>
  <c r="I332" i="22"/>
  <c r="J332" i="22" s="1"/>
  <c r="K332" i="22" s="1"/>
  <c r="H238" i="22"/>
  <c r="I238" i="22"/>
  <c r="J238" i="22" s="1"/>
  <c r="K238" i="22" s="1"/>
  <c r="I315" i="20"/>
  <c r="J315" i="20" s="1"/>
  <c r="K315" i="20" s="1"/>
  <c r="H315" i="20"/>
  <c r="H102" i="20"/>
  <c r="I102" i="20"/>
  <c r="J102" i="20" s="1"/>
  <c r="K102" i="20" s="1"/>
  <c r="I197" i="20"/>
  <c r="J197" i="20" s="1"/>
  <c r="K197" i="20" s="1"/>
  <c r="H197" i="20"/>
  <c r="H272" i="20"/>
  <c r="I272" i="20"/>
  <c r="J272" i="20" s="1"/>
  <c r="K272" i="20" s="1"/>
  <c r="H299" i="22"/>
  <c r="I299" i="22"/>
  <c r="J299" i="22" s="1"/>
  <c r="K299" i="22" s="1"/>
  <c r="I328" i="20"/>
  <c r="J328" i="20" s="1"/>
  <c r="K328" i="20" s="1"/>
  <c r="H328" i="20"/>
  <c r="H356" i="20"/>
  <c r="I356" i="20"/>
  <c r="J356" i="20" s="1"/>
  <c r="K356" i="20" s="1"/>
  <c r="H5" i="20"/>
  <c r="I5" i="20"/>
  <c r="J5" i="20" s="1"/>
  <c r="K5" i="20" s="1"/>
  <c r="H78" i="22"/>
  <c r="I78" i="22"/>
  <c r="J78" i="22" s="1"/>
  <c r="K78" i="22" s="1"/>
  <c r="I106" i="20"/>
  <c r="J106" i="20" s="1"/>
  <c r="K106" i="20" s="1"/>
  <c r="H106" i="20"/>
  <c r="I197" i="22"/>
  <c r="J197" i="22" s="1"/>
  <c r="K197" i="22" s="1"/>
  <c r="H197" i="22"/>
  <c r="I225" i="20"/>
  <c r="J225" i="20" s="1"/>
  <c r="K225" i="20" s="1"/>
  <c r="H225" i="20"/>
  <c r="H320" i="22"/>
  <c r="I320" i="22"/>
  <c r="J320" i="22" s="1"/>
  <c r="K320" i="22" s="1"/>
  <c r="I357" i="20"/>
  <c r="J357" i="20" s="1"/>
  <c r="K357" i="20" s="1"/>
  <c r="H357" i="20"/>
  <c r="H6" i="20"/>
  <c r="I6" i="20"/>
  <c r="J6" i="20" s="1"/>
  <c r="K6" i="20" s="1"/>
  <c r="H79" i="22"/>
  <c r="I79" i="22"/>
  <c r="J79" i="22" s="1"/>
  <c r="K79" i="22" s="1"/>
  <c r="I106" i="22"/>
  <c r="J106" i="22" s="1"/>
  <c r="K106" i="22" s="1"/>
  <c r="H106" i="22"/>
  <c r="H282" i="20"/>
  <c r="I282" i="20"/>
  <c r="J282" i="20" s="1"/>
  <c r="K282" i="20" s="1"/>
  <c r="I310" i="20"/>
  <c r="J310" i="20" s="1"/>
  <c r="K310" i="20" s="1"/>
  <c r="H310" i="20"/>
  <c r="H337" i="22"/>
  <c r="I337" i="22"/>
  <c r="J337" i="22" s="1"/>
  <c r="K337" i="22" s="1"/>
  <c r="H3" i="20"/>
  <c r="I3" i="20"/>
  <c r="J3" i="20" s="1"/>
  <c r="K3" i="20" s="1"/>
  <c r="I338" i="22"/>
  <c r="J338" i="22" s="1"/>
  <c r="K338" i="22" s="1"/>
  <c r="H338" i="22"/>
  <c r="I7" i="20"/>
  <c r="J7" i="20" s="1"/>
  <c r="K7" i="20" s="1"/>
  <c r="H7" i="20"/>
  <c r="H81" i="20"/>
  <c r="I81" i="20"/>
  <c r="J81" i="20" s="1"/>
  <c r="K81" i="20" s="1"/>
  <c r="I200" i="20"/>
  <c r="J200" i="20" s="1"/>
  <c r="K200" i="20" s="1"/>
  <c r="H200" i="20"/>
  <c r="H226" i="22"/>
  <c r="I226" i="22"/>
  <c r="J226" i="22" s="1"/>
  <c r="K226" i="22" s="1"/>
  <c r="H282" i="22"/>
  <c r="I282" i="22"/>
  <c r="J282" i="22" s="1"/>
  <c r="K282" i="22" s="1"/>
  <c r="H322" i="22"/>
  <c r="I322" i="22"/>
  <c r="J322" i="22" s="1"/>
  <c r="K322" i="22" s="1"/>
  <c r="I229" i="20"/>
  <c r="J229" i="20" s="1"/>
  <c r="K229" i="20" s="1"/>
  <c r="H229" i="20"/>
  <c r="I361" i="20"/>
  <c r="J361" i="20" s="1"/>
  <c r="K361" i="20" s="1"/>
  <c r="H361" i="20"/>
  <c r="I81" i="22"/>
  <c r="J81" i="22" s="1"/>
  <c r="K81" i="22" s="1"/>
  <c r="H81" i="22"/>
  <c r="H219" i="22"/>
  <c r="I219" i="22"/>
  <c r="J219" i="22" s="1"/>
  <c r="K219" i="22" s="1"/>
  <c r="I276" i="20"/>
  <c r="J276" i="20" s="1"/>
  <c r="K276" i="20" s="1"/>
  <c r="H276" i="20"/>
  <c r="H220" i="22"/>
  <c r="I220" i="22"/>
  <c r="J220" i="22" s="1"/>
  <c r="K220" i="22" s="1"/>
  <c r="I335" i="22"/>
  <c r="J335" i="22" s="1"/>
  <c r="K335" i="22" s="1"/>
  <c r="H335" i="22"/>
  <c r="H325" i="22"/>
  <c r="I325" i="22"/>
  <c r="J325" i="22" s="1"/>
  <c r="K325" i="22" s="1"/>
  <c r="I306" i="20"/>
  <c r="J306" i="20" s="1"/>
  <c r="K306" i="20" s="1"/>
  <c r="H306" i="20"/>
  <c r="H361" i="22"/>
  <c r="I361" i="22"/>
  <c r="J361" i="22" s="1"/>
  <c r="K361" i="22" s="1"/>
  <c r="I286" i="22"/>
  <c r="J286" i="22" s="1"/>
  <c r="K286" i="22" s="1"/>
  <c r="H286" i="22"/>
  <c r="I347" i="20"/>
  <c r="J347" i="20" s="1"/>
  <c r="K347" i="20" s="1"/>
  <c r="H347" i="20"/>
  <c r="I236" i="22"/>
  <c r="J236" i="22" s="1"/>
  <c r="K236" i="22" s="1"/>
  <c r="H236" i="22"/>
  <c r="H224" i="20"/>
  <c r="I224" i="20"/>
  <c r="J224" i="20" s="1"/>
  <c r="K224" i="20" s="1"/>
  <c r="H76" i="20"/>
  <c r="I76" i="20"/>
  <c r="J76" i="20" s="1"/>
  <c r="K76" i="20" s="1"/>
  <c r="H102" i="22"/>
  <c r="I102" i="22"/>
  <c r="J102" i="22" s="1"/>
  <c r="K102" i="22" s="1"/>
  <c r="I130" i="20"/>
  <c r="J130" i="20" s="1"/>
  <c r="K130" i="20" s="1"/>
  <c r="H130" i="20"/>
  <c r="H237" i="22"/>
  <c r="I237" i="22"/>
  <c r="J237" i="22" s="1"/>
  <c r="K237" i="22" s="1"/>
  <c r="I286" i="20"/>
  <c r="J286" i="20" s="1"/>
  <c r="K286" i="20" s="1"/>
  <c r="H286" i="20"/>
  <c r="I362" i="20"/>
  <c r="J362" i="20" s="1"/>
  <c r="K362" i="20" s="1"/>
  <c r="H362" i="20"/>
  <c r="I333" i="20"/>
  <c r="J333" i="20" s="1"/>
  <c r="K333" i="20" s="1"/>
  <c r="H333" i="20"/>
  <c r="H76" i="22"/>
  <c r="I76" i="22"/>
  <c r="J76" i="22" s="1"/>
  <c r="K76" i="22" s="1"/>
  <c r="I104" i="20"/>
  <c r="J104" i="20" s="1"/>
  <c r="K104" i="20" s="1"/>
  <c r="H104" i="20"/>
  <c r="H130" i="22"/>
  <c r="I130" i="22"/>
  <c r="J130" i="22" s="1"/>
  <c r="K130" i="22" s="1"/>
  <c r="H239" i="20"/>
  <c r="I239" i="20"/>
  <c r="J239" i="20" s="1"/>
  <c r="K239" i="20" s="1"/>
  <c r="H287" i="20"/>
  <c r="I287" i="20"/>
  <c r="J287" i="20" s="1"/>
  <c r="K287" i="20" s="1"/>
  <c r="H314" i="22"/>
  <c r="I314" i="22"/>
  <c r="J314" i="22" s="1"/>
  <c r="K314" i="22" s="1"/>
  <c r="H346" i="22"/>
  <c r="I346" i="22"/>
  <c r="J346" i="22" s="1"/>
  <c r="K346" i="22" s="1"/>
  <c r="I101" i="22"/>
  <c r="J101" i="22" s="1"/>
  <c r="K101" i="22" s="1"/>
  <c r="H101" i="22"/>
  <c r="H196" i="22"/>
  <c r="I196" i="22"/>
  <c r="J196" i="22" s="1"/>
  <c r="K196" i="22" s="1"/>
  <c r="H223" i="22"/>
  <c r="I223" i="22"/>
  <c r="J223" i="22" s="1"/>
  <c r="K223" i="22" s="1"/>
  <c r="H271" i="22"/>
  <c r="I271" i="22"/>
  <c r="J271" i="22" s="1"/>
  <c r="K271" i="22" s="1"/>
  <c r="I300" i="20"/>
  <c r="J300" i="20" s="1"/>
  <c r="K300" i="20" s="1"/>
  <c r="H300" i="20"/>
  <c r="H327" i="22"/>
  <c r="I327" i="22"/>
  <c r="J327" i="22" s="1"/>
  <c r="K327" i="22" s="1"/>
  <c r="I355" i="22"/>
  <c r="J355" i="22" s="1"/>
  <c r="K355" i="22" s="1"/>
  <c r="H355" i="22"/>
  <c r="H301" i="20"/>
  <c r="I301" i="20"/>
  <c r="J301" i="20" s="1"/>
  <c r="K301" i="20" s="1"/>
  <c r="I5" i="22"/>
  <c r="J5" i="22" s="1"/>
  <c r="K5" i="22" s="1"/>
  <c r="H5" i="22"/>
  <c r="I79" i="20"/>
  <c r="J79" i="20" s="1"/>
  <c r="K79" i="20" s="1"/>
  <c r="H79" i="20"/>
  <c r="H105" i="22"/>
  <c r="I105" i="22"/>
  <c r="J105" i="22" s="1"/>
  <c r="K105" i="22" s="1"/>
  <c r="H232" i="22"/>
  <c r="I232" i="22"/>
  <c r="J232" i="22" s="1"/>
  <c r="K232" i="22" s="1"/>
  <c r="H288" i="22"/>
  <c r="I288" i="22"/>
  <c r="J288" i="22" s="1"/>
  <c r="K288" i="22" s="1"/>
  <c r="H329" i="20"/>
  <c r="I329" i="20"/>
  <c r="J329" i="20" s="1"/>
  <c r="K329" i="20" s="1"/>
  <c r="I172" i="20"/>
  <c r="J172" i="20" s="1"/>
  <c r="K172" i="20" s="1"/>
  <c r="H172" i="20"/>
  <c r="H198" i="22"/>
  <c r="I198" i="22"/>
  <c r="J198" i="22" s="1"/>
  <c r="K198" i="22" s="1"/>
  <c r="I226" i="20"/>
  <c r="J226" i="20" s="1"/>
  <c r="K226" i="20" s="1"/>
  <c r="H226" i="20"/>
  <c r="H281" i="22"/>
  <c r="I281" i="22"/>
  <c r="J281" i="22" s="1"/>
  <c r="K281" i="22" s="1"/>
  <c r="I309" i="22"/>
  <c r="J309" i="22" s="1"/>
  <c r="K309" i="22" s="1"/>
  <c r="H309" i="22"/>
  <c r="H338" i="20"/>
  <c r="I338" i="20"/>
  <c r="J338" i="20" s="1"/>
  <c r="K338" i="20" s="1"/>
  <c r="H3" i="22"/>
  <c r="I3" i="22"/>
  <c r="J3" i="22" s="1"/>
  <c r="K3" i="22" s="1"/>
  <c r="I7" i="22"/>
  <c r="J7" i="22" s="1"/>
  <c r="K7" i="22" s="1"/>
  <c r="H7" i="22"/>
  <c r="I80" i="22"/>
  <c r="J80" i="22" s="1"/>
  <c r="K80" i="22" s="1"/>
  <c r="H80" i="22"/>
  <c r="H199" i="22"/>
  <c r="I199" i="22"/>
  <c r="J199" i="22" s="1"/>
  <c r="K199" i="22" s="1"/>
  <c r="I227" i="20"/>
  <c r="J227" i="20" s="1"/>
  <c r="K227" i="20" s="1"/>
  <c r="H227" i="20"/>
  <c r="H331" i="20"/>
  <c r="I331" i="20"/>
  <c r="J331" i="20" s="1"/>
  <c r="K331" i="20" s="1"/>
  <c r="H228" i="22"/>
  <c r="I228" i="22"/>
  <c r="J228" i="22" s="1"/>
  <c r="K228" i="22" s="1"/>
  <c r="H360" i="22"/>
  <c r="I360" i="22"/>
  <c r="J360" i="22" s="1"/>
  <c r="K360" i="22" s="1"/>
  <c r="I82" i="20"/>
  <c r="J82" i="20" s="1"/>
  <c r="K82" i="20" s="1"/>
  <c r="H82" i="20"/>
  <c r="H228" i="20"/>
  <c r="I228" i="20"/>
  <c r="J228" i="20" s="1"/>
  <c r="K228" i="20" s="1"/>
  <c r="I283" i="22"/>
  <c r="J283" i="22" s="1"/>
  <c r="K283" i="22" s="1"/>
  <c r="H283" i="22"/>
  <c r="H312" i="20"/>
  <c r="I312" i="20"/>
  <c r="J312" i="20" s="1"/>
  <c r="K312" i="20" s="1"/>
  <c r="I340" i="20"/>
  <c r="J340" i="20" s="1"/>
  <c r="K340" i="20" s="1"/>
  <c r="H340" i="20"/>
  <c r="I305" i="20"/>
  <c r="J305" i="20" s="1"/>
  <c r="K305" i="20" s="1"/>
  <c r="H305" i="20"/>
  <c r="H75" i="22"/>
  <c r="I75" i="22"/>
  <c r="J75" i="22" s="1"/>
  <c r="K75" i="22" s="1"/>
  <c r="H103" i="20"/>
  <c r="I103" i="20"/>
  <c r="J103" i="20" s="1"/>
  <c r="K103" i="20" s="1"/>
  <c r="I129" i="22"/>
  <c r="J129" i="22" s="1"/>
  <c r="K129" i="22" s="1"/>
  <c r="H129" i="22"/>
  <c r="I238" i="20"/>
  <c r="J238" i="20" s="1"/>
  <c r="K238" i="20" s="1"/>
  <c r="H238" i="20"/>
  <c r="H285" i="22"/>
  <c r="I285" i="22"/>
  <c r="J285" i="22" s="1"/>
  <c r="K285" i="22" s="1"/>
  <c r="H313" i="22"/>
  <c r="I313" i="22"/>
  <c r="J313" i="22" s="1"/>
  <c r="K313" i="22" s="1"/>
  <c r="H345" i="22"/>
  <c r="I345" i="22"/>
  <c r="J345" i="22" s="1"/>
  <c r="K345" i="22" s="1"/>
  <c r="I77" i="20"/>
  <c r="J77" i="20" s="1"/>
  <c r="K77" i="20" s="1"/>
  <c r="H77" i="20"/>
  <c r="H103" i="22"/>
  <c r="I103" i="22"/>
  <c r="J103" i="22" s="1"/>
  <c r="K103" i="22" s="1"/>
  <c r="I131" i="20"/>
  <c r="J131" i="20" s="1"/>
  <c r="K131" i="20" s="1"/>
  <c r="H131" i="20"/>
  <c r="I355" i="20"/>
  <c r="J355" i="20" s="1"/>
  <c r="K355" i="20" s="1"/>
  <c r="H355" i="20"/>
  <c r="H148" i="20"/>
  <c r="I148" i="20"/>
  <c r="J148" i="20" s="1"/>
  <c r="K148" i="20" s="1"/>
  <c r="I297" i="20"/>
  <c r="J297" i="20" s="1"/>
  <c r="K297" i="20" s="1"/>
  <c r="H297" i="20"/>
  <c r="H232" i="20"/>
  <c r="I232" i="20"/>
  <c r="J232" i="20" s="1"/>
  <c r="K232" i="20" s="1"/>
  <c r="I280" i="20"/>
  <c r="J280" i="20" s="1"/>
  <c r="K280" i="20" s="1"/>
  <c r="H280" i="20"/>
  <c r="H307" i="22"/>
  <c r="I307" i="22"/>
  <c r="J307" i="22" s="1"/>
  <c r="K307" i="22" s="1"/>
  <c r="I300" i="22"/>
  <c r="J300" i="22" s="1"/>
  <c r="K300" i="22" s="1"/>
  <c r="H300" i="22"/>
  <c r="I151" i="22"/>
  <c r="J151" i="22" s="1"/>
  <c r="K151" i="22" s="1"/>
  <c r="H151" i="22"/>
  <c r="H179" i="20"/>
  <c r="I179" i="20"/>
  <c r="J179" i="20" s="1"/>
  <c r="K179" i="20" s="1"/>
  <c r="I233" i="20"/>
  <c r="J233" i="20" s="1"/>
  <c r="K233" i="20" s="1"/>
  <c r="H233" i="20"/>
  <c r="I289" i="20"/>
  <c r="J289" i="20" s="1"/>
  <c r="K289" i="20" s="1"/>
  <c r="H289" i="20"/>
  <c r="H328" i="22"/>
  <c r="I328" i="22"/>
  <c r="J328" i="22" s="1"/>
  <c r="K328" i="22" s="1"/>
  <c r="I364" i="22"/>
  <c r="J364" i="22" s="1"/>
  <c r="K364" i="22" s="1"/>
  <c r="H364" i="22"/>
  <c r="I171" i="22"/>
  <c r="J171" i="22" s="1"/>
  <c r="K171" i="22" s="1"/>
  <c r="H171" i="22"/>
  <c r="I199" i="20"/>
  <c r="J199" i="20" s="1"/>
  <c r="K199" i="20" s="1"/>
  <c r="H199" i="20"/>
  <c r="I225" i="22"/>
  <c r="J225" i="22" s="1"/>
  <c r="K225" i="22" s="1"/>
  <c r="H225" i="22"/>
  <c r="I172" i="22"/>
  <c r="J172" i="22" s="1"/>
  <c r="K172" i="22" s="1"/>
  <c r="H172" i="22"/>
  <c r="H234" i="22"/>
  <c r="I234" i="22"/>
  <c r="J234" i="22" s="1"/>
  <c r="K234" i="22" s="1"/>
  <c r="H294" i="22"/>
  <c r="I294" i="22"/>
  <c r="J294" i="22" s="1"/>
  <c r="K294" i="22" s="1"/>
  <c r="H330" i="22"/>
  <c r="I330" i="22"/>
  <c r="J330" i="22" s="1"/>
  <c r="K330" i="22" s="1"/>
  <c r="I174" i="20"/>
  <c r="J174" i="20" s="1"/>
  <c r="K174" i="20" s="1"/>
  <c r="H174" i="20"/>
  <c r="I200" i="22"/>
  <c r="J200" i="22" s="1"/>
  <c r="K200" i="22" s="1"/>
  <c r="H200" i="22"/>
  <c r="I227" i="22"/>
  <c r="J227" i="22" s="1"/>
  <c r="K227" i="22" s="1"/>
  <c r="H227" i="22"/>
  <c r="I284" i="20"/>
  <c r="J284" i="20" s="1"/>
  <c r="K284" i="20" s="1"/>
  <c r="H284" i="20"/>
  <c r="H311" i="22"/>
  <c r="I311" i="22"/>
  <c r="J311" i="22" s="1"/>
  <c r="K311" i="22" s="1"/>
  <c r="I339" i="22"/>
  <c r="J339" i="22" s="1"/>
  <c r="K339" i="22" s="1"/>
  <c r="H339" i="22"/>
  <c r="H304" i="22"/>
  <c r="I304" i="22"/>
  <c r="J304" i="22" s="1"/>
  <c r="K304" i="22" s="1"/>
  <c r="H297" i="22"/>
  <c r="I297" i="22"/>
  <c r="J297" i="22" s="1"/>
  <c r="K297" i="22" s="1"/>
  <c r="H314" i="20"/>
  <c r="I314" i="20"/>
  <c r="J314" i="20" s="1"/>
  <c r="K314" i="20" s="1"/>
  <c r="I346" i="20"/>
  <c r="J346" i="20" s="1"/>
  <c r="K346" i="20" s="1"/>
  <c r="H346" i="20"/>
  <c r="I9" i="22"/>
  <c r="J9" i="22" s="1"/>
  <c r="K9" i="22" s="1"/>
  <c r="H9" i="22"/>
  <c r="I195" i="22"/>
  <c r="J195" i="22" s="1"/>
  <c r="K195" i="22" s="1"/>
  <c r="H195" i="22"/>
  <c r="H223" i="20"/>
  <c r="I223" i="20"/>
  <c r="J223" i="20" s="1"/>
  <c r="K223" i="20" s="1"/>
  <c r="I270" i="22"/>
  <c r="J270" i="22" s="1"/>
  <c r="K270" i="22" s="1"/>
  <c r="H270" i="22"/>
  <c r="I299" i="20"/>
  <c r="J299" i="20" s="1"/>
  <c r="K299" i="20" s="1"/>
  <c r="H299" i="20"/>
  <c r="I326" i="22"/>
  <c r="J326" i="22" s="1"/>
  <c r="K326" i="22" s="1"/>
  <c r="H326" i="22"/>
  <c r="I354" i="22"/>
  <c r="J354" i="22" s="1"/>
  <c r="K354" i="22" s="1"/>
  <c r="H354" i="22"/>
  <c r="I147" i="22"/>
  <c r="J147" i="22" s="1"/>
  <c r="K147" i="22" s="1"/>
  <c r="H147" i="22"/>
  <c r="I296" i="22"/>
  <c r="J296" i="22" s="1"/>
  <c r="K296" i="22" s="1"/>
  <c r="H296" i="22"/>
  <c r="I124" i="20"/>
  <c r="J124" i="20" s="1"/>
  <c r="K124" i="20" s="1"/>
  <c r="H124" i="20"/>
  <c r="I151" i="20"/>
  <c r="J151" i="20" s="1"/>
  <c r="K151" i="20" s="1"/>
  <c r="H151" i="20"/>
  <c r="H177" i="22"/>
  <c r="I177" i="22"/>
  <c r="J177" i="22" s="1"/>
  <c r="K177" i="22" s="1"/>
  <c r="H231" i="22"/>
  <c r="I231" i="22"/>
  <c r="J231" i="22" s="1"/>
  <c r="K231" i="22" s="1"/>
  <c r="I279" i="22"/>
  <c r="J279" i="22" s="1"/>
  <c r="K279" i="22" s="1"/>
  <c r="H279" i="22"/>
  <c r="H308" i="20"/>
  <c r="I308" i="20"/>
  <c r="J308" i="20" s="1"/>
  <c r="K308" i="20" s="1"/>
  <c r="H336" i="20"/>
  <c r="I336" i="20"/>
  <c r="J336" i="20" s="1"/>
  <c r="K336" i="20" s="1"/>
  <c r="I364" i="20"/>
  <c r="J364" i="20" s="1"/>
  <c r="K364" i="20" s="1"/>
  <c r="H364" i="20"/>
  <c r="H348" i="22"/>
  <c r="I348" i="22"/>
  <c r="J348" i="22" s="1"/>
  <c r="K348" i="22" s="1"/>
  <c r="H202" i="20"/>
  <c r="I202" i="20"/>
  <c r="J202" i="20" s="1"/>
  <c r="K202" i="20" s="1"/>
  <c r="H152" i="20"/>
  <c r="I152" i="20"/>
  <c r="J152" i="20" s="1"/>
  <c r="K152" i="20" s="1"/>
  <c r="I178" i="22"/>
  <c r="J178" i="22" s="1"/>
  <c r="K178" i="22" s="1"/>
  <c r="H178" i="22"/>
  <c r="H365" i="20"/>
  <c r="I365" i="20"/>
  <c r="J365" i="20" s="1"/>
  <c r="K365" i="20" s="1"/>
  <c r="I234" i="20"/>
  <c r="J234" i="20" s="1"/>
  <c r="K234" i="20" s="1"/>
  <c r="H234" i="20"/>
  <c r="H290" i="20"/>
  <c r="I290" i="20"/>
  <c r="J290" i="20" s="1"/>
  <c r="K290" i="20" s="1"/>
  <c r="H321" i="22"/>
  <c r="I321" i="22"/>
  <c r="J321" i="22" s="1"/>
  <c r="K321" i="22" s="1"/>
  <c r="I350" i="20"/>
  <c r="J350" i="20" s="1"/>
  <c r="K350" i="20" s="1"/>
  <c r="H350" i="20"/>
  <c r="H173" i="20"/>
  <c r="I173" i="20"/>
  <c r="J173" i="20" s="1"/>
  <c r="K173" i="20" s="1"/>
  <c r="I235" i="20"/>
  <c r="J235" i="20" s="1"/>
  <c r="K235" i="20" s="1"/>
  <c r="H235" i="20"/>
  <c r="H295" i="20"/>
  <c r="I295" i="20"/>
  <c r="J295" i="20" s="1"/>
  <c r="K295" i="20" s="1"/>
  <c r="H285" i="20"/>
  <c r="I285" i="20"/>
  <c r="J285" i="20" s="1"/>
  <c r="K285" i="20" s="1"/>
  <c r="I8" i="22"/>
  <c r="J8" i="22" s="1"/>
  <c r="K8" i="22" s="1"/>
  <c r="H8" i="22"/>
  <c r="I173" i="22"/>
  <c r="J173" i="22" s="1"/>
  <c r="K173" i="22" s="1"/>
  <c r="H173" i="22"/>
  <c r="I201" i="20"/>
  <c r="J201" i="20" s="1"/>
  <c r="K201" i="20" s="1"/>
  <c r="H201" i="20"/>
  <c r="C5" i="20"/>
  <c r="C19" i="20"/>
  <c r="D3" i="20"/>
  <c r="D5" i="20"/>
  <c r="D7" i="20"/>
  <c r="D9" i="20"/>
  <c r="D11" i="20"/>
  <c r="D13" i="20"/>
  <c r="D15" i="20"/>
  <c r="D17" i="20"/>
  <c r="D19" i="20"/>
  <c r="D21" i="20"/>
  <c r="D23" i="20"/>
  <c r="L78" i="2"/>
  <c r="L80" i="2"/>
  <c r="L82" i="2"/>
  <c r="L84" i="2"/>
  <c r="L86" i="2"/>
  <c r="L88" i="2"/>
  <c r="L104" i="2"/>
  <c r="L106" i="2"/>
  <c r="L108" i="2"/>
  <c r="L110" i="2"/>
  <c r="L112" i="2"/>
  <c r="L114" i="2"/>
  <c r="L128" i="2"/>
  <c r="L130" i="2"/>
  <c r="L132" i="2"/>
  <c r="L134" i="2"/>
  <c r="L136" i="2"/>
  <c r="L138" i="2"/>
  <c r="L154" i="2"/>
  <c r="L156" i="2"/>
  <c r="L158" i="2"/>
  <c r="L160" i="2"/>
  <c r="L162" i="2"/>
  <c r="L164" i="2"/>
  <c r="L178" i="2"/>
  <c r="L180" i="2"/>
  <c r="L182" i="2"/>
  <c r="L184" i="2"/>
  <c r="L186" i="2"/>
  <c r="L188" i="2"/>
  <c r="K190" i="2"/>
  <c r="F17" i="18" s="1"/>
  <c r="L204" i="2"/>
  <c r="L206" i="2"/>
  <c r="L208" i="2"/>
  <c r="L210" i="2"/>
  <c r="L212" i="2"/>
  <c r="L214" i="2"/>
  <c r="L228" i="2"/>
  <c r="L230" i="2"/>
  <c r="L232" i="2"/>
  <c r="L234" i="2"/>
  <c r="L236" i="2"/>
  <c r="L238" i="2"/>
  <c r="C11" i="20"/>
  <c r="A6" i="20"/>
  <c r="A16" i="20"/>
  <c r="C3" i="20"/>
  <c r="C15" i="20"/>
  <c r="A4" i="20"/>
  <c r="A12" i="20"/>
  <c r="A14" i="20"/>
  <c r="A22" i="20"/>
  <c r="B4" i="20"/>
  <c r="B6" i="20"/>
  <c r="B8" i="20"/>
  <c r="B10" i="20"/>
  <c r="B12" i="20"/>
  <c r="B14" i="20"/>
  <c r="B16" i="20"/>
  <c r="B18" i="20"/>
  <c r="B20" i="20"/>
  <c r="B22" i="20"/>
  <c r="L279" i="2"/>
  <c r="L281" i="2"/>
  <c r="L283" i="2"/>
  <c r="L285" i="2"/>
  <c r="L287" i="2"/>
  <c r="L289" i="2"/>
  <c r="L303" i="2"/>
  <c r="L305" i="2"/>
  <c r="L307" i="2"/>
  <c r="L309" i="2"/>
  <c r="L311" i="2"/>
  <c r="L313" i="2"/>
  <c r="L329" i="2"/>
  <c r="L331" i="2"/>
  <c r="L333" i="2"/>
  <c r="L335" i="2"/>
  <c r="L337" i="2"/>
  <c r="L339" i="2"/>
  <c r="L353" i="2"/>
  <c r="L355" i="2"/>
  <c r="L357" i="2"/>
  <c r="L359" i="2"/>
  <c r="L361" i="2"/>
  <c r="L363" i="2"/>
  <c r="C13" i="20"/>
  <c r="A8" i="20"/>
  <c r="A18" i="20"/>
  <c r="C4" i="20"/>
  <c r="C8" i="20"/>
  <c r="C12" i="20"/>
  <c r="C16" i="20"/>
  <c r="C20" i="20"/>
  <c r="C7" i="20"/>
  <c r="C23" i="20"/>
  <c r="A10" i="20"/>
  <c r="A20" i="20"/>
  <c r="C6" i="20"/>
  <c r="C10" i="20"/>
  <c r="C14" i="20"/>
  <c r="C18" i="20"/>
  <c r="C22" i="20"/>
  <c r="D4" i="20"/>
  <c r="D6" i="20"/>
  <c r="D8" i="20"/>
  <c r="D10" i="20"/>
  <c r="D12" i="20"/>
  <c r="D14" i="20"/>
  <c r="L15" i="2"/>
  <c r="C17" i="11" s="1"/>
  <c r="D16" i="20"/>
  <c r="D18" i="20"/>
  <c r="D20" i="20"/>
  <c r="D22" i="20"/>
  <c r="L79" i="2"/>
  <c r="L81" i="2"/>
  <c r="L83" i="2"/>
  <c r="L85" i="2"/>
  <c r="L87" i="2"/>
  <c r="L89" i="2"/>
  <c r="L103" i="2"/>
  <c r="L105" i="2"/>
  <c r="L107" i="2"/>
  <c r="L109" i="2"/>
  <c r="L111" i="2"/>
  <c r="L113" i="2"/>
  <c r="L129" i="2"/>
  <c r="L131" i="2"/>
  <c r="L133" i="2"/>
  <c r="L135" i="2"/>
  <c r="L137" i="2"/>
  <c r="L139" i="2"/>
  <c r="L153" i="2"/>
  <c r="L155" i="2"/>
  <c r="L157" i="2"/>
  <c r="L159" i="2"/>
  <c r="L161" i="2"/>
  <c r="L163" i="2"/>
  <c r="L179" i="2"/>
  <c r="L181" i="2"/>
  <c r="L183" i="2"/>
  <c r="L185" i="2"/>
  <c r="L187" i="2"/>
  <c r="L189" i="2"/>
  <c r="L203" i="2"/>
  <c r="L205" i="2"/>
  <c r="L207" i="2"/>
  <c r="L209" i="2"/>
  <c r="L211" i="2"/>
  <c r="L213" i="2"/>
  <c r="L229" i="2"/>
  <c r="L231" i="2"/>
  <c r="L233" i="2"/>
  <c r="L235" i="2"/>
  <c r="L237" i="2"/>
  <c r="L239" i="2"/>
  <c r="C17" i="20"/>
  <c r="A7" i="20"/>
  <c r="A11" i="20"/>
  <c r="A15" i="20"/>
  <c r="A19" i="20"/>
  <c r="A23" i="20"/>
  <c r="C9" i="20"/>
  <c r="C21" i="20"/>
  <c r="A3" i="20"/>
  <c r="A5" i="20"/>
  <c r="A9" i="20"/>
  <c r="A13" i="20"/>
  <c r="A17" i="20"/>
  <c r="A21" i="20"/>
  <c r="B3" i="20"/>
  <c r="B5" i="20"/>
  <c r="B7" i="20"/>
  <c r="B9" i="20"/>
  <c r="B11" i="20"/>
  <c r="B13" i="20"/>
  <c r="B15" i="20"/>
  <c r="B17" i="20"/>
  <c r="B19" i="20"/>
  <c r="B21" i="20"/>
  <c r="B23" i="20"/>
  <c r="L278" i="2"/>
  <c r="L280" i="2"/>
  <c r="L282" i="2"/>
  <c r="L284" i="2"/>
  <c r="L286" i="2"/>
  <c r="L288" i="2"/>
  <c r="L304" i="2"/>
  <c r="L306" i="2"/>
  <c r="L308" i="2"/>
  <c r="L310" i="2"/>
  <c r="L312" i="2"/>
  <c r="L314" i="2"/>
  <c r="L328" i="2"/>
  <c r="L330" i="2"/>
  <c r="L332" i="2"/>
  <c r="L334" i="2"/>
  <c r="L336" i="2"/>
  <c r="L338" i="2"/>
  <c r="L354" i="2"/>
  <c r="L356" i="2"/>
  <c r="L358" i="2"/>
  <c r="L360" i="2"/>
  <c r="L362" i="2"/>
  <c r="L364" i="2"/>
  <c r="I172" i="2"/>
  <c r="M211" i="2" l="1"/>
  <c r="N211" i="2" s="1"/>
  <c r="I13" i="18"/>
  <c r="M359" i="2"/>
  <c r="N359" i="2" s="1"/>
  <c r="M11" i="19"/>
  <c r="M212" i="2"/>
  <c r="N212" i="2" s="1"/>
  <c r="I14" i="18"/>
  <c r="M162" i="2"/>
  <c r="N162" i="2" s="1"/>
  <c r="G14" i="11"/>
  <c r="M134" i="2"/>
  <c r="N134" i="2" s="1"/>
  <c r="E11" i="18"/>
  <c r="M78" i="2"/>
  <c r="N78" i="2" s="1"/>
  <c r="C5" i="18"/>
  <c r="M354" i="2"/>
  <c r="N354" i="2" s="1"/>
  <c r="M6" i="19"/>
  <c r="M314" i="2"/>
  <c r="N314" i="2" s="1"/>
  <c r="I16" i="19"/>
  <c r="M286" i="2"/>
  <c r="N286" i="2" s="1"/>
  <c r="G13" i="19"/>
  <c r="M233" i="2"/>
  <c r="N233" i="2" s="1"/>
  <c r="C10" i="19"/>
  <c r="M205" i="2"/>
  <c r="N205" i="2" s="1"/>
  <c r="I7" i="18"/>
  <c r="M137" i="2"/>
  <c r="N137" i="2" s="1"/>
  <c r="E14" i="18"/>
  <c r="M109" i="2"/>
  <c r="N109" i="2" s="1"/>
  <c r="E11" i="11"/>
  <c r="M81" i="2"/>
  <c r="N81" i="2" s="1"/>
  <c r="C8" i="18"/>
  <c r="M353" i="2"/>
  <c r="N353" i="2" s="1"/>
  <c r="M5" i="19"/>
  <c r="M303" i="2"/>
  <c r="N303" i="2" s="1"/>
  <c r="I5" i="19"/>
  <c r="M234" i="2"/>
  <c r="N234" i="2" s="1"/>
  <c r="C11" i="19"/>
  <c r="M206" i="2"/>
  <c r="N206" i="2" s="1"/>
  <c r="I8" i="18"/>
  <c r="M184" i="2"/>
  <c r="N184" i="2" s="1"/>
  <c r="G11" i="18"/>
  <c r="M156" i="2"/>
  <c r="N156" i="2" s="1"/>
  <c r="G8" i="11"/>
  <c r="M128" i="2"/>
  <c r="N128" i="2" s="1"/>
  <c r="E5" i="18"/>
  <c r="M88" i="2"/>
  <c r="N88" i="2" s="1"/>
  <c r="C15" i="18"/>
  <c r="M87" i="2"/>
  <c r="N87" i="2" s="1"/>
  <c r="C14" i="18"/>
  <c r="M308" i="2"/>
  <c r="N308" i="2" s="1"/>
  <c r="I10" i="19"/>
  <c r="M187" i="2"/>
  <c r="N187" i="2" s="1"/>
  <c r="G14" i="18"/>
  <c r="M159" i="2"/>
  <c r="N159" i="2" s="1"/>
  <c r="G11" i="11"/>
  <c r="M131" i="2"/>
  <c r="N131" i="2" s="1"/>
  <c r="E8" i="18"/>
  <c r="M103" i="2"/>
  <c r="N103" i="2" s="1"/>
  <c r="E5" i="11"/>
  <c r="M363" i="2"/>
  <c r="N363" i="2" s="1"/>
  <c r="M15" i="19"/>
  <c r="M335" i="2"/>
  <c r="N335" i="2" s="1"/>
  <c r="K12" i="19"/>
  <c r="M313" i="2"/>
  <c r="N313" i="2" s="1"/>
  <c r="I15" i="19"/>
  <c r="M285" i="2"/>
  <c r="N285" i="2" s="1"/>
  <c r="G12" i="19"/>
  <c r="M228" i="2"/>
  <c r="N228" i="2" s="1"/>
  <c r="C5" i="19"/>
  <c r="M178" i="2"/>
  <c r="N178" i="2" s="1"/>
  <c r="G5" i="18"/>
  <c r="M138" i="2"/>
  <c r="N138" i="2" s="1"/>
  <c r="E15" i="18"/>
  <c r="M110" i="2"/>
  <c r="N110" i="2" s="1"/>
  <c r="E12" i="11"/>
  <c r="M82" i="2"/>
  <c r="N82" i="2" s="1"/>
  <c r="C9" i="18"/>
  <c r="M360" i="2"/>
  <c r="N360" i="2" s="1"/>
  <c r="M12" i="19"/>
  <c r="M304" i="2"/>
  <c r="N304" i="2" s="1"/>
  <c r="I6" i="19"/>
  <c r="M331" i="2"/>
  <c r="N331" i="2" s="1"/>
  <c r="K8" i="19"/>
  <c r="M280" i="2"/>
  <c r="N280" i="2" s="1"/>
  <c r="G7" i="19"/>
  <c r="M358" i="2"/>
  <c r="N358" i="2" s="1"/>
  <c r="M10" i="19"/>
  <c r="M237" i="2"/>
  <c r="N237" i="2" s="1"/>
  <c r="C14" i="19"/>
  <c r="M209" i="2"/>
  <c r="N209" i="2" s="1"/>
  <c r="I11" i="18"/>
  <c r="M181" i="2"/>
  <c r="N181" i="2" s="1"/>
  <c r="G8" i="18"/>
  <c r="M153" i="2"/>
  <c r="N153" i="2" s="1"/>
  <c r="G5" i="11"/>
  <c r="M113" i="2"/>
  <c r="N113" i="2" s="1"/>
  <c r="E15" i="11"/>
  <c r="M85" i="2"/>
  <c r="N85" i="2" s="1"/>
  <c r="C12" i="18"/>
  <c r="M357" i="2"/>
  <c r="N357" i="2" s="1"/>
  <c r="M9" i="19"/>
  <c r="M329" i="2"/>
  <c r="N329" i="2" s="1"/>
  <c r="K6" i="19"/>
  <c r="M307" i="2"/>
  <c r="N307" i="2" s="1"/>
  <c r="I9" i="19"/>
  <c r="M279" i="2"/>
  <c r="N279" i="2" s="1"/>
  <c r="G6" i="19"/>
  <c r="M238" i="2"/>
  <c r="N238" i="2" s="1"/>
  <c r="C15" i="19"/>
  <c r="M210" i="2"/>
  <c r="N210" i="2" s="1"/>
  <c r="I12" i="18"/>
  <c r="M188" i="2"/>
  <c r="N188" i="2" s="1"/>
  <c r="G15" i="18"/>
  <c r="M160" i="2"/>
  <c r="N160" i="2" s="1"/>
  <c r="G12" i="11"/>
  <c r="M132" i="2"/>
  <c r="N132" i="2" s="1"/>
  <c r="E9" i="18"/>
  <c r="M104" i="2"/>
  <c r="N104" i="2" s="1"/>
  <c r="E6" i="11"/>
  <c r="M155" i="2"/>
  <c r="N155" i="2" s="1"/>
  <c r="G7" i="11"/>
  <c r="M281" i="2"/>
  <c r="N281" i="2" s="1"/>
  <c r="G8" i="19"/>
  <c r="M330" i="2"/>
  <c r="N330" i="2" s="1"/>
  <c r="K7" i="19"/>
  <c r="M312" i="2"/>
  <c r="N312" i="2" s="1"/>
  <c r="I14" i="19"/>
  <c r="M284" i="2"/>
  <c r="N284" i="2" s="1"/>
  <c r="G11" i="19"/>
  <c r="M231" i="2"/>
  <c r="N231" i="2" s="1"/>
  <c r="C8" i="19"/>
  <c r="M203" i="2"/>
  <c r="N203" i="2" s="1"/>
  <c r="I5" i="18"/>
  <c r="M163" i="2"/>
  <c r="N163" i="2" s="1"/>
  <c r="G15" i="11"/>
  <c r="M135" i="2"/>
  <c r="N135" i="2" s="1"/>
  <c r="E12" i="18"/>
  <c r="M107" i="2"/>
  <c r="N107" i="2" s="1"/>
  <c r="E9" i="11"/>
  <c r="M79" i="2"/>
  <c r="N79" i="2" s="1"/>
  <c r="C6" i="18"/>
  <c r="M339" i="2"/>
  <c r="N339" i="2" s="1"/>
  <c r="K16" i="19"/>
  <c r="M289" i="2"/>
  <c r="N289" i="2" s="1"/>
  <c r="G16" i="19"/>
  <c r="M232" i="2"/>
  <c r="N232" i="2" s="1"/>
  <c r="C9" i="19"/>
  <c r="M204" i="2"/>
  <c r="N204" i="2" s="1"/>
  <c r="I6" i="18"/>
  <c r="M182" i="2"/>
  <c r="N182" i="2" s="1"/>
  <c r="G9" i="18"/>
  <c r="M154" i="2"/>
  <c r="N154" i="2" s="1"/>
  <c r="G6" i="11"/>
  <c r="M114" i="2"/>
  <c r="N114" i="2" s="1"/>
  <c r="E16" i="11"/>
  <c r="M86" i="2"/>
  <c r="N86" i="2" s="1"/>
  <c r="C13" i="18"/>
  <c r="M309" i="2"/>
  <c r="N309" i="2" s="1"/>
  <c r="I11" i="19"/>
  <c r="M106" i="2"/>
  <c r="N106" i="2" s="1"/>
  <c r="E8" i="11"/>
  <c r="M364" i="2"/>
  <c r="N364" i="2" s="1"/>
  <c r="M16" i="19"/>
  <c r="M362" i="2"/>
  <c r="N362" i="2" s="1"/>
  <c r="M14" i="19"/>
  <c r="M334" i="2"/>
  <c r="N334" i="2" s="1"/>
  <c r="K11" i="19"/>
  <c r="M306" i="2"/>
  <c r="N306" i="2" s="1"/>
  <c r="I8" i="19"/>
  <c r="M278" i="2"/>
  <c r="N278" i="2" s="1"/>
  <c r="G5" i="19"/>
  <c r="M213" i="2"/>
  <c r="N213" i="2" s="1"/>
  <c r="I15" i="18"/>
  <c r="M185" i="2"/>
  <c r="N185" i="2" s="1"/>
  <c r="G12" i="18"/>
  <c r="M157" i="2"/>
  <c r="N157" i="2" s="1"/>
  <c r="G9" i="11"/>
  <c r="M129" i="2"/>
  <c r="N129" i="2" s="1"/>
  <c r="E6" i="18"/>
  <c r="M89" i="2"/>
  <c r="N89" i="2" s="1"/>
  <c r="C16" i="18"/>
  <c r="M361" i="2"/>
  <c r="N361" i="2" s="1"/>
  <c r="M13" i="19"/>
  <c r="M333" i="2"/>
  <c r="N333" i="2" s="1"/>
  <c r="K10" i="19"/>
  <c r="M311" i="2"/>
  <c r="N311" i="2" s="1"/>
  <c r="I13" i="19"/>
  <c r="M283" i="2"/>
  <c r="N283" i="2" s="1"/>
  <c r="G10" i="19"/>
  <c r="M214" i="2"/>
  <c r="N214" i="2" s="1"/>
  <c r="I16" i="18"/>
  <c r="M164" i="2"/>
  <c r="N164" i="2" s="1"/>
  <c r="G16" i="11"/>
  <c r="M136" i="2"/>
  <c r="N136" i="2" s="1"/>
  <c r="E13" i="18"/>
  <c r="M108" i="2"/>
  <c r="N108" i="2" s="1"/>
  <c r="E10" i="11"/>
  <c r="M80" i="2"/>
  <c r="N80" i="2" s="1"/>
  <c r="C7" i="18"/>
  <c r="M336" i="2"/>
  <c r="N336" i="2" s="1"/>
  <c r="K13" i="19"/>
  <c r="M235" i="2"/>
  <c r="N235" i="2" s="1"/>
  <c r="C12" i="19"/>
  <c r="M207" i="2"/>
  <c r="N207" i="2" s="1"/>
  <c r="I9" i="18"/>
  <c r="M179" i="2"/>
  <c r="N179" i="2" s="1"/>
  <c r="G6" i="18"/>
  <c r="M139" i="2"/>
  <c r="N139" i="2" s="1"/>
  <c r="E16" i="18"/>
  <c r="M111" i="2"/>
  <c r="N111" i="2" s="1"/>
  <c r="E13" i="11"/>
  <c r="M83" i="2"/>
  <c r="N83" i="2" s="1"/>
  <c r="C10" i="18"/>
  <c r="M355" i="2"/>
  <c r="N355" i="2" s="1"/>
  <c r="M7" i="19"/>
  <c r="M305" i="2"/>
  <c r="N305" i="2" s="1"/>
  <c r="I7" i="19"/>
  <c r="M236" i="2"/>
  <c r="N236" i="2" s="1"/>
  <c r="C13" i="19"/>
  <c r="M208" i="2"/>
  <c r="N208" i="2" s="1"/>
  <c r="I10" i="18"/>
  <c r="M186" i="2"/>
  <c r="N186" i="2" s="1"/>
  <c r="G13" i="18"/>
  <c r="M158" i="2"/>
  <c r="N158" i="2" s="1"/>
  <c r="G10" i="11"/>
  <c r="M130" i="2"/>
  <c r="N130" i="2" s="1"/>
  <c r="E7" i="18"/>
  <c r="M332" i="2"/>
  <c r="N332" i="2" s="1"/>
  <c r="K9" i="19"/>
  <c r="M239" i="2"/>
  <c r="N239" i="2" s="1"/>
  <c r="C16" i="19"/>
  <c r="M183" i="2"/>
  <c r="N183" i="2" s="1"/>
  <c r="G10" i="18"/>
  <c r="M356" i="2"/>
  <c r="N356" i="2" s="1"/>
  <c r="M8" i="19"/>
  <c r="M328" i="2"/>
  <c r="N328" i="2" s="1"/>
  <c r="K5" i="19"/>
  <c r="M288" i="2"/>
  <c r="N288" i="2" s="1"/>
  <c r="G15" i="19"/>
  <c r="M338" i="2"/>
  <c r="N338" i="2" s="1"/>
  <c r="K15" i="19"/>
  <c r="M310" i="2"/>
  <c r="N310" i="2" s="1"/>
  <c r="I12" i="19"/>
  <c r="M282" i="2"/>
  <c r="N282" i="2" s="1"/>
  <c r="G9" i="19"/>
  <c r="M229" i="2"/>
  <c r="N229" i="2" s="1"/>
  <c r="C6" i="19"/>
  <c r="M189" i="2"/>
  <c r="N189" i="2" s="1"/>
  <c r="G16" i="18"/>
  <c r="M161" i="2"/>
  <c r="N161" i="2" s="1"/>
  <c r="G13" i="11"/>
  <c r="M133" i="2"/>
  <c r="N133" i="2" s="1"/>
  <c r="E10" i="18"/>
  <c r="M105" i="2"/>
  <c r="N105" i="2" s="1"/>
  <c r="E7" i="11"/>
  <c r="M337" i="2"/>
  <c r="N337" i="2" s="1"/>
  <c r="K14" i="19"/>
  <c r="M287" i="2"/>
  <c r="N287" i="2" s="1"/>
  <c r="G14" i="19"/>
  <c r="M230" i="2"/>
  <c r="N230" i="2" s="1"/>
  <c r="C7" i="19"/>
  <c r="M180" i="2"/>
  <c r="N180" i="2" s="1"/>
  <c r="G7" i="18"/>
  <c r="M112" i="2"/>
  <c r="N112" i="2" s="1"/>
  <c r="E14" i="11"/>
  <c r="M84" i="2"/>
  <c r="N84" i="2" s="1"/>
  <c r="C11" i="18"/>
  <c r="J16" i="2"/>
  <c r="J17" i="2"/>
  <c r="J18" i="2"/>
  <c r="J19" i="2"/>
  <c r="J20" i="2"/>
  <c r="J21" i="2"/>
  <c r="J22" i="2"/>
  <c r="J41" i="2"/>
  <c r="J42" i="2"/>
  <c r="J43" i="2"/>
  <c r="J44" i="2"/>
  <c r="J45" i="2"/>
  <c r="J47" i="2"/>
  <c r="J65" i="2"/>
  <c r="J66" i="2"/>
  <c r="J67" i="2"/>
  <c r="J68" i="2"/>
  <c r="J69" i="2"/>
  <c r="J70" i="2"/>
  <c r="J90" i="2"/>
  <c r="J91" i="2"/>
  <c r="J92" i="2"/>
  <c r="J93" i="2"/>
  <c r="J94" i="2"/>
  <c r="J95" i="2"/>
  <c r="J96" i="2"/>
  <c r="J97" i="2"/>
  <c r="J115" i="2"/>
  <c r="J116" i="2"/>
  <c r="J117" i="2"/>
  <c r="J118" i="2"/>
  <c r="J119" i="2"/>
  <c r="J120" i="2"/>
  <c r="J121" i="2"/>
  <c r="J122" i="2"/>
  <c r="J140" i="2"/>
  <c r="J141" i="2"/>
  <c r="J142" i="2"/>
  <c r="J143" i="2"/>
  <c r="J144" i="2"/>
  <c r="J145" i="2"/>
  <c r="J146" i="2"/>
  <c r="J147" i="2"/>
  <c r="J166" i="2"/>
  <c r="J167" i="2"/>
  <c r="J168" i="2"/>
  <c r="L168" i="2" s="1"/>
  <c r="G20" i="11" s="1"/>
  <c r="J169" i="2"/>
  <c r="J170" i="2"/>
  <c r="J171" i="2"/>
  <c r="J172" i="2"/>
  <c r="L172" i="2" s="1"/>
  <c r="G24" i="11" s="1"/>
  <c r="J190" i="2"/>
  <c r="J191" i="2"/>
  <c r="J192" i="2"/>
  <c r="J193" i="2"/>
  <c r="J194" i="2"/>
  <c r="J195" i="2"/>
  <c r="J196" i="2"/>
  <c r="J197" i="2"/>
  <c r="O9" i="19" l="1"/>
  <c r="P9" i="19" s="1"/>
  <c r="O10" i="19"/>
  <c r="P10" i="19" s="1"/>
  <c r="O14" i="19"/>
  <c r="P14" i="19" s="1"/>
  <c r="O15" i="19"/>
  <c r="P15" i="19" s="1"/>
  <c r="O5" i="19"/>
  <c r="P5" i="19" s="1"/>
  <c r="O8" i="19"/>
  <c r="P8" i="19" s="1"/>
  <c r="O6" i="19"/>
  <c r="P6" i="19" s="1"/>
  <c r="O12" i="19"/>
  <c r="P12" i="19" s="1"/>
  <c r="O16" i="19"/>
  <c r="P16" i="19" s="1"/>
  <c r="O11" i="19"/>
  <c r="P11" i="19" s="1"/>
  <c r="O7" i="19"/>
  <c r="P7" i="19" s="1"/>
  <c r="O13" i="19"/>
  <c r="P13" i="19" s="1"/>
  <c r="I16" i="2"/>
  <c r="I17" i="2"/>
  <c r="L17" i="2" s="1"/>
  <c r="C19" i="11" s="1"/>
  <c r="I18" i="2"/>
  <c r="L18" i="2" s="1"/>
  <c r="C20" i="11" s="1"/>
  <c r="I19" i="2"/>
  <c r="L19" i="2" s="1"/>
  <c r="C21" i="11" s="1"/>
  <c r="I20" i="2"/>
  <c r="L20" i="2" s="1"/>
  <c r="C22" i="11" s="1"/>
  <c r="I21" i="2"/>
  <c r="L21" i="2" s="1"/>
  <c r="C23" i="11" s="1"/>
  <c r="I22" i="2"/>
  <c r="L22" i="2" s="1"/>
  <c r="C24" i="11" s="1"/>
  <c r="I41" i="2"/>
  <c r="I42" i="2"/>
  <c r="I43" i="2"/>
  <c r="L43" i="2" s="1"/>
  <c r="I44" i="2"/>
  <c r="L44" i="2" s="1"/>
  <c r="L45" i="2"/>
  <c r="I47" i="2"/>
  <c r="L47" i="2" s="1"/>
  <c r="I24" i="11" s="1"/>
  <c r="I65" i="2"/>
  <c r="I66" i="2"/>
  <c r="L66" i="2" s="1"/>
  <c r="K18" i="11" s="1"/>
  <c r="I67" i="2"/>
  <c r="L67" i="2" s="1"/>
  <c r="K19" i="11" s="1"/>
  <c r="I68" i="2"/>
  <c r="L68" i="2" s="1"/>
  <c r="K20" i="11" s="1"/>
  <c r="I69" i="2"/>
  <c r="L69" i="2" s="1"/>
  <c r="K21" i="11" s="1"/>
  <c r="I70" i="2"/>
  <c r="L70" i="2" s="1"/>
  <c r="K22" i="11" s="1"/>
  <c r="I90" i="2"/>
  <c r="I91" i="2"/>
  <c r="L91" i="2" s="1"/>
  <c r="C18" i="18" s="1"/>
  <c r="I92" i="2"/>
  <c r="L92" i="2" s="1"/>
  <c r="C19" i="18" s="1"/>
  <c r="I93" i="2"/>
  <c r="L93" i="2" s="1"/>
  <c r="C20" i="18" s="1"/>
  <c r="I94" i="2"/>
  <c r="L94" i="2" s="1"/>
  <c r="C21" i="18" s="1"/>
  <c r="I95" i="2"/>
  <c r="L95" i="2" s="1"/>
  <c r="C22" i="18" s="1"/>
  <c r="I96" i="2"/>
  <c r="L96" i="2" s="1"/>
  <c r="C23" i="18" s="1"/>
  <c r="I97" i="2"/>
  <c r="L97" i="2" s="1"/>
  <c r="C24" i="18" s="1"/>
  <c r="I115" i="2"/>
  <c r="I116" i="2"/>
  <c r="L116" i="2" s="1"/>
  <c r="E18" i="11" s="1"/>
  <c r="I117" i="2"/>
  <c r="L117" i="2" s="1"/>
  <c r="E19" i="11" s="1"/>
  <c r="I118" i="2"/>
  <c r="L118" i="2" s="1"/>
  <c r="E20" i="11" s="1"/>
  <c r="I119" i="2"/>
  <c r="L119" i="2" s="1"/>
  <c r="E21" i="11" s="1"/>
  <c r="I120" i="2"/>
  <c r="L120" i="2" s="1"/>
  <c r="E22" i="11" s="1"/>
  <c r="L121" i="2"/>
  <c r="E23" i="11" s="1"/>
  <c r="I122" i="2"/>
  <c r="L122" i="2" s="1"/>
  <c r="E24" i="11" s="1"/>
  <c r="I140" i="2"/>
  <c r="I141" i="2"/>
  <c r="L141" i="2" s="1"/>
  <c r="E18" i="18" s="1"/>
  <c r="I142" i="2"/>
  <c r="L142" i="2" s="1"/>
  <c r="E19" i="18" s="1"/>
  <c r="I143" i="2"/>
  <c r="L143" i="2" s="1"/>
  <c r="E20" i="18" s="1"/>
  <c r="I144" i="2"/>
  <c r="L144" i="2" s="1"/>
  <c r="E21" i="18" s="1"/>
  <c r="I145" i="2"/>
  <c r="L145" i="2" s="1"/>
  <c r="E22" i="18" s="1"/>
  <c r="I146" i="2"/>
  <c r="L146" i="2" s="1"/>
  <c r="E23" i="18" s="1"/>
  <c r="I147" i="2"/>
  <c r="L147" i="2" s="1"/>
  <c r="E24" i="18" s="1"/>
  <c r="I165" i="2"/>
  <c r="I166" i="2"/>
  <c r="L166" i="2" s="1"/>
  <c r="G18" i="11" s="1"/>
  <c r="I167" i="2"/>
  <c r="L167" i="2" s="1"/>
  <c r="G19" i="11" s="1"/>
  <c r="I169" i="2"/>
  <c r="L169" i="2" s="1"/>
  <c r="G21" i="11" s="1"/>
  <c r="I170" i="2"/>
  <c r="L170" i="2" s="1"/>
  <c r="G22" i="11" s="1"/>
  <c r="I171" i="2"/>
  <c r="L171" i="2" s="1"/>
  <c r="G23" i="11" s="1"/>
  <c r="L190" i="2"/>
  <c r="G17" i="18" s="1"/>
  <c r="I191" i="2"/>
  <c r="I192" i="2"/>
  <c r="L192" i="2" s="1"/>
  <c r="G19" i="18" s="1"/>
  <c r="I193" i="2"/>
  <c r="L193" i="2" s="1"/>
  <c r="G20" i="18" s="1"/>
  <c r="I194" i="2"/>
  <c r="L194" i="2" s="1"/>
  <c r="G21" i="18" s="1"/>
  <c r="I195" i="2"/>
  <c r="L195" i="2" s="1"/>
  <c r="G22" i="18" s="1"/>
  <c r="I196" i="2"/>
  <c r="L196" i="2" s="1"/>
  <c r="G23" i="18" s="1"/>
  <c r="I197" i="2"/>
  <c r="L197" i="2" s="1"/>
  <c r="G24" i="18" s="1"/>
  <c r="L215" i="2"/>
  <c r="I17" i="18" s="1"/>
  <c r="L216" i="2"/>
  <c r="I18" i="18" s="1"/>
  <c r="L217" i="2"/>
  <c r="I19" i="18" s="1"/>
  <c r="L218" i="2"/>
  <c r="I20" i="18" s="1"/>
  <c r="L219" i="2"/>
  <c r="I21" i="18" s="1"/>
  <c r="L220" i="2"/>
  <c r="I22" i="18" s="1"/>
  <c r="L221" i="2"/>
  <c r="I23" i="18" s="1"/>
  <c r="L222" i="2"/>
  <c r="I24" i="18" s="1"/>
  <c r="L241" i="2"/>
  <c r="C18" i="19" s="1"/>
  <c r="L242" i="2"/>
  <c r="C19" i="19" s="1"/>
  <c r="L243" i="2"/>
  <c r="C20" i="19" s="1"/>
  <c r="L244" i="2"/>
  <c r="C21" i="19" s="1"/>
  <c r="L245" i="2"/>
  <c r="C22" i="19" s="1"/>
  <c r="L246" i="2"/>
  <c r="C23" i="19" s="1"/>
  <c r="L247" i="2"/>
  <c r="C24" i="19" s="1"/>
  <c r="L265" i="2"/>
  <c r="E17" i="19" s="1"/>
  <c r="L266" i="2"/>
  <c r="E18" i="19" s="1"/>
  <c r="L267" i="2"/>
  <c r="E19" i="19" s="1"/>
  <c r="L268" i="2"/>
  <c r="E20" i="19" s="1"/>
  <c r="L269" i="2"/>
  <c r="E21" i="19" s="1"/>
  <c r="L270" i="2"/>
  <c r="E22" i="19" s="1"/>
  <c r="L271" i="2"/>
  <c r="E23" i="19" s="1"/>
  <c r="L272" i="2"/>
  <c r="E24" i="19" s="1"/>
  <c r="L290" i="2"/>
  <c r="G17" i="19" s="1"/>
  <c r="L291" i="2"/>
  <c r="G18" i="19" s="1"/>
  <c r="L292" i="2"/>
  <c r="G19" i="19" s="1"/>
  <c r="L293" i="2"/>
  <c r="G20" i="19" s="1"/>
  <c r="L294" i="2"/>
  <c r="G21" i="19" s="1"/>
  <c r="L295" i="2"/>
  <c r="G22" i="19" s="1"/>
  <c r="L296" i="2"/>
  <c r="G23" i="19" s="1"/>
  <c r="L297" i="2"/>
  <c r="G24" i="19" s="1"/>
  <c r="L315" i="2"/>
  <c r="I17" i="19" s="1"/>
  <c r="L316" i="2"/>
  <c r="I18" i="19" s="1"/>
  <c r="L317" i="2"/>
  <c r="I19" i="19" s="1"/>
  <c r="L318" i="2"/>
  <c r="I20" i="19" s="1"/>
  <c r="L319" i="2"/>
  <c r="I21" i="19" s="1"/>
  <c r="L320" i="2"/>
  <c r="I22" i="19" s="1"/>
  <c r="L321" i="2"/>
  <c r="I23" i="19" s="1"/>
  <c r="L322" i="2"/>
  <c r="I24" i="19" s="1"/>
  <c r="L340" i="2"/>
  <c r="K17" i="19" s="1"/>
  <c r="L341" i="2"/>
  <c r="K18" i="19" s="1"/>
  <c r="L342" i="2"/>
  <c r="K19" i="19" s="1"/>
  <c r="L343" i="2"/>
  <c r="K20" i="19" s="1"/>
  <c r="L344" i="2"/>
  <c r="K21" i="19" s="1"/>
  <c r="L345" i="2"/>
  <c r="K22" i="19" s="1"/>
  <c r="L346" i="2"/>
  <c r="K23" i="19" s="1"/>
  <c r="L365" i="2"/>
  <c r="M17" i="19" s="1"/>
  <c r="L366" i="2"/>
  <c r="M18" i="19" s="1"/>
  <c r="L367" i="2"/>
  <c r="M19" i="19" s="1"/>
  <c r="L368" i="2"/>
  <c r="M20" i="19" s="1"/>
  <c r="L369" i="2"/>
  <c r="M21" i="19" s="1"/>
  <c r="L370" i="2"/>
  <c r="M22" i="19" s="1"/>
  <c r="L371" i="2"/>
  <c r="M23" i="19" s="1"/>
  <c r="L372" i="2"/>
  <c r="M24" i="19" s="1"/>
  <c r="O20" i="19" l="1"/>
  <c r="P20" i="19" s="1"/>
  <c r="O23" i="19"/>
  <c r="P23" i="19" s="1"/>
  <c r="O19" i="19"/>
  <c r="P19" i="19" s="1"/>
  <c r="O22" i="19"/>
  <c r="P22" i="19" s="1"/>
  <c r="O18" i="19"/>
  <c r="P18" i="19" s="1"/>
  <c r="O21" i="19"/>
  <c r="P21" i="19" s="1"/>
  <c r="I27" i="2"/>
  <c r="I39" i="2" s="1"/>
  <c r="I52" i="2"/>
  <c r="I56" i="2" s="1"/>
  <c r="I152" i="2"/>
  <c r="L152" i="2" s="1"/>
  <c r="I127" i="2"/>
  <c r="L127" i="2" s="1"/>
  <c r="I102" i="2"/>
  <c r="L102" i="2" s="1"/>
  <c r="I77" i="2"/>
  <c r="L77" i="2" s="1"/>
  <c r="L191" i="2"/>
  <c r="G18" i="18" s="1"/>
  <c r="I177" i="2"/>
  <c r="L177" i="2" s="1"/>
  <c r="I2" i="2"/>
  <c r="K2" i="2" s="1"/>
  <c r="I5" i="2"/>
  <c r="I9" i="2"/>
  <c r="I4" i="2"/>
  <c r="I14" i="2"/>
  <c r="K14" i="2" s="1"/>
  <c r="I11" i="2"/>
  <c r="I6" i="2"/>
  <c r="I3" i="2"/>
  <c r="L3" i="2" s="1"/>
  <c r="C5" i="11" s="1"/>
  <c r="I13" i="2"/>
  <c r="I10" i="2"/>
  <c r="I12" i="2"/>
  <c r="I8" i="2"/>
  <c r="I7" i="2"/>
  <c r="L41" i="2"/>
  <c r="I18" i="11" s="1"/>
  <c r="L347" i="2"/>
  <c r="K24" i="19" s="1"/>
  <c r="O24" i="19" s="1"/>
  <c r="P24" i="19" s="1"/>
  <c r="M45" i="2"/>
  <c r="I22" i="11"/>
  <c r="M44" i="2"/>
  <c r="I21" i="11"/>
  <c r="M43" i="2"/>
  <c r="I20" i="11"/>
  <c r="L42" i="2"/>
  <c r="L165" i="2"/>
  <c r="G17" i="11" s="1"/>
  <c r="L140" i="2"/>
  <c r="E17" i="18" s="1"/>
  <c r="L90" i="2"/>
  <c r="C17" i="18" s="1"/>
  <c r="L327" i="2"/>
  <c r="L227" i="2"/>
  <c r="L202" i="2"/>
  <c r="L16" i="2"/>
  <c r="C18" i="11" s="1"/>
  <c r="L115" i="2"/>
  <c r="E17" i="11" s="1"/>
  <c r="L302" i="2"/>
  <c r="L352" i="2"/>
  <c r="L277" i="2"/>
  <c r="L240" i="2"/>
  <c r="C17" i="19" s="1"/>
  <c r="O17" i="19" s="1"/>
  <c r="P17" i="19" s="1"/>
  <c r="L65" i="2"/>
  <c r="K17" i="11" s="1"/>
  <c r="L252" i="2"/>
  <c r="J228" i="6"/>
  <c r="I59" i="2" l="1"/>
  <c r="I57" i="2"/>
  <c r="M41" i="2"/>
  <c r="I31" i="2"/>
  <c r="I33" i="2"/>
  <c r="I36" i="2"/>
  <c r="I32" i="2"/>
  <c r="I62" i="2"/>
  <c r="I63" i="2"/>
  <c r="I58" i="2"/>
  <c r="I53" i="2"/>
  <c r="K53" i="2" s="1"/>
  <c r="J5" i="11" s="1"/>
  <c r="I28" i="2"/>
  <c r="L2" i="2"/>
  <c r="C4" i="11" s="1"/>
  <c r="L27" i="2"/>
  <c r="I4" i="11" s="1"/>
  <c r="I54" i="2"/>
  <c r="I64" i="2"/>
  <c r="I35" i="2"/>
  <c r="I55" i="2"/>
  <c r="I29" i="2"/>
  <c r="I30" i="2"/>
  <c r="I60" i="2"/>
  <c r="I61" i="2"/>
  <c r="I34" i="2"/>
  <c r="I37" i="2"/>
  <c r="I38" i="2"/>
  <c r="M102" i="2"/>
  <c r="N102" i="2" s="1"/>
  <c r="E4" i="11"/>
  <c r="M327" i="2"/>
  <c r="N327" i="2" s="1"/>
  <c r="K4" i="19"/>
  <c r="M127" i="2"/>
  <c r="N127" i="2" s="1"/>
  <c r="E4" i="18"/>
  <c r="M227" i="2"/>
  <c r="N227" i="2" s="1"/>
  <c r="C4" i="19"/>
  <c r="M352" i="2"/>
  <c r="N352" i="2" s="1"/>
  <c r="M4" i="19"/>
  <c r="M302" i="2"/>
  <c r="N302" i="2" s="1"/>
  <c r="I4" i="19"/>
  <c r="M152" i="2"/>
  <c r="N152" i="2" s="1"/>
  <c r="G4" i="11"/>
  <c r="M277" i="2"/>
  <c r="N277" i="2" s="1"/>
  <c r="G4" i="19"/>
  <c r="M77" i="2"/>
  <c r="N77" i="2" s="1"/>
  <c r="C4" i="18"/>
  <c r="K52" i="2"/>
  <c r="J4" i="11" s="1"/>
  <c r="L52" i="2"/>
  <c r="E4" i="19"/>
  <c r="M252" i="2"/>
  <c r="N252" i="2" s="1"/>
  <c r="M177" i="2"/>
  <c r="N177" i="2" s="1"/>
  <c r="G4" i="18"/>
  <c r="M202" i="2"/>
  <c r="N202" i="2" s="1"/>
  <c r="I4" i="18"/>
  <c r="M42" i="2"/>
  <c r="I19" i="11"/>
  <c r="L10" i="2"/>
  <c r="C12" i="11" s="1"/>
  <c r="L11" i="2"/>
  <c r="C13" i="11" s="1"/>
  <c r="L13" i="2"/>
  <c r="C15" i="11" s="1"/>
  <c r="L4" i="2"/>
  <c r="C6" i="11" s="1"/>
  <c r="L12" i="2"/>
  <c r="C14" i="11" s="1"/>
  <c r="L5" i="2"/>
  <c r="C7" i="11" s="1"/>
  <c r="L7" i="2"/>
  <c r="C9" i="11" s="1"/>
  <c r="L9" i="2"/>
  <c r="C11" i="11" s="1"/>
  <c r="L6" i="2"/>
  <c r="C8" i="11" s="1"/>
  <c r="L14" i="2"/>
  <c r="C16" i="11" s="1"/>
  <c r="L8" i="2"/>
  <c r="C10" i="11" s="1"/>
  <c r="J204" i="6"/>
  <c r="J205" i="6"/>
  <c r="J206" i="6"/>
  <c r="J207" i="6"/>
  <c r="J208" i="6"/>
  <c r="J209" i="6"/>
  <c r="J203" i="6"/>
  <c r="J179" i="6"/>
  <c r="J180" i="6"/>
  <c r="J181" i="6"/>
  <c r="J182" i="6"/>
  <c r="J183" i="6"/>
  <c r="J184" i="6"/>
  <c r="J185" i="6"/>
  <c r="J178" i="6"/>
  <c r="J154" i="6"/>
  <c r="J155" i="6"/>
  <c r="J156" i="6"/>
  <c r="J157" i="6"/>
  <c r="J158" i="6"/>
  <c r="J159" i="6"/>
  <c r="J160" i="6"/>
  <c r="J153" i="6"/>
  <c r="J129" i="6"/>
  <c r="J130" i="6"/>
  <c r="J131" i="6"/>
  <c r="J132" i="6"/>
  <c r="J133" i="6"/>
  <c r="J134" i="6"/>
  <c r="J135" i="6"/>
  <c r="J128" i="6"/>
  <c r="O4" i="19" l="1"/>
  <c r="P4" i="19" s="1"/>
  <c r="M52" i="2"/>
  <c r="N52" i="2" s="1"/>
  <c r="K4" i="11"/>
  <c r="L31" i="2"/>
  <c r="I8" i="11" s="1"/>
  <c r="L39" i="2"/>
  <c r="I16" i="11" s="1"/>
  <c r="L32" i="2"/>
  <c r="I9" i="11" s="1"/>
  <c r="L28" i="2"/>
  <c r="I5" i="11" s="1"/>
  <c r="L33" i="2"/>
  <c r="I10" i="11" s="1"/>
  <c r="L34" i="2"/>
  <c r="I11" i="11" s="1"/>
  <c r="L35" i="2"/>
  <c r="I12" i="11" s="1"/>
  <c r="L36" i="2"/>
  <c r="I13" i="11" s="1"/>
  <c r="L29" i="2"/>
  <c r="I6" i="11" s="1"/>
  <c r="L37" i="2"/>
  <c r="I14" i="11" s="1"/>
  <c r="L30" i="2"/>
  <c r="I7" i="11" s="1"/>
  <c r="L38" i="2"/>
  <c r="I15" i="11" s="1"/>
  <c r="L58" i="2"/>
  <c r="L61" i="2"/>
  <c r="L59" i="2"/>
  <c r="L60" i="2"/>
  <c r="L54" i="2"/>
  <c r="L62" i="2"/>
  <c r="L55" i="2"/>
  <c r="L63" i="2"/>
  <c r="L56" i="2"/>
  <c r="L64" i="2"/>
  <c r="L57" i="2"/>
  <c r="L53" i="2"/>
  <c r="J104" i="6"/>
  <c r="J105" i="6"/>
  <c r="J106" i="6"/>
  <c r="J107" i="6"/>
  <c r="J108" i="6"/>
  <c r="J109" i="6"/>
  <c r="J110" i="6"/>
  <c r="J103" i="6"/>
  <c r="M63" i="2" l="1"/>
  <c r="N63" i="2" s="1"/>
  <c r="K15" i="11"/>
  <c r="M56" i="2"/>
  <c r="N56" i="2" s="1"/>
  <c r="K8" i="11"/>
  <c r="M64" i="2"/>
  <c r="N64" i="2" s="1"/>
  <c r="K16" i="11"/>
  <c r="M58" i="2"/>
  <c r="N58" i="2" s="1"/>
  <c r="K10" i="11"/>
  <c r="K7" i="11"/>
  <c r="M55" i="2"/>
  <c r="N55" i="2" s="1"/>
  <c r="M62" i="2"/>
  <c r="N62" i="2" s="1"/>
  <c r="K14" i="11"/>
  <c r="M54" i="2"/>
  <c r="N54" i="2" s="1"/>
  <c r="K6" i="11"/>
  <c r="M60" i="2"/>
  <c r="N60" i="2" s="1"/>
  <c r="K12" i="11"/>
  <c r="M61" i="2"/>
  <c r="N61" i="2" s="1"/>
  <c r="K13" i="11"/>
  <c r="K5" i="11"/>
  <c r="M53" i="2"/>
  <c r="N53" i="2" s="1"/>
  <c r="M57" i="2"/>
  <c r="N57" i="2" s="1"/>
  <c r="K9" i="11"/>
  <c r="M59" i="2"/>
  <c r="N59" i="2" s="1"/>
  <c r="K11" i="11"/>
  <c r="J79" i="6"/>
  <c r="J80" i="6"/>
  <c r="J81" i="6"/>
  <c r="J82" i="6"/>
  <c r="J83" i="6"/>
  <c r="J84" i="6"/>
  <c r="J85" i="6"/>
  <c r="J78" i="6"/>
  <c r="J4" i="6"/>
  <c r="J5" i="6"/>
  <c r="J6" i="6"/>
  <c r="J7" i="6"/>
  <c r="J8" i="6"/>
  <c r="J9" i="6"/>
  <c r="J10" i="6"/>
  <c r="J3" i="6"/>
  <c r="I11" i="6"/>
  <c r="I12" i="6"/>
  <c r="I13" i="6"/>
  <c r="I14" i="6"/>
  <c r="I15" i="6"/>
  <c r="I16" i="6"/>
  <c r="I17" i="6"/>
  <c r="I18" i="6"/>
  <c r="I19" i="6"/>
  <c r="I20" i="6"/>
  <c r="I21" i="6"/>
  <c r="I22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311" i="6"/>
  <c r="I312" i="6"/>
  <c r="I313" i="6"/>
  <c r="I314" i="6"/>
  <c r="I315" i="6"/>
  <c r="I316" i="6"/>
  <c r="I317" i="6"/>
  <c r="I318" i="6"/>
  <c r="I319" i="6"/>
  <c r="I320" i="6"/>
  <c r="I322" i="6"/>
  <c r="I323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" i="6" l="1"/>
  <c r="C373" i="6"/>
  <c r="B373" i="6"/>
  <c r="A373" i="6"/>
  <c r="K372" i="6"/>
  <c r="L372" i="6" s="1"/>
  <c r="C372" i="6"/>
  <c r="B372" i="6"/>
  <c r="A372" i="6"/>
  <c r="C371" i="6"/>
  <c r="B371" i="6"/>
  <c r="A371" i="6"/>
  <c r="K370" i="6"/>
  <c r="L370" i="6" s="1"/>
  <c r="C370" i="6"/>
  <c r="B370" i="6"/>
  <c r="A370" i="6"/>
  <c r="C369" i="6"/>
  <c r="B369" i="6"/>
  <c r="A369" i="6"/>
  <c r="K368" i="6"/>
  <c r="L368" i="6" s="1"/>
  <c r="C368" i="6"/>
  <c r="B368" i="6"/>
  <c r="A368" i="6"/>
  <c r="C367" i="6"/>
  <c r="B367" i="6"/>
  <c r="A367" i="6"/>
  <c r="K366" i="6"/>
  <c r="L366" i="6" s="1"/>
  <c r="C366" i="6"/>
  <c r="B366" i="6"/>
  <c r="A366" i="6"/>
  <c r="C365" i="6"/>
  <c r="B365" i="6"/>
  <c r="A365" i="6"/>
  <c r="C364" i="6"/>
  <c r="B364" i="6"/>
  <c r="A364" i="6"/>
  <c r="C363" i="6"/>
  <c r="B363" i="6"/>
  <c r="A363" i="6"/>
  <c r="K362" i="6"/>
  <c r="L362" i="6" s="1"/>
  <c r="C362" i="6"/>
  <c r="B362" i="6"/>
  <c r="A362" i="6"/>
  <c r="C361" i="6"/>
  <c r="B361" i="6"/>
  <c r="A361" i="6"/>
  <c r="I360" i="6"/>
  <c r="C360" i="6"/>
  <c r="B360" i="6"/>
  <c r="A360" i="6"/>
  <c r="C359" i="6"/>
  <c r="B359" i="6"/>
  <c r="A359" i="6"/>
  <c r="C358" i="6"/>
  <c r="B358" i="6"/>
  <c r="A358" i="6"/>
  <c r="C357" i="6"/>
  <c r="B357" i="6"/>
  <c r="A357" i="6"/>
  <c r="C356" i="6"/>
  <c r="B356" i="6"/>
  <c r="A356" i="6"/>
  <c r="C355" i="6"/>
  <c r="B355" i="6"/>
  <c r="A355" i="6"/>
  <c r="C354" i="6"/>
  <c r="B354" i="6"/>
  <c r="A354" i="6"/>
  <c r="C353" i="6"/>
  <c r="B353" i="6"/>
  <c r="A353" i="6"/>
  <c r="C348" i="6"/>
  <c r="B348" i="6"/>
  <c r="A348" i="6"/>
  <c r="C347" i="6"/>
  <c r="B347" i="6"/>
  <c r="A347" i="6"/>
  <c r="K346" i="6"/>
  <c r="L346" i="6" s="1"/>
  <c r="C346" i="6"/>
  <c r="B346" i="6"/>
  <c r="A346" i="6"/>
  <c r="C345" i="6"/>
  <c r="B345" i="6"/>
  <c r="A345" i="6"/>
  <c r="C344" i="6"/>
  <c r="B344" i="6"/>
  <c r="A344" i="6"/>
  <c r="C343" i="6"/>
  <c r="B343" i="6"/>
  <c r="A343" i="6"/>
  <c r="C342" i="6"/>
  <c r="B342" i="6"/>
  <c r="A342" i="6"/>
  <c r="C341" i="6"/>
  <c r="B341" i="6"/>
  <c r="A341" i="6"/>
  <c r="K340" i="6"/>
  <c r="L340" i="6" s="1"/>
  <c r="C340" i="6"/>
  <c r="B340" i="6"/>
  <c r="A340" i="6"/>
  <c r="C339" i="6"/>
  <c r="B339" i="6"/>
  <c r="A339" i="6"/>
  <c r="C338" i="6"/>
  <c r="B338" i="6"/>
  <c r="A338" i="6"/>
  <c r="C337" i="6"/>
  <c r="B337" i="6"/>
  <c r="A337" i="6"/>
  <c r="C336" i="6"/>
  <c r="B336" i="6"/>
  <c r="A336" i="6"/>
  <c r="C335" i="6"/>
  <c r="B335" i="6"/>
  <c r="A335" i="6"/>
  <c r="I334" i="6"/>
  <c r="C334" i="6"/>
  <c r="B334" i="6"/>
  <c r="A334" i="6"/>
  <c r="C333" i="6"/>
  <c r="B333" i="6"/>
  <c r="A333" i="6"/>
  <c r="I332" i="6"/>
  <c r="C332" i="6"/>
  <c r="B332" i="6"/>
  <c r="A332" i="6"/>
  <c r="C331" i="6"/>
  <c r="B331" i="6"/>
  <c r="A331" i="6"/>
  <c r="K330" i="6"/>
  <c r="L330" i="6" s="1"/>
  <c r="C330" i="6"/>
  <c r="B330" i="6"/>
  <c r="A330" i="6"/>
  <c r="C329" i="6"/>
  <c r="B329" i="6"/>
  <c r="A329" i="6"/>
  <c r="C328" i="6"/>
  <c r="B328" i="6"/>
  <c r="A328" i="6"/>
  <c r="C323" i="6"/>
  <c r="B323" i="6"/>
  <c r="A323" i="6"/>
  <c r="K322" i="6"/>
  <c r="L322" i="6" s="1"/>
  <c r="C322" i="6"/>
  <c r="B322" i="6"/>
  <c r="A322" i="6"/>
  <c r="C321" i="6"/>
  <c r="B321" i="6"/>
  <c r="A321" i="6"/>
  <c r="K320" i="6"/>
  <c r="L320" i="6" s="1"/>
  <c r="C320" i="6"/>
  <c r="B320" i="6"/>
  <c r="A320" i="6"/>
  <c r="C319" i="6"/>
  <c r="B319" i="6"/>
  <c r="A319" i="6"/>
  <c r="K318" i="6"/>
  <c r="L318" i="6" s="1"/>
  <c r="C318" i="6"/>
  <c r="B318" i="6"/>
  <c r="A318" i="6"/>
  <c r="C317" i="6"/>
  <c r="B317" i="6"/>
  <c r="A317" i="6"/>
  <c r="C316" i="6"/>
  <c r="B316" i="6"/>
  <c r="A316" i="6"/>
  <c r="C315" i="6"/>
  <c r="B315" i="6"/>
  <c r="A315" i="6"/>
  <c r="C314" i="6"/>
  <c r="B314" i="6"/>
  <c r="A314" i="6"/>
  <c r="C313" i="6"/>
  <c r="B313" i="6"/>
  <c r="A313" i="6"/>
  <c r="K312" i="6"/>
  <c r="L312" i="6" s="1"/>
  <c r="C312" i="6"/>
  <c r="B312" i="6"/>
  <c r="A312" i="6"/>
  <c r="C311" i="6"/>
  <c r="B311" i="6"/>
  <c r="A311" i="6"/>
  <c r="C310" i="6"/>
  <c r="B310" i="6"/>
  <c r="A310" i="6"/>
  <c r="C309" i="6"/>
  <c r="B309" i="6"/>
  <c r="A309" i="6"/>
  <c r="I308" i="6"/>
  <c r="C308" i="6"/>
  <c r="B308" i="6"/>
  <c r="A308" i="6"/>
  <c r="C307" i="6"/>
  <c r="B307" i="6"/>
  <c r="A307" i="6"/>
  <c r="C306" i="6"/>
  <c r="B306" i="6"/>
  <c r="A306" i="6"/>
  <c r="C305" i="6"/>
  <c r="B305" i="6"/>
  <c r="A305" i="6"/>
  <c r="C304" i="6"/>
  <c r="B304" i="6"/>
  <c r="A304" i="6"/>
  <c r="C303" i="6"/>
  <c r="B303" i="6"/>
  <c r="A303" i="6"/>
  <c r="C298" i="6"/>
  <c r="B298" i="6"/>
  <c r="A298" i="6"/>
  <c r="C297" i="6"/>
  <c r="B297" i="6"/>
  <c r="A297" i="6"/>
  <c r="C296" i="6"/>
  <c r="B296" i="6"/>
  <c r="A296" i="6"/>
  <c r="C295" i="6"/>
  <c r="B295" i="6"/>
  <c r="A295" i="6"/>
  <c r="C294" i="6"/>
  <c r="B294" i="6"/>
  <c r="A294" i="6"/>
  <c r="C293" i="6"/>
  <c r="B293" i="6"/>
  <c r="A293" i="6"/>
  <c r="C292" i="6"/>
  <c r="B292" i="6"/>
  <c r="A292" i="6"/>
  <c r="C291" i="6"/>
  <c r="B291" i="6"/>
  <c r="A291" i="6"/>
  <c r="C290" i="6"/>
  <c r="B290" i="6"/>
  <c r="A290" i="6"/>
  <c r="C289" i="6"/>
  <c r="B289" i="6"/>
  <c r="A289" i="6"/>
  <c r="C288" i="6"/>
  <c r="B288" i="6"/>
  <c r="A288" i="6"/>
  <c r="C287" i="6"/>
  <c r="B287" i="6"/>
  <c r="A287" i="6"/>
  <c r="C286" i="6"/>
  <c r="B286" i="6"/>
  <c r="A286" i="6"/>
  <c r="C285" i="6"/>
  <c r="B285" i="6"/>
  <c r="A285" i="6"/>
  <c r="I284" i="6"/>
  <c r="C284" i="6"/>
  <c r="B284" i="6"/>
  <c r="A284" i="6"/>
  <c r="C283" i="6"/>
  <c r="B283" i="6"/>
  <c r="A283" i="6"/>
  <c r="C282" i="6"/>
  <c r="B282" i="6"/>
  <c r="A282" i="6"/>
  <c r="C281" i="6"/>
  <c r="B281" i="6"/>
  <c r="A281" i="6"/>
  <c r="I280" i="6"/>
  <c r="C280" i="6"/>
  <c r="B280" i="6"/>
  <c r="A280" i="6"/>
  <c r="C279" i="6"/>
  <c r="B279" i="6"/>
  <c r="A279" i="6"/>
  <c r="C278" i="6"/>
  <c r="B278" i="6"/>
  <c r="A278" i="6"/>
  <c r="K273" i="6"/>
  <c r="L273" i="6" s="1"/>
  <c r="C273" i="6"/>
  <c r="B273" i="6"/>
  <c r="A273" i="6"/>
  <c r="C272" i="6"/>
  <c r="B272" i="6"/>
  <c r="A272" i="6"/>
  <c r="C271" i="6"/>
  <c r="B271" i="6"/>
  <c r="A271" i="6"/>
  <c r="C270" i="6"/>
  <c r="B270" i="6"/>
  <c r="A270" i="6"/>
  <c r="C269" i="6"/>
  <c r="B269" i="6"/>
  <c r="A269" i="6"/>
  <c r="C268" i="6"/>
  <c r="B268" i="6"/>
  <c r="A268" i="6"/>
  <c r="K267" i="6"/>
  <c r="L267" i="6" s="1"/>
  <c r="C267" i="6"/>
  <c r="B267" i="6"/>
  <c r="A267" i="6"/>
  <c r="C266" i="6"/>
  <c r="B266" i="6"/>
  <c r="A266" i="6"/>
  <c r="K265" i="6"/>
  <c r="L265" i="6" s="1"/>
  <c r="C265" i="6"/>
  <c r="B265" i="6"/>
  <c r="A265" i="6"/>
  <c r="C264" i="6"/>
  <c r="B264" i="6"/>
  <c r="A264" i="6"/>
  <c r="K263" i="6"/>
  <c r="L263" i="6" s="1"/>
  <c r="C263" i="6"/>
  <c r="B263" i="6"/>
  <c r="A263" i="6"/>
  <c r="C262" i="6"/>
  <c r="B262" i="6"/>
  <c r="A262" i="6"/>
  <c r="C261" i="6"/>
  <c r="B261" i="6"/>
  <c r="A261" i="6"/>
  <c r="C260" i="6"/>
  <c r="B260" i="6"/>
  <c r="A260" i="6"/>
  <c r="K259" i="6"/>
  <c r="L259" i="6" s="1"/>
  <c r="C259" i="6"/>
  <c r="B259" i="6"/>
  <c r="A259" i="6"/>
  <c r="C258" i="6"/>
  <c r="B258" i="6"/>
  <c r="A258" i="6"/>
  <c r="C257" i="6"/>
  <c r="B257" i="6"/>
  <c r="A257" i="6"/>
  <c r="C256" i="6"/>
  <c r="B256" i="6"/>
  <c r="A256" i="6"/>
  <c r="C255" i="6"/>
  <c r="B255" i="6"/>
  <c r="A255" i="6"/>
  <c r="C254" i="6"/>
  <c r="B254" i="6"/>
  <c r="A254" i="6"/>
  <c r="C253" i="6"/>
  <c r="B253" i="6"/>
  <c r="A253" i="6"/>
  <c r="C248" i="6"/>
  <c r="B248" i="6"/>
  <c r="A248" i="6"/>
  <c r="K247" i="6"/>
  <c r="L247" i="6" s="1"/>
  <c r="C247" i="6"/>
  <c r="B247" i="6"/>
  <c r="A247" i="6"/>
  <c r="C246" i="6"/>
  <c r="B246" i="6"/>
  <c r="A246" i="6"/>
  <c r="C245" i="6"/>
  <c r="B245" i="6"/>
  <c r="A245" i="6"/>
  <c r="C244" i="6"/>
  <c r="B244" i="6"/>
  <c r="A244" i="6"/>
  <c r="C243" i="6"/>
  <c r="B243" i="6"/>
  <c r="A243" i="6"/>
  <c r="C242" i="6"/>
  <c r="B242" i="6"/>
  <c r="A242" i="6"/>
  <c r="C241" i="6"/>
  <c r="B241" i="6"/>
  <c r="A241" i="6"/>
  <c r="C240" i="6"/>
  <c r="B240" i="6"/>
  <c r="A240" i="6"/>
  <c r="K239" i="6"/>
  <c r="L239" i="6" s="1"/>
  <c r="C239" i="6"/>
  <c r="B239" i="6"/>
  <c r="A239" i="6"/>
  <c r="C238" i="6"/>
  <c r="B238" i="6"/>
  <c r="A238" i="6"/>
  <c r="K237" i="6"/>
  <c r="L237" i="6" s="1"/>
  <c r="C237" i="6"/>
  <c r="B237" i="6"/>
  <c r="A237" i="6"/>
  <c r="C236" i="6"/>
  <c r="B236" i="6"/>
  <c r="A236" i="6"/>
  <c r="C235" i="6"/>
  <c r="B235" i="6"/>
  <c r="A235" i="6"/>
  <c r="C234" i="6"/>
  <c r="B234" i="6"/>
  <c r="A234" i="6"/>
  <c r="C233" i="6"/>
  <c r="B233" i="6"/>
  <c r="A233" i="6"/>
  <c r="I232" i="6"/>
  <c r="C232" i="6"/>
  <c r="B232" i="6"/>
  <c r="A232" i="6"/>
  <c r="C231" i="6"/>
  <c r="B231" i="6"/>
  <c r="A231" i="6"/>
  <c r="C230" i="6"/>
  <c r="B230" i="6"/>
  <c r="A230" i="6"/>
  <c r="I229" i="6"/>
  <c r="C229" i="6"/>
  <c r="B229" i="6"/>
  <c r="A229" i="6"/>
  <c r="C228" i="6"/>
  <c r="B228" i="6"/>
  <c r="A228" i="6"/>
  <c r="C223" i="6"/>
  <c r="B223" i="6"/>
  <c r="A223" i="6"/>
  <c r="C222" i="6"/>
  <c r="B222" i="6"/>
  <c r="A222" i="6"/>
  <c r="C221" i="6"/>
  <c r="B221" i="6"/>
  <c r="A221" i="6"/>
  <c r="C220" i="6"/>
  <c r="B220" i="6"/>
  <c r="A220" i="6"/>
  <c r="C219" i="6"/>
  <c r="B219" i="6"/>
  <c r="A219" i="6"/>
  <c r="K218" i="6"/>
  <c r="L218" i="6" s="1"/>
  <c r="C218" i="6"/>
  <c r="B218" i="6"/>
  <c r="A218" i="6"/>
  <c r="C217" i="6"/>
  <c r="B217" i="6"/>
  <c r="A217" i="6"/>
  <c r="C216" i="6"/>
  <c r="B216" i="6"/>
  <c r="A216" i="6"/>
  <c r="C215" i="6"/>
  <c r="B215" i="6"/>
  <c r="A215" i="6"/>
  <c r="K214" i="6"/>
  <c r="L214" i="6" s="1"/>
  <c r="C214" i="6"/>
  <c r="B214" i="6"/>
  <c r="A214" i="6"/>
  <c r="C213" i="6"/>
  <c r="B213" i="6"/>
  <c r="A213" i="6"/>
  <c r="K212" i="6"/>
  <c r="L212" i="6" s="1"/>
  <c r="C212" i="6"/>
  <c r="B212" i="6"/>
  <c r="A212" i="6"/>
  <c r="C211" i="6"/>
  <c r="B211" i="6"/>
  <c r="A211" i="6"/>
  <c r="C210" i="6"/>
  <c r="B210" i="6"/>
  <c r="A210" i="6"/>
  <c r="C209" i="6"/>
  <c r="B209" i="6"/>
  <c r="A209" i="6"/>
  <c r="C208" i="6"/>
  <c r="B208" i="6"/>
  <c r="A208" i="6"/>
  <c r="C207" i="6"/>
  <c r="B207" i="6"/>
  <c r="A207" i="6"/>
  <c r="K206" i="6"/>
  <c r="L206" i="6" s="1"/>
  <c r="C206" i="6"/>
  <c r="B206" i="6"/>
  <c r="A206" i="6"/>
  <c r="I205" i="6"/>
  <c r="C205" i="6"/>
  <c r="B205" i="6"/>
  <c r="A205" i="6"/>
  <c r="K204" i="6"/>
  <c r="L204" i="6" s="1"/>
  <c r="C204" i="6"/>
  <c r="B204" i="6"/>
  <c r="A204" i="6"/>
  <c r="C203" i="6"/>
  <c r="B203" i="6"/>
  <c r="A203" i="6"/>
  <c r="C198" i="6"/>
  <c r="B198" i="6"/>
  <c r="A198" i="6"/>
  <c r="C197" i="6"/>
  <c r="B197" i="6"/>
  <c r="A197" i="6"/>
  <c r="C196" i="6"/>
  <c r="B196" i="6"/>
  <c r="A196" i="6"/>
  <c r="C195" i="6"/>
  <c r="B195" i="6"/>
  <c r="A195" i="6"/>
  <c r="C194" i="6"/>
  <c r="B194" i="6"/>
  <c r="A194" i="6"/>
  <c r="C193" i="6"/>
  <c r="B193" i="6"/>
  <c r="A193" i="6"/>
  <c r="K192" i="6"/>
  <c r="L192" i="6" s="1"/>
  <c r="C192" i="6"/>
  <c r="B192" i="6"/>
  <c r="A192" i="6"/>
  <c r="C191" i="6"/>
  <c r="B191" i="6"/>
  <c r="A191" i="6"/>
  <c r="C190" i="6"/>
  <c r="B190" i="6"/>
  <c r="A190" i="6"/>
  <c r="C189" i="6"/>
  <c r="B189" i="6"/>
  <c r="A189" i="6"/>
  <c r="C188" i="6"/>
  <c r="B188" i="6"/>
  <c r="A188" i="6"/>
  <c r="C187" i="6"/>
  <c r="B187" i="6"/>
  <c r="A187" i="6"/>
  <c r="C186" i="6"/>
  <c r="B186" i="6"/>
  <c r="A186" i="6"/>
  <c r="I185" i="6"/>
  <c r="C185" i="6"/>
  <c r="B185" i="6"/>
  <c r="A185" i="6"/>
  <c r="C184" i="6"/>
  <c r="B184" i="6"/>
  <c r="A184" i="6"/>
  <c r="C183" i="6"/>
  <c r="B183" i="6"/>
  <c r="A183" i="6"/>
  <c r="C182" i="6"/>
  <c r="B182" i="6"/>
  <c r="A182" i="6"/>
  <c r="C181" i="6"/>
  <c r="B181" i="6"/>
  <c r="A181" i="6"/>
  <c r="C180" i="6"/>
  <c r="B180" i="6"/>
  <c r="A180" i="6"/>
  <c r="C179" i="6"/>
  <c r="B179" i="6"/>
  <c r="A179" i="6"/>
  <c r="C178" i="6"/>
  <c r="B178" i="6"/>
  <c r="A178" i="6"/>
  <c r="C173" i="6"/>
  <c r="B173" i="6"/>
  <c r="A173" i="6"/>
  <c r="K172" i="6"/>
  <c r="L172" i="6" s="1"/>
  <c r="C172" i="6"/>
  <c r="B172" i="6"/>
  <c r="A172" i="6"/>
  <c r="C171" i="6"/>
  <c r="B171" i="6"/>
  <c r="A171" i="6"/>
  <c r="C170" i="6"/>
  <c r="B170" i="6"/>
  <c r="A170" i="6"/>
  <c r="C169" i="6"/>
  <c r="B169" i="6"/>
  <c r="A169" i="6"/>
  <c r="C168" i="6"/>
  <c r="B168" i="6"/>
  <c r="A168" i="6"/>
  <c r="C167" i="6"/>
  <c r="B167" i="6"/>
  <c r="A167" i="6"/>
  <c r="C166" i="6"/>
  <c r="B166" i="6"/>
  <c r="A166" i="6"/>
  <c r="C165" i="6"/>
  <c r="B165" i="6"/>
  <c r="A165" i="6"/>
  <c r="K164" i="6"/>
  <c r="L164" i="6" s="1"/>
  <c r="C164" i="6"/>
  <c r="B164" i="6"/>
  <c r="A164" i="6"/>
  <c r="C163" i="6"/>
  <c r="B163" i="6"/>
  <c r="A163" i="6"/>
  <c r="C162" i="6"/>
  <c r="B162" i="6"/>
  <c r="A162" i="6"/>
  <c r="C161" i="6"/>
  <c r="B161" i="6"/>
  <c r="A161" i="6"/>
  <c r="K160" i="6"/>
  <c r="L160" i="6" s="1"/>
  <c r="C160" i="6"/>
  <c r="B160" i="6"/>
  <c r="A160" i="6"/>
  <c r="I159" i="6"/>
  <c r="C159" i="6"/>
  <c r="B159" i="6"/>
  <c r="A159" i="6"/>
  <c r="C158" i="6"/>
  <c r="B158" i="6"/>
  <c r="A158" i="6"/>
  <c r="C157" i="6"/>
  <c r="B157" i="6"/>
  <c r="A157" i="6"/>
  <c r="C156" i="6"/>
  <c r="B156" i="6"/>
  <c r="A156" i="6"/>
  <c r="C155" i="6"/>
  <c r="B155" i="6"/>
  <c r="A155" i="6"/>
  <c r="C154" i="6"/>
  <c r="B154" i="6"/>
  <c r="A154" i="6"/>
  <c r="K153" i="6"/>
  <c r="L153" i="6" s="1"/>
  <c r="I153" i="6"/>
  <c r="C153" i="6"/>
  <c r="B153" i="6"/>
  <c r="A153" i="6"/>
  <c r="C148" i="6"/>
  <c r="B148" i="6"/>
  <c r="A148" i="6"/>
  <c r="C147" i="6"/>
  <c r="B147" i="6"/>
  <c r="A147" i="6"/>
  <c r="C146" i="6"/>
  <c r="B146" i="6"/>
  <c r="A146" i="6"/>
  <c r="C145" i="6"/>
  <c r="B145" i="6"/>
  <c r="A145" i="6"/>
  <c r="C144" i="6"/>
  <c r="B144" i="6"/>
  <c r="A144" i="6"/>
  <c r="K143" i="6"/>
  <c r="L143" i="6" s="1"/>
  <c r="C143" i="6"/>
  <c r="B143" i="6"/>
  <c r="A143" i="6"/>
  <c r="C142" i="6"/>
  <c r="B142" i="6"/>
  <c r="A142" i="6"/>
  <c r="C141" i="6"/>
  <c r="B141" i="6"/>
  <c r="A141" i="6"/>
  <c r="K140" i="6"/>
  <c r="L140" i="6" s="1"/>
  <c r="C140" i="6"/>
  <c r="B140" i="6"/>
  <c r="A140" i="6"/>
  <c r="C139" i="6"/>
  <c r="B139" i="6"/>
  <c r="A139" i="6"/>
  <c r="C138" i="6"/>
  <c r="B138" i="6"/>
  <c r="A138" i="6"/>
  <c r="C137" i="6"/>
  <c r="B137" i="6"/>
  <c r="A137" i="6"/>
  <c r="C136" i="6"/>
  <c r="B136" i="6"/>
  <c r="A136" i="6"/>
  <c r="I135" i="6"/>
  <c r="C135" i="6"/>
  <c r="B135" i="6"/>
  <c r="A135" i="6"/>
  <c r="C134" i="6"/>
  <c r="B134" i="6"/>
  <c r="A134" i="6"/>
  <c r="I133" i="6"/>
  <c r="C133" i="6"/>
  <c r="B133" i="6"/>
  <c r="A133" i="6"/>
  <c r="K132" i="6"/>
  <c r="L132" i="6" s="1"/>
  <c r="C132" i="6"/>
  <c r="B132" i="6"/>
  <c r="A132" i="6"/>
  <c r="C131" i="6"/>
  <c r="B131" i="6"/>
  <c r="A131" i="6"/>
  <c r="C130" i="6"/>
  <c r="B130" i="6"/>
  <c r="A130" i="6"/>
  <c r="C129" i="6"/>
  <c r="B129" i="6"/>
  <c r="A129" i="6"/>
  <c r="I128" i="6"/>
  <c r="C128" i="6"/>
  <c r="B128" i="6"/>
  <c r="A128" i="6"/>
  <c r="C123" i="6"/>
  <c r="B123" i="6"/>
  <c r="A123" i="6"/>
  <c r="C122" i="6"/>
  <c r="B122" i="6"/>
  <c r="A122" i="6"/>
  <c r="C121" i="6"/>
  <c r="B121" i="6"/>
  <c r="A121" i="6"/>
  <c r="C120" i="6"/>
  <c r="B120" i="6"/>
  <c r="A120" i="6"/>
  <c r="C119" i="6"/>
  <c r="B119" i="6"/>
  <c r="A119" i="6"/>
  <c r="C118" i="6"/>
  <c r="B118" i="6"/>
  <c r="A118" i="6"/>
  <c r="K117" i="6"/>
  <c r="L117" i="6" s="1"/>
  <c r="C117" i="6"/>
  <c r="B117" i="6"/>
  <c r="A117" i="6"/>
  <c r="C116" i="6"/>
  <c r="B116" i="6"/>
  <c r="A116" i="6"/>
  <c r="C115" i="6"/>
  <c r="B115" i="6"/>
  <c r="A115" i="6"/>
  <c r="C114" i="6"/>
  <c r="B114" i="6"/>
  <c r="A114" i="6"/>
  <c r="C113" i="6"/>
  <c r="B113" i="6"/>
  <c r="A113" i="6"/>
  <c r="C112" i="6"/>
  <c r="B112" i="6"/>
  <c r="A112" i="6"/>
  <c r="K61" i="6"/>
  <c r="L61" i="6" s="1"/>
  <c r="C111" i="6"/>
  <c r="B111" i="6"/>
  <c r="A111" i="6"/>
  <c r="C110" i="6"/>
  <c r="B110" i="6"/>
  <c r="A110" i="6"/>
  <c r="I109" i="6"/>
  <c r="C109" i="6"/>
  <c r="B109" i="6"/>
  <c r="A109" i="6"/>
  <c r="C108" i="6"/>
  <c r="B108" i="6"/>
  <c r="A108" i="6"/>
  <c r="I107" i="6"/>
  <c r="C107" i="6"/>
  <c r="B107" i="6"/>
  <c r="A107" i="6"/>
  <c r="I106" i="6"/>
  <c r="C106" i="6"/>
  <c r="B106" i="6"/>
  <c r="A106" i="6"/>
  <c r="C105" i="6"/>
  <c r="B105" i="6"/>
  <c r="A105" i="6"/>
  <c r="C104" i="6"/>
  <c r="B104" i="6"/>
  <c r="A104" i="6"/>
  <c r="C103" i="6"/>
  <c r="B103" i="6"/>
  <c r="A103" i="6"/>
  <c r="C98" i="6"/>
  <c r="B98" i="6"/>
  <c r="A98" i="6"/>
  <c r="C97" i="6"/>
  <c r="B97" i="6"/>
  <c r="A97" i="6"/>
  <c r="C96" i="6"/>
  <c r="B96" i="6"/>
  <c r="A96" i="6"/>
  <c r="C95" i="6"/>
  <c r="B95" i="6"/>
  <c r="A95" i="6"/>
  <c r="C94" i="6"/>
  <c r="B94" i="6"/>
  <c r="A94" i="6"/>
  <c r="C93" i="6"/>
  <c r="B93" i="6"/>
  <c r="A93" i="6"/>
  <c r="C92" i="6"/>
  <c r="B92" i="6"/>
  <c r="A92" i="6"/>
  <c r="K91" i="6"/>
  <c r="L91" i="6" s="1"/>
  <c r="C91" i="6"/>
  <c r="B91" i="6"/>
  <c r="A91" i="6"/>
  <c r="C90" i="6"/>
  <c r="B90" i="6"/>
  <c r="A90" i="6"/>
  <c r="C89" i="6"/>
  <c r="B89" i="6"/>
  <c r="A89" i="6"/>
  <c r="C88" i="6"/>
  <c r="B88" i="6"/>
  <c r="A88" i="6"/>
  <c r="C87" i="6"/>
  <c r="B87" i="6"/>
  <c r="A87" i="6"/>
  <c r="C86" i="6"/>
  <c r="B86" i="6"/>
  <c r="A86" i="6"/>
  <c r="C85" i="6"/>
  <c r="B85" i="6"/>
  <c r="A85" i="6"/>
  <c r="C84" i="6"/>
  <c r="B84" i="6"/>
  <c r="A84" i="6"/>
  <c r="C83" i="6"/>
  <c r="B83" i="6"/>
  <c r="A83" i="6"/>
  <c r="I82" i="6"/>
  <c r="C82" i="6"/>
  <c r="B82" i="6"/>
  <c r="A82" i="6"/>
  <c r="C81" i="6"/>
  <c r="B81" i="6"/>
  <c r="A81" i="6"/>
  <c r="C80" i="6"/>
  <c r="B80" i="6"/>
  <c r="A80" i="6"/>
  <c r="I79" i="6"/>
  <c r="C79" i="6"/>
  <c r="B79" i="6"/>
  <c r="A79" i="6"/>
  <c r="C78" i="6"/>
  <c r="B78" i="6"/>
  <c r="A78" i="6"/>
  <c r="C73" i="6"/>
  <c r="B73" i="6"/>
  <c r="A73" i="6"/>
  <c r="C72" i="6"/>
  <c r="B72" i="6"/>
  <c r="A72" i="6"/>
  <c r="C71" i="6"/>
  <c r="B71" i="6"/>
  <c r="A71" i="6"/>
  <c r="C70" i="6"/>
  <c r="B70" i="6"/>
  <c r="A70" i="6"/>
  <c r="C69" i="6"/>
  <c r="B69" i="6"/>
  <c r="A69" i="6"/>
  <c r="C68" i="6"/>
  <c r="B68" i="6"/>
  <c r="A68" i="6"/>
  <c r="C67" i="6"/>
  <c r="B67" i="6"/>
  <c r="A67" i="6"/>
  <c r="C66" i="6"/>
  <c r="B66" i="6"/>
  <c r="A66" i="6"/>
  <c r="C65" i="6"/>
  <c r="B65" i="6"/>
  <c r="A65" i="6"/>
  <c r="C64" i="6"/>
  <c r="B64" i="6"/>
  <c r="A64" i="6"/>
  <c r="C63" i="6"/>
  <c r="B63" i="6"/>
  <c r="A63" i="6"/>
  <c r="C62" i="6"/>
  <c r="B62" i="6"/>
  <c r="A62" i="6"/>
  <c r="C61" i="6"/>
  <c r="B61" i="6"/>
  <c r="A61" i="6"/>
  <c r="C60" i="6"/>
  <c r="B60" i="6"/>
  <c r="A60" i="6"/>
  <c r="C59" i="6"/>
  <c r="B59" i="6"/>
  <c r="A59" i="6"/>
  <c r="C58" i="6"/>
  <c r="B58" i="6"/>
  <c r="A58" i="6"/>
  <c r="C57" i="6"/>
  <c r="B57" i="6"/>
  <c r="A57" i="6"/>
  <c r="C56" i="6"/>
  <c r="B56" i="6"/>
  <c r="A56" i="6"/>
  <c r="C55" i="6"/>
  <c r="B55" i="6"/>
  <c r="A55" i="6"/>
  <c r="C54" i="6"/>
  <c r="B54" i="6"/>
  <c r="A54" i="6"/>
  <c r="C53" i="6"/>
  <c r="B53" i="6"/>
  <c r="A53" i="6"/>
  <c r="C48" i="6"/>
  <c r="B48" i="6"/>
  <c r="A48" i="6"/>
  <c r="C47" i="6"/>
  <c r="B47" i="6"/>
  <c r="A47" i="6"/>
  <c r="C46" i="6"/>
  <c r="B46" i="6"/>
  <c r="A46" i="6"/>
  <c r="C45" i="6"/>
  <c r="B45" i="6"/>
  <c r="A45" i="6"/>
  <c r="C44" i="6"/>
  <c r="B44" i="6"/>
  <c r="A44" i="6"/>
  <c r="C43" i="6"/>
  <c r="B43" i="6"/>
  <c r="A43" i="6"/>
  <c r="C42" i="6"/>
  <c r="B42" i="6"/>
  <c r="A42" i="6"/>
  <c r="C41" i="6"/>
  <c r="B41" i="6"/>
  <c r="A41" i="6"/>
  <c r="C40" i="6"/>
  <c r="B40" i="6"/>
  <c r="A40" i="6"/>
  <c r="C39" i="6"/>
  <c r="B39" i="6"/>
  <c r="A39" i="6"/>
  <c r="C38" i="6"/>
  <c r="B38" i="6"/>
  <c r="A38" i="6"/>
  <c r="C37" i="6"/>
  <c r="B37" i="6"/>
  <c r="A37" i="6"/>
  <c r="C36" i="6"/>
  <c r="B36" i="6"/>
  <c r="A36" i="6"/>
  <c r="C35" i="6"/>
  <c r="B35" i="6"/>
  <c r="A35" i="6"/>
  <c r="C34" i="6"/>
  <c r="B34" i="6"/>
  <c r="A34" i="6"/>
  <c r="C33" i="6"/>
  <c r="B33" i="6"/>
  <c r="A33" i="6"/>
  <c r="I32" i="6"/>
  <c r="C32" i="6"/>
  <c r="B32" i="6"/>
  <c r="A32" i="6"/>
  <c r="I31" i="6"/>
  <c r="C31" i="6"/>
  <c r="B31" i="6"/>
  <c r="A31" i="6"/>
  <c r="C30" i="6"/>
  <c r="B30" i="6"/>
  <c r="A30" i="6"/>
  <c r="C29" i="6"/>
  <c r="B29" i="6"/>
  <c r="A29" i="6"/>
  <c r="C28" i="6"/>
  <c r="B28" i="6"/>
  <c r="A28" i="6"/>
  <c r="C23" i="6"/>
  <c r="B23" i="6"/>
  <c r="A23" i="6"/>
  <c r="C22" i="6"/>
  <c r="B22" i="6"/>
  <c r="A22" i="6"/>
  <c r="K21" i="6"/>
  <c r="L21" i="6" s="1"/>
  <c r="C21" i="6"/>
  <c r="B21" i="6"/>
  <c r="A21" i="6"/>
  <c r="C20" i="6"/>
  <c r="B20" i="6"/>
  <c r="A20" i="6"/>
  <c r="K19" i="6"/>
  <c r="L19" i="6" s="1"/>
  <c r="C19" i="6"/>
  <c r="B19" i="6"/>
  <c r="A19" i="6"/>
  <c r="C18" i="6"/>
  <c r="B18" i="6"/>
  <c r="A18" i="6"/>
  <c r="K17" i="6"/>
  <c r="L17" i="6" s="1"/>
  <c r="C17" i="6"/>
  <c r="B17" i="6"/>
  <c r="A17" i="6"/>
  <c r="C16" i="6"/>
  <c r="B16" i="6"/>
  <c r="A16" i="6"/>
  <c r="C15" i="6"/>
  <c r="B15" i="6"/>
  <c r="A15" i="6"/>
  <c r="C14" i="6"/>
  <c r="B14" i="6"/>
  <c r="A14" i="6"/>
  <c r="C13" i="6"/>
  <c r="B13" i="6"/>
  <c r="A13" i="6"/>
  <c r="C12" i="6"/>
  <c r="B12" i="6"/>
  <c r="A12" i="6"/>
  <c r="C11" i="6"/>
  <c r="B11" i="6"/>
  <c r="A11" i="6"/>
  <c r="C10" i="6"/>
  <c r="B10" i="6"/>
  <c r="A10" i="6"/>
  <c r="I9" i="6"/>
  <c r="C9" i="6"/>
  <c r="B9" i="6"/>
  <c r="A9" i="6"/>
  <c r="C8" i="6"/>
  <c r="B8" i="6"/>
  <c r="A8" i="6"/>
  <c r="I7" i="6"/>
  <c r="C7" i="6"/>
  <c r="B7" i="6"/>
  <c r="A7" i="6"/>
  <c r="C6" i="6"/>
  <c r="B6" i="6"/>
  <c r="A6" i="6"/>
  <c r="I5" i="6"/>
  <c r="C5" i="6"/>
  <c r="B5" i="6"/>
  <c r="A5" i="6"/>
  <c r="I4" i="6"/>
  <c r="C4" i="6"/>
  <c r="B4" i="6"/>
  <c r="A4" i="6"/>
  <c r="K3" i="6"/>
  <c r="L3" i="6" s="1"/>
  <c r="C3" i="6"/>
  <c r="B3" i="6"/>
  <c r="A3" i="6"/>
  <c r="C1" i="6"/>
  <c r="B1" i="6"/>
  <c r="A1" i="6"/>
  <c r="K284" i="6" l="1"/>
  <c r="L284" i="6" s="1"/>
  <c r="K255" i="6"/>
  <c r="L255" i="6" s="1"/>
  <c r="K310" i="6"/>
  <c r="L310" i="6" s="1"/>
  <c r="K230" i="6"/>
  <c r="L230" i="6" s="1"/>
  <c r="K354" i="6"/>
  <c r="L354" i="6" s="1"/>
  <c r="K229" i="6"/>
  <c r="L229" i="6" s="1"/>
  <c r="K360" i="6"/>
  <c r="L360" i="6" s="1"/>
  <c r="K257" i="6"/>
  <c r="L257" i="6" s="1"/>
  <c r="K328" i="6"/>
  <c r="L328" i="6" s="1"/>
  <c r="K233" i="6"/>
  <c r="L233" i="6" s="1"/>
  <c r="K253" i="6"/>
  <c r="L253" i="6" s="1"/>
  <c r="K178" i="6"/>
  <c r="L178" i="6" s="1"/>
  <c r="K184" i="6"/>
  <c r="L184" i="6" s="1"/>
  <c r="I30" i="6"/>
  <c r="K34" i="6"/>
  <c r="L34" i="6" s="1"/>
  <c r="K60" i="6"/>
  <c r="L60" i="6" s="1"/>
  <c r="K87" i="6"/>
  <c r="L87" i="6" s="1"/>
  <c r="K109" i="6"/>
  <c r="L109" i="6" s="1"/>
  <c r="K194" i="6"/>
  <c r="L194" i="6" s="1"/>
  <c r="K222" i="6"/>
  <c r="L222" i="6" s="1"/>
  <c r="K215" i="6"/>
  <c r="L215" i="6" s="1"/>
  <c r="I35" i="6"/>
  <c r="K155" i="6"/>
  <c r="L155" i="6" s="1"/>
  <c r="K207" i="6"/>
  <c r="L207" i="6" s="1"/>
  <c r="I59" i="6"/>
  <c r="K186" i="6"/>
  <c r="L186" i="6" s="1"/>
  <c r="K111" i="6"/>
  <c r="L111" i="6" s="1"/>
  <c r="K142" i="6"/>
  <c r="L142" i="6" s="1"/>
  <c r="K179" i="6"/>
  <c r="L179" i="6" s="1"/>
  <c r="K80" i="6"/>
  <c r="L80" i="6" s="1"/>
  <c r="I56" i="6"/>
  <c r="I105" i="6"/>
  <c r="I110" i="6"/>
  <c r="K44" i="6"/>
  <c r="L44" i="6" s="1"/>
  <c r="K195" i="6"/>
  <c r="L195" i="6" s="1"/>
  <c r="K79" i="6"/>
  <c r="L79" i="6" s="1"/>
  <c r="K123" i="6"/>
  <c r="L123" i="6" s="1"/>
  <c r="K36" i="6"/>
  <c r="L36" i="6" s="1"/>
  <c r="I55" i="6"/>
  <c r="K93" i="6"/>
  <c r="L93" i="6" s="1"/>
  <c r="I57" i="6"/>
  <c r="K70" i="6"/>
  <c r="L70" i="6" s="1"/>
  <c r="I29" i="6"/>
  <c r="K63" i="6"/>
  <c r="L63" i="6" s="1"/>
  <c r="K336" i="6"/>
  <c r="L336" i="6" s="1"/>
  <c r="K358" i="6"/>
  <c r="L358" i="6" s="1"/>
  <c r="I358" i="6"/>
  <c r="K338" i="6"/>
  <c r="L338" i="6" s="1"/>
  <c r="I356" i="6"/>
  <c r="K356" i="6"/>
  <c r="L356" i="6" s="1"/>
  <c r="K261" i="6"/>
  <c r="L261" i="6" s="1"/>
  <c r="I282" i="6"/>
  <c r="I310" i="6"/>
  <c r="K232" i="6"/>
  <c r="L232" i="6" s="1"/>
  <c r="K243" i="6"/>
  <c r="L243" i="6" s="1"/>
  <c r="K316" i="6"/>
  <c r="L316" i="6" s="1"/>
  <c r="K332" i="6"/>
  <c r="L332" i="6" s="1"/>
  <c r="K342" i="6"/>
  <c r="L342" i="6" s="1"/>
  <c r="I8" i="6"/>
  <c r="K18" i="6"/>
  <c r="L18" i="6" s="1"/>
  <c r="K32" i="6"/>
  <c r="L32" i="6" s="1"/>
  <c r="I33" i="6"/>
  <c r="K55" i="6"/>
  <c r="L55" i="6" s="1"/>
  <c r="K66" i="6"/>
  <c r="L66" i="6" s="1"/>
  <c r="K68" i="6"/>
  <c r="L68" i="6" s="1"/>
  <c r="I84" i="6"/>
  <c r="K88" i="6"/>
  <c r="L88" i="6" s="1"/>
  <c r="I108" i="6"/>
  <c r="K113" i="6"/>
  <c r="L113" i="6" s="1"/>
  <c r="K364" i="6"/>
  <c r="L364" i="6" s="1"/>
  <c r="K97" i="6"/>
  <c r="L97" i="6" s="1"/>
  <c r="I103" i="6"/>
  <c r="I6" i="6"/>
  <c r="K16" i="6"/>
  <c r="L16" i="6" s="1"/>
  <c r="K37" i="6"/>
  <c r="L37" i="6" s="1"/>
  <c r="K43" i="6"/>
  <c r="L43" i="6" s="1"/>
  <c r="K45" i="6"/>
  <c r="L45" i="6" s="1"/>
  <c r="I80" i="6"/>
  <c r="K95" i="6"/>
  <c r="L95" i="6" s="1"/>
  <c r="I104" i="6"/>
  <c r="K115" i="6"/>
  <c r="L115" i="6" s="1"/>
  <c r="I60" i="6"/>
  <c r="K65" i="6"/>
  <c r="L65" i="6" s="1"/>
  <c r="I28" i="6"/>
  <c r="K31" i="6"/>
  <c r="L31" i="6" s="1"/>
  <c r="K42" i="6"/>
  <c r="L42" i="6" s="1"/>
  <c r="K58" i="6"/>
  <c r="L58" i="6" s="1"/>
  <c r="K85" i="6"/>
  <c r="L85" i="6" s="1"/>
  <c r="K29" i="6"/>
  <c r="L29" i="6" s="1"/>
  <c r="K6" i="6"/>
  <c r="L6" i="6" s="1"/>
  <c r="K53" i="6"/>
  <c r="L53" i="6" s="1"/>
  <c r="K23" i="6"/>
  <c r="L23" i="6" s="1"/>
  <c r="K41" i="6"/>
  <c r="L41" i="6" s="1"/>
  <c r="K62" i="6"/>
  <c r="L62" i="6" s="1"/>
  <c r="K64" i="6"/>
  <c r="L64" i="6" s="1"/>
  <c r="K69" i="6"/>
  <c r="L69" i="6" s="1"/>
  <c r="K83" i="6"/>
  <c r="L83" i="6" s="1"/>
  <c r="K121" i="6"/>
  <c r="L121" i="6" s="1"/>
  <c r="K344" i="6"/>
  <c r="L344" i="6" s="1"/>
  <c r="K40" i="6"/>
  <c r="L40" i="6" s="1"/>
  <c r="K46" i="6"/>
  <c r="L46" i="6" s="1"/>
  <c r="K48" i="6"/>
  <c r="L48" i="6" s="1"/>
  <c r="K78" i="6"/>
  <c r="L78" i="6" s="1"/>
  <c r="K15" i="6"/>
  <c r="L15" i="6" s="1"/>
  <c r="I10" i="6"/>
  <c r="K38" i="6"/>
  <c r="L38" i="6" s="1"/>
  <c r="K57" i="6"/>
  <c r="L57" i="6" s="1"/>
  <c r="K81" i="6"/>
  <c r="L81" i="6" s="1"/>
  <c r="K119" i="6"/>
  <c r="L119" i="6" s="1"/>
  <c r="K231" i="6"/>
  <c r="L231" i="6" s="1"/>
  <c r="I231" i="6"/>
  <c r="K128" i="6"/>
  <c r="L128" i="6" s="1"/>
  <c r="I131" i="6"/>
  <c r="K156" i="6"/>
  <c r="L156" i="6" s="1"/>
  <c r="K168" i="6"/>
  <c r="L168" i="6" s="1"/>
  <c r="K180" i="6"/>
  <c r="L180" i="6" s="1"/>
  <c r="K188" i="6"/>
  <c r="L188" i="6" s="1"/>
  <c r="K196" i="6"/>
  <c r="L196" i="6" s="1"/>
  <c r="K208" i="6"/>
  <c r="L208" i="6" s="1"/>
  <c r="K216" i="6"/>
  <c r="L216" i="6" s="1"/>
  <c r="K241" i="6"/>
  <c r="L241" i="6" s="1"/>
  <c r="K334" i="6"/>
  <c r="L334" i="6" s="1"/>
  <c r="K348" i="6"/>
  <c r="L348" i="6" s="1"/>
  <c r="I354" i="6"/>
  <c r="K129" i="6"/>
  <c r="L129" i="6" s="1"/>
  <c r="K135" i="6"/>
  <c r="L135" i="6" s="1"/>
  <c r="K163" i="6"/>
  <c r="L163" i="6" s="1"/>
  <c r="K173" i="6"/>
  <c r="L173" i="6" s="1"/>
  <c r="I183" i="6"/>
  <c r="K185" i="6"/>
  <c r="L185" i="6" s="1"/>
  <c r="K193" i="6"/>
  <c r="L193" i="6" s="1"/>
  <c r="I203" i="6"/>
  <c r="K205" i="6"/>
  <c r="L205" i="6" s="1"/>
  <c r="K213" i="6"/>
  <c r="L213" i="6" s="1"/>
  <c r="K223" i="6"/>
  <c r="L223" i="6" s="1"/>
  <c r="I234" i="6"/>
  <c r="K282" i="6"/>
  <c r="L282" i="6" s="1"/>
  <c r="K290" i="6"/>
  <c r="L290" i="6" s="1"/>
  <c r="K298" i="6"/>
  <c r="L298" i="6" s="1"/>
  <c r="K314" i="6"/>
  <c r="L314" i="6" s="1"/>
  <c r="K134" i="6"/>
  <c r="L134" i="6" s="1"/>
  <c r="I155" i="6"/>
  <c r="I157" i="6"/>
  <c r="K161" i="6"/>
  <c r="L161" i="6" s="1"/>
  <c r="K171" i="6"/>
  <c r="L171" i="6" s="1"/>
  <c r="I181" i="6"/>
  <c r="K183" i="6"/>
  <c r="L183" i="6" s="1"/>
  <c r="K191" i="6"/>
  <c r="L191" i="6" s="1"/>
  <c r="K203" i="6"/>
  <c r="L203" i="6" s="1"/>
  <c r="I209" i="6"/>
  <c r="K211" i="6"/>
  <c r="L211" i="6" s="1"/>
  <c r="K221" i="6"/>
  <c r="L221" i="6" s="1"/>
  <c r="K234" i="6"/>
  <c r="L234" i="6" s="1"/>
  <c r="K280" i="6"/>
  <c r="L280" i="6" s="1"/>
  <c r="K288" i="6"/>
  <c r="L288" i="6" s="1"/>
  <c r="K296" i="6"/>
  <c r="L296" i="6" s="1"/>
  <c r="K308" i="6"/>
  <c r="L308" i="6" s="1"/>
  <c r="K144" i="6"/>
  <c r="L144" i="6" s="1"/>
  <c r="K159" i="6"/>
  <c r="L159" i="6" s="1"/>
  <c r="K219" i="6"/>
  <c r="L219" i="6" s="1"/>
  <c r="K236" i="6"/>
  <c r="L236" i="6" s="1"/>
  <c r="I278" i="6"/>
  <c r="I306" i="6"/>
  <c r="I330" i="6"/>
  <c r="I130" i="6"/>
  <c r="K136" i="6"/>
  <c r="L136" i="6" s="1"/>
  <c r="K157" i="6"/>
  <c r="L157" i="6" s="1"/>
  <c r="K169" i="6"/>
  <c r="L169" i="6" s="1"/>
  <c r="I179" i="6"/>
  <c r="K181" i="6"/>
  <c r="L181" i="6" s="1"/>
  <c r="K189" i="6"/>
  <c r="L189" i="6" s="1"/>
  <c r="K197" i="6"/>
  <c r="L197" i="6" s="1"/>
  <c r="I207" i="6"/>
  <c r="K209" i="6"/>
  <c r="L209" i="6" s="1"/>
  <c r="K217" i="6"/>
  <c r="L217" i="6" s="1"/>
  <c r="K278" i="6"/>
  <c r="L278" i="6" s="1"/>
  <c r="K286" i="6"/>
  <c r="L286" i="6" s="1"/>
  <c r="K294" i="6"/>
  <c r="L294" i="6" s="1"/>
  <c r="K306" i="6"/>
  <c r="L306" i="6" s="1"/>
  <c r="K167" i="6"/>
  <c r="L167" i="6" s="1"/>
  <c r="K170" i="6"/>
  <c r="L170" i="6" s="1"/>
  <c r="K182" i="6"/>
  <c r="L182" i="6" s="1"/>
  <c r="K190" i="6"/>
  <c r="L190" i="6" s="1"/>
  <c r="K198" i="6"/>
  <c r="L198" i="6" s="1"/>
  <c r="K210" i="6"/>
  <c r="L210" i="6" s="1"/>
  <c r="K220" i="6"/>
  <c r="L220" i="6" s="1"/>
  <c r="K269" i="6"/>
  <c r="L269" i="6" s="1"/>
  <c r="K271" i="6"/>
  <c r="L271" i="6" s="1"/>
  <c r="I304" i="6"/>
  <c r="K130" i="6"/>
  <c r="L130" i="6" s="1"/>
  <c r="K165" i="6"/>
  <c r="L165" i="6" s="1"/>
  <c r="K187" i="6"/>
  <c r="L187" i="6" s="1"/>
  <c r="K292" i="6"/>
  <c r="L292" i="6" s="1"/>
  <c r="K304" i="6"/>
  <c r="L304" i="6" s="1"/>
  <c r="K5" i="6"/>
  <c r="L5" i="6" s="1"/>
  <c r="K7" i="6"/>
  <c r="L7" i="6" s="1"/>
  <c r="K9" i="6"/>
  <c r="L9" i="6" s="1"/>
  <c r="K11" i="6"/>
  <c r="L11" i="6" s="1"/>
  <c r="K13" i="6"/>
  <c r="L13" i="6" s="1"/>
  <c r="K72" i="6"/>
  <c r="L72" i="6" s="1"/>
  <c r="K73" i="6"/>
  <c r="L73" i="6" s="1"/>
  <c r="K89" i="6"/>
  <c r="L89" i="6" s="1"/>
  <c r="K107" i="6"/>
  <c r="L107" i="6" s="1"/>
  <c r="K90" i="6"/>
  <c r="L90" i="6" s="1"/>
  <c r="K103" i="6"/>
  <c r="L103" i="6" s="1"/>
  <c r="K12" i="6"/>
  <c r="L12" i="6" s="1"/>
  <c r="K14" i="6"/>
  <c r="L14" i="6" s="1"/>
  <c r="K20" i="6"/>
  <c r="L20" i="6" s="1"/>
  <c r="K22" i="6"/>
  <c r="L22" i="6" s="1"/>
  <c r="I81" i="6"/>
  <c r="K82" i="6"/>
  <c r="L82" i="6" s="1"/>
  <c r="K4" i="6"/>
  <c r="L4" i="6" s="1"/>
  <c r="K8" i="6"/>
  <c r="L8" i="6" s="1"/>
  <c r="K10" i="6"/>
  <c r="L10" i="6" s="1"/>
  <c r="K67" i="6"/>
  <c r="L67" i="6" s="1"/>
  <c r="I83" i="6"/>
  <c r="K84" i="6"/>
  <c r="L84" i="6" s="1"/>
  <c r="I85" i="6"/>
  <c r="K86" i="6"/>
  <c r="L86" i="6" s="1"/>
  <c r="K105" i="6"/>
  <c r="L105" i="6" s="1"/>
  <c r="K71" i="6"/>
  <c r="L71" i="6" s="1"/>
  <c r="K92" i="6"/>
  <c r="L92" i="6" s="1"/>
  <c r="K96" i="6"/>
  <c r="L96" i="6" s="1"/>
  <c r="K98" i="6"/>
  <c r="L98" i="6" s="1"/>
  <c r="K104" i="6"/>
  <c r="L104" i="6" s="1"/>
  <c r="K108" i="6"/>
  <c r="L108" i="6" s="1"/>
  <c r="K110" i="6"/>
  <c r="L110" i="6" s="1"/>
  <c r="K112" i="6"/>
  <c r="L112" i="6" s="1"/>
  <c r="K114" i="6"/>
  <c r="L114" i="6" s="1"/>
  <c r="K116" i="6"/>
  <c r="L116" i="6" s="1"/>
  <c r="K118" i="6"/>
  <c r="L118" i="6" s="1"/>
  <c r="K120" i="6"/>
  <c r="L120" i="6" s="1"/>
  <c r="K122" i="6"/>
  <c r="L122" i="6" s="1"/>
  <c r="I129" i="6"/>
  <c r="K133" i="6"/>
  <c r="L133" i="6" s="1"/>
  <c r="K141" i="6"/>
  <c r="L141" i="6" s="1"/>
  <c r="K158" i="6"/>
  <c r="L158" i="6" s="1"/>
  <c r="K166" i="6"/>
  <c r="L166" i="6" s="1"/>
  <c r="K154" i="6"/>
  <c r="L154" i="6" s="1"/>
  <c r="I154" i="6"/>
  <c r="I132" i="6"/>
  <c r="K137" i="6"/>
  <c r="L137" i="6" s="1"/>
  <c r="K145" i="6"/>
  <c r="L145" i="6" s="1"/>
  <c r="K148" i="6"/>
  <c r="L148" i="6" s="1"/>
  <c r="K138" i="6"/>
  <c r="L138" i="6" s="1"/>
  <c r="K146" i="6"/>
  <c r="L146" i="6" s="1"/>
  <c r="K162" i="6"/>
  <c r="L162" i="6" s="1"/>
  <c r="K131" i="6"/>
  <c r="L131" i="6" s="1"/>
  <c r="I134" i="6"/>
  <c r="K139" i="6"/>
  <c r="L139" i="6" s="1"/>
  <c r="K147" i="6"/>
  <c r="L147" i="6" s="1"/>
  <c r="K345" i="6"/>
  <c r="L345" i="6" s="1"/>
  <c r="K365" i="6"/>
  <c r="L365" i="6" s="1"/>
  <c r="I156" i="6"/>
  <c r="I158" i="6"/>
  <c r="I160" i="6"/>
  <c r="I178" i="6"/>
  <c r="I180" i="6"/>
  <c r="I182" i="6"/>
  <c r="I184" i="6"/>
  <c r="I204" i="6"/>
  <c r="I206" i="6"/>
  <c r="I208" i="6"/>
  <c r="I210" i="6"/>
  <c r="K235" i="6"/>
  <c r="L235" i="6" s="1"/>
  <c r="K228" i="6"/>
  <c r="L228" i="6" s="1"/>
  <c r="K245" i="6"/>
  <c r="L245" i="6" s="1"/>
  <c r="K244" i="6"/>
  <c r="L244" i="6" s="1"/>
  <c r="K254" i="6"/>
  <c r="L254" i="6" s="1"/>
  <c r="I254" i="6"/>
  <c r="K258" i="6"/>
  <c r="L258" i="6" s="1"/>
  <c r="I258" i="6"/>
  <c r="K262" i="6"/>
  <c r="L262" i="6" s="1"/>
  <c r="K266" i="6"/>
  <c r="L266" i="6" s="1"/>
  <c r="K270" i="6"/>
  <c r="L270" i="6" s="1"/>
  <c r="K242" i="6"/>
  <c r="L242" i="6" s="1"/>
  <c r="I253" i="6"/>
  <c r="I257" i="6"/>
  <c r="K272" i="6"/>
  <c r="L272" i="6" s="1"/>
  <c r="I228" i="6"/>
  <c r="I230" i="6"/>
  <c r="K240" i="6"/>
  <c r="L240" i="6" s="1"/>
  <c r="K248" i="6"/>
  <c r="L248" i="6" s="1"/>
  <c r="K256" i="6"/>
  <c r="L256" i="6" s="1"/>
  <c r="I256" i="6"/>
  <c r="K260" i="6"/>
  <c r="L260" i="6" s="1"/>
  <c r="I260" i="6"/>
  <c r="K264" i="6"/>
  <c r="L264" i="6" s="1"/>
  <c r="K268" i="6"/>
  <c r="L268" i="6" s="1"/>
  <c r="K238" i="6"/>
  <c r="L238" i="6" s="1"/>
  <c r="K246" i="6"/>
  <c r="L246" i="6" s="1"/>
  <c r="I255" i="6"/>
  <c r="I259" i="6"/>
  <c r="I233" i="6"/>
  <c r="I235" i="6"/>
  <c r="K279" i="6"/>
  <c r="L279" i="6" s="1"/>
  <c r="K281" i="6"/>
  <c r="L281" i="6" s="1"/>
  <c r="K283" i="6"/>
  <c r="L283" i="6" s="1"/>
  <c r="K285" i="6"/>
  <c r="L285" i="6" s="1"/>
  <c r="K287" i="6"/>
  <c r="L287" i="6" s="1"/>
  <c r="K289" i="6"/>
  <c r="L289" i="6" s="1"/>
  <c r="K291" i="6"/>
  <c r="L291" i="6" s="1"/>
  <c r="K293" i="6"/>
  <c r="L293" i="6" s="1"/>
  <c r="K295" i="6"/>
  <c r="L295" i="6" s="1"/>
  <c r="K297" i="6"/>
  <c r="L297" i="6" s="1"/>
  <c r="K303" i="6"/>
  <c r="L303" i="6" s="1"/>
  <c r="K305" i="6"/>
  <c r="L305" i="6" s="1"/>
  <c r="K307" i="6"/>
  <c r="L307" i="6" s="1"/>
  <c r="K321" i="6"/>
  <c r="L321" i="6" s="1"/>
  <c r="I279" i="6"/>
  <c r="I281" i="6"/>
  <c r="I283" i="6"/>
  <c r="I285" i="6"/>
  <c r="I303" i="6"/>
  <c r="I305" i="6"/>
  <c r="I307" i="6"/>
  <c r="K347" i="6"/>
  <c r="L347" i="6" s="1"/>
  <c r="K367" i="6"/>
  <c r="L367" i="6" s="1"/>
  <c r="K369" i="6"/>
  <c r="L369" i="6" s="1"/>
  <c r="K371" i="6"/>
  <c r="L371" i="6" s="1"/>
  <c r="K373" i="6"/>
  <c r="L373" i="6" s="1"/>
  <c r="K317" i="6"/>
  <c r="L317" i="6" s="1"/>
  <c r="K323" i="6"/>
  <c r="L323" i="6" s="1"/>
  <c r="K333" i="6"/>
  <c r="L333" i="6" s="1"/>
  <c r="I333" i="6"/>
  <c r="K353" i="6"/>
  <c r="L353" i="6" s="1"/>
  <c r="I353" i="6"/>
  <c r="K335" i="6"/>
  <c r="L335" i="6" s="1"/>
  <c r="I335" i="6"/>
  <c r="K355" i="6"/>
  <c r="L355" i="6" s="1"/>
  <c r="I355" i="6"/>
  <c r="K315" i="6"/>
  <c r="L315" i="6" s="1"/>
  <c r="K329" i="6"/>
  <c r="L329" i="6" s="1"/>
  <c r="I329" i="6"/>
  <c r="K337" i="6"/>
  <c r="L337" i="6" s="1"/>
  <c r="K357" i="6"/>
  <c r="L357" i="6" s="1"/>
  <c r="I357" i="6"/>
  <c r="K339" i="6"/>
  <c r="L339" i="6" s="1"/>
  <c r="K359" i="6"/>
  <c r="L359" i="6" s="1"/>
  <c r="I359" i="6"/>
  <c r="K309" i="6"/>
  <c r="L309" i="6" s="1"/>
  <c r="I309" i="6"/>
  <c r="K311" i="6"/>
  <c r="L311" i="6" s="1"/>
  <c r="K313" i="6"/>
  <c r="L313" i="6" s="1"/>
  <c r="K319" i="6"/>
  <c r="L319" i="6" s="1"/>
  <c r="K341" i="6"/>
  <c r="L341" i="6" s="1"/>
  <c r="K361" i="6"/>
  <c r="L361" i="6" s="1"/>
  <c r="K331" i="6"/>
  <c r="L331" i="6" s="1"/>
  <c r="I331" i="6"/>
  <c r="K343" i="6"/>
  <c r="L343" i="6" s="1"/>
  <c r="K363" i="6"/>
  <c r="L363" i="6" s="1"/>
  <c r="O4" i="4"/>
  <c r="O29" i="4" s="1"/>
  <c r="P4" i="4"/>
  <c r="O5" i="4"/>
  <c r="O30" i="4" s="1"/>
  <c r="P5" i="4"/>
  <c r="O6" i="4"/>
  <c r="O31" i="4" s="1"/>
  <c r="P6" i="4"/>
  <c r="P31" i="4" s="1"/>
  <c r="O7" i="4"/>
  <c r="O32" i="4" s="1"/>
  <c r="P7" i="4"/>
  <c r="O8" i="4"/>
  <c r="O33" i="4" s="1"/>
  <c r="P8" i="4"/>
  <c r="O9" i="4"/>
  <c r="O34" i="4" s="1"/>
  <c r="P9" i="4"/>
  <c r="O10" i="4"/>
  <c r="O35" i="4" s="1"/>
  <c r="P10" i="4"/>
  <c r="O11" i="4"/>
  <c r="O36" i="4" s="1"/>
  <c r="P11" i="4"/>
  <c r="O12" i="4"/>
  <c r="O37" i="4" s="1"/>
  <c r="P12" i="4"/>
  <c r="O13" i="4"/>
  <c r="O38" i="4" s="1"/>
  <c r="P13" i="4"/>
  <c r="O14" i="4"/>
  <c r="O39" i="4" s="1"/>
  <c r="P14" i="4"/>
  <c r="O15" i="4"/>
  <c r="O40" i="4" s="1"/>
  <c r="P15" i="4"/>
  <c r="O16" i="4"/>
  <c r="O41" i="4" s="1"/>
  <c r="P16" i="4"/>
  <c r="O17" i="4"/>
  <c r="O42" i="4" s="1"/>
  <c r="P17" i="4"/>
  <c r="O18" i="4"/>
  <c r="O43" i="4" s="1"/>
  <c r="P18" i="4"/>
  <c r="O19" i="4"/>
  <c r="O44" i="4" s="1"/>
  <c r="P19" i="4"/>
  <c r="O20" i="4"/>
  <c r="O45" i="4" s="1"/>
  <c r="P20" i="4"/>
  <c r="O21" i="4"/>
  <c r="O46" i="4" s="1"/>
  <c r="P21" i="4"/>
  <c r="O22" i="4"/>
  <c r="O47" i="4" s="1"/>
  <c r="P22" i="4"/>
  <c r="O48" i="4"/>
  <c r="P23" i="4"/>
  <c r="P3" i="4"/>
  <c r="O3" i="4"/>
  <c r="O28" i="4" s="1"/>
  <c r="O54" i="4"/>
  <c r="P54" i="4"/>
  <c r="O55" i="4"/>
  <c r="P55" i="4"/>
  <c r="O56" i="4"/>
  <c r="P56" i="4"/>
  <c r="O57" i="4"/>
  <c r="P57" i="4"/>
  <c r="O58" i="4"/>
  <c r="P58" i="4"/>
  <c r="O59" i="4"/>
  <c r="P59" i="4"/>
  <c r="O60" i="4"/>
  <c r="P60" i="4"/>
  <c r="O61" i="4"/>
  <c r="P61" i="4"/>
  <c r="O62" i="4"/>
  <c r="P62" i="4"/>
  <c r="O63" i="4"/>
  <c r="P63" i="4"/>
  <c r="O64" i="4"/>
  <c r="P64" i="4"/>
  <c r="O65" i="4"/>
  <c r="P65" i="4"/>
  <c r="O66" i="4"/>
  <c r="P66" i="4"/>
  <c r="O67" i="4"/>
  <c r="P67" i="4"/>
  <c r="O68" i="4"/>
  <c r="P68" i="4"/>
  <c r="O69" i="4"/>
  <c r="P69" i="4"/>
  <c r="O70" i="4"/>
  <c r="P70" i="4"/>
  <c r="O71" i="4"/>
  <c r="P71" i="4"/>
  <c r="O72" i="4"/>
  <c r="P72" i="4"/>
  <c r="O73" i="4"/>
  <c r="P73" i="4"/>
  <c r="P53" i="4"/>
  <c r="O53" i="4"/>
  <c r="P40" i="4" l="1"/>
  <c r="P34" i="4"/>
  <c r="P48" i="4"/>
  <c r="P46" i="4"/>
  <c r="P42" i="4"/>
  <c r="P38" i="4"/>
  <c r="P30" i="4"/>
  <c r="P41" i="4"/>
  <c r="P29" i="4"/>
  <c r="P32" i="4"/>
  <c r="P47" i="4"/>
  <c r="P45" i="4"/>
  <c r="P43" i="4"/>
  <c r="P39" i="4"/>
  <c r="P37" i="4"/>
  <c r="P35" i="4"/>
  <c r="P33" i="4"/>
  <c r="P28" i="4"/>
  <c r="P44" i="4"/>
  <c r="P36" i="4"/>
  <c r="I34" i="6"/>
  <c r="K54" i="6"/>
  <c r="L54" i="6" s="1"/>
  <c r="K33" i="6"/>
  <c r="L33" i="6" s="1"/>
  <c r="I58" i="6"/>
  <c r="K30" i="6"/>
  <c r="L30" i="6" s="1"/>
  <c r="K59" i="6"/>
  <c r="L59" i="6" s="1"/>
  <c r="K56" i="6"/>
  <c r="L56" i="6" s="1"/>
  <c r="K28" i="6"/>
  <c r="L28" i="6" s="1"/>
  <c r="K35" i="6"/>
  <c r="L35" i="6" s="1"/>
  <c r="K47" i="6"/>
  <c r="L47" i="6" s="1"/>
  <c r="I53" i="6"/>
  <c r="I54" i="6"/>
  <c r="K39" i="6"/>
  <c r="L39" i="6" s="1"/>
  <c r="K106" i="6"/>
  <c r="L106" i="6" s="1"/>
  <c r="K94" i="6"/>
  <c r="L94" i="6" s="1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03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78" i="4"/>
  <c r="F4" i="4"/>
  <c r="H4" i="4" s="1"/>
  <c r="F5" i="4"/>
  <c r="F6" i="4"/>
  <c r="F31" i="4" s="1"/>
  <c r="F7" i="4"/>
  <c r="F32" i="4" s="1"/>
  <c r="F8" i="4"/>
  <c r="F33" i="4" s="1"/>
  <c r="F9" i="4"/>
  <c r="F34" i="4" s="1"/>
  <c r="F10" i="4"/>
  <c r="F11" i="4"/>
  <c r="F36" i="4" s="1"/>
  <c r="F12" i="4"/>
  <c r="F37" i="4" s="1"/>
  <c r="F13" i="4"/>
  <c r="F38" i="4" s="1"/>
  <c r="F14" i="4"/>
  <c r="F39" i="4" s="1"/>
  <c r="F40" i="4"/>
  <c r="F16" i="4"/>
  <c r="F17" i="4"/>
  <c r="F42" i="4" s="1"/>
  <c r="F18" i="4"/>
  <c r="F43" i="4" s="1"/>
  <c r="F19" i="4"/>
  <c r="F44" i="4" s="1"/>
  <c r="F20" i="4"/>
  <c r="F45" i="4" s="1"/>
  <c r="F21" i="4"/>
  <c r="F46" i="4" s="1"/>
  <c r="F22" i="4"/>
  <c r="F47" i="4" s="1"/>
  <c r="F4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28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78" i="4"/>
  <c r="F35" i="4"/>
  <c r="F41" i="4" l="1"/>
  <c r="H16" i="4"/>
  <c r="F29" i="4"/>
  <c r="I163" i="4"/>
  <c r="G13" i="4"/>
  <c r="I13" i="4" s="1"/>
  <c r="I171" i="4"/>
  <c r="G21" i="4"/>
  <c r="I21" i="4" s="1"/>
  <c r="I155" i="4"/>
  <c r="G5" i="4"/>
  <c r="I5" i="4" s="1"/>
  <c r="I170" i="4"/>
  <c r="G20" i="4"/>
  <c r="G45" i="4" s="1"/>
  <c r="I45" i="4" s="1"/>
  <c r="I166" i="4"/>
  <c r="G16" i="4"/>
  <c r="I16" i="4" s="1"/>
  <c r="I162" i="4"/>
  <c r="G12" i="4"/>
  <c r="I12" i="4" s="1"/>
  <c r="I158" i="4"/>
  <c r="G8" i="4"/>
  <c r="I8" i="4" s="1"/>
  <c r="I154" i="4"/>
  <c r="G4" i="4"/>
  <c r="I4" i="4" s="1"/>
  <c r="I159" i="4"/>
  <c r="G9" i="4"/>
  <c r="I9" i="4" s="1"/>
  <c r="I153" i="4"/>
  <c r="G3" i="4"/>
  <c r="I3" i="4" s="1"/>
  <c r="I173" i="4"/>
  <c r="I169" i="4"/>
  <c r="G19" i="4"/>
  <c r="I19" i="4" s="1"/>
  <c r="I165" i="4"/>
  <c r="G15" i="4"/>
  <c r="G40" i="4" s="1"/>
  <c r="I40" i="4" s="1"/>
  <c r="I161" i="4"/>
  <c r="G11" i="4"/>
  <c r="I11" i="4" s="1"/>
  <c r="I157" i="4"/>
  <c r="G7" i="4"/>
  <c r="I7" i="4" s="1"/>
  <c r="I167" i="4"/>
  <c r="G17" i="4"/>
  <c r="I17" i="4" s="1"/>
  <c r="I172" i="4"/>
  <c r="G22" i="4"/>
  <c r="G47" i="4" s="1"/>
  <c r="I47" i="4" s="1"/>
  <c r="I168" i="4"/>
  <c r="G18" i="4"/>
  <c r="I18" i="4" s="1"/>
  <c r="I164" i="4"/>
  <c r="G14" i="4"/>
  <c r="I14" i="4" s="1"/>
  <c r="I160" i="4"/>
  <c r="G10" i="4"/>
  <c r="I10" i="4" s="1"/>
  <c r="I156" i="4"/>
  <c r="G6" i="4"/>
  <c r="I6" i="4" s="1"/>
  <c r="H5" i="4"/>
  <c r="F30" i="4"/>
  <c r="F28" i="4"/>
  <c r="I103" i="4"/>
  <c r="F53" i="4"/>
  <c r="G54" i="4"/>
  <c r="I54" i="4" s="1"/>
  <c r="G58" i="4"/>
  <c r="I58" i="4" s="1"/>
  <c r="F54" i="4"/>
  <c r="G73" i="4"/>
  <c r="I73" i="4" s="1"/>
  <c r="G57" i="4"/>
  <c r="I57" i="4" s="1"/>
  <c r="F69" i="4"/>
  <c r="F65" i="4"/>
  <c r="F61" i="4"/>
  <c r="F57" i="4"/>
  <c r="G66" i="4"/>
  <c r="I66" i="4" s="1"/>
  <c r="G53" i="4"/>
  <c r="I53" i="4" s="1"/>
  <c r="F58" i="4"/>
  <c r="G65" i="4"/>
  <c r="I65" i="4" s="1"/>
  <c r="F73" i="4"/>
  <c r="G72" i="4"/>
  <c r="I72" i="4" s="1"/>
  <c r="G68" i="4"/>
  <c r="I68" i="4" s="1"/>
  <c r="G64" i="4"/>
  <c r="I64" i="4" s="1"/>
  <c r="G60" i="4"/>
  <c r="I60" i="4" s="1"/>
  <c r="G56" i="4"/>
  <c r="I56" i="4" s="1"/>
  <c r="G62" i="4"/>
  <c r="I62" i="4" s="1"/>
  <c r="F70" i="4"/>
  <c r="G61" i="4"/>
  <c r="I61" i="4" s="1"/>
  <c r="F68" i="4"/>
  <c r="F64" i="4"/>
  <c r="F60" i="4"/>
  <c r="F56" i="4"/>
  <c r="F66" i="4"/>
  <c r="G67" i="4"/>
  <c r="I67" i="4" s="1"/>
  <c r="G63" i="4"/>
  <c r="I63" i="4" s="1"/>
  <c r="G59" i="4"/>
  <c r="I59" i="4" s="1"/>
  <c r="G55" i="4"/>
  <c r="I55" i="4" s="1"/>
  <c r="G70" i="4"/>
  <c r="I70" i="4" s="1"/>
  <c r="F62" i="4"/>
  <c r="G69" i="4"/>
  <c r="I69" i="4" s="1"/>
  <c r="G71" i="4"/>
  <c r="I71" i="4" s="1"/>
  <c r="F71" i="4"/>
  <c r="F67" i="4"/>
  <c r="F63" i="4"/>
  <c r="F59" i="4"/>
  <c r="F55" i="4"/>
  <c r="G34" i="4" l="1"/>
  <c r="I34" i="4" s="1"/>
  <c r="J34" i="4" s="1"/>
  <c r="G38" i="4"/>
  <c r="I38" i="4" s="1"/>
  <c r="J38" i="4" s="1"/>
  <c r="I15" i="4"/>
  <c r="J15" i="4" s="1"/>
  <c r="G46" i="4"/>
  <c r="I46" i="4" s="1"/>
  <c r="J46" i="4" s="1"/>
  <c r="G31" i="4"/>
  <c r="I31" i="4" s="1"/>
  <c r="J31" i="4" s="1"/>
  <c r="I22" i="4"/>
  <c r="J22" i="4" s="1"/>
  <c r="G41" i="4"/>
  <c r="I41" i="4" s="1"/>
  <c r="J41" i="4" s="1"/>
  <c r="G36" i="4"/>
  <c r="I36" i="4" s="1"/>
  <c r="J36" i="4" s="1"/>
  <c r="G28" i="4"/>
  <c r="I28" i="4" s="1"/>
  <c r="J28" i="4" s="1"/>
  <c r="G33" i="4"/>
  <c r="I33" i="4" s="1"/>
  <c r="J33" i="4" s="1"/>
  <c r="G43" i="4"/>
  <c r="I43" i="4" s="1"/>
  <c r="J43" i="4" s="1"/>
  <c r="G39" i="4"/>
  <c r="I39" i="4" s="1"/>
  <c r="J39" i="4" s="1"/>
  <c r="G48" i="4"/>
  <c r="I48" i="4" s="1"/>
  <c r="J48" i="4" s="1"/>
  <c r="G42" i="4"/>
  <c r="I42" i="4" s="1"/>
  <c r="J42" i="4" s="1"/>
  <c r="G32" i="4"/>
  <c r="I32" i="4" s="1"/>
  <c r="J32" i="4" s="1"/>
  <c r="I20" i="4"/>
  <c r="J20" i="4" s="1"/>
  <c r="G30" i="4"/>
  <c r="I30" i="4" s="1"/>
  <c r="J30" i="4" s="1"/>
  <c r="G35" i="4"/>
  <c r="I35" i="4" s="1"/>
  <c r="J35" i="4" s="1"/>
  <c r="G29" i="4"/>
  <c r="I29" i="4" s="1"/>
  <c r="J29" i="4" s="1"/>
  <c r="G44" i="4"/>
  <c r="I44" i="4" s="1"/>
  <c r="J44" i="4" s="1"/>
  <c r="G37" i="4"/>
  <c r="I37" i="4" s="1"/>
  <c r="J37" i="4" s="1"/>
  <c r="H339" i="4"/>
  <c r="J339" i="4"/>
  <c r="H196" i="4"/>
  <c r="J196" i="4"/>
  <c r="H132" i="4"/>
  <c r="J132" i="4"/>
  <c r="H89" i="4"/>
  <c r="J89" i="4"/>
  <c r="H18" i="4"/>
  <c r="J18" i="4"/>
  <c r="H357" i="4"/>
  <c r="J357" i="4"/>
  <c r="H309" i="4"/>
  <c r="J309" i="4"/>
  <c r="H194" i="4"/>
  <c r="J194" i="4"/>
  <c r="H368" i="4"/>
  <c r="J368" i="4"/>
  <c r="H360" i="4"/>
  <c r="J360" i="4"/>
  <c r="H348" i="4"/>
  <c r="J348" i="4"/>
  <c r="H340" i="4"/>
  <c r="J340" i="4"/>
  <c r="H332" i="4"/>
  <c r="J332" i="4"/>
  <c r="H320" i="4"/>
  <c r="J320" i="4"/>
  <c r="H312" i="4"/>
  <c r="J312" i="4"/>
  <c r="H304" i="4"/>
  <c r="J304" i="4"/>
  <c r="H292" i="4"/>
  <c r="J292" i="4"/>
  <c r="H284" i="4"/>
  <c r="J284" i="4"/>
  <c r="H269" i="4"/>
  <c r="J269" i="4"/>
  <c r="H261" i="4"/>
  <c r="J261" i="4"/>
  <c r="H253" i="4"/>
  <c r="J253" i="4"/>
  <c r="H241" i="4"/>
  <c r="J241" i="4"/>
  <c r="H233" i="4"/>
  <c r="J233" i="4"/>
  <c r="H217" i="4"/>
  <c r="J217" i="4"/>
  <c r="H209" i="4"/>
  <c r="J209" i="4"/>
  <c r="H197" i="4"/>
  <c r="J197" i="4"/>
  <c r="H189" i="4"/>
  <c r="J189" i="4"/>
  <c r="H181" i="4"/>
  <c r="J181" i="4"/>
  <c r="H169" i="4"/>
  <c r="J169" i="4"/>
  <c r="H161" i="4"/>
  <c r="J161" i="4"/>
  <c r="H153" i="4"/>
  <c r="J153" i="4"/>
  <c r="H141" i="4"/>
  <c r="J141" i="4"/>
  <c r="H133" i="4"/>
  <c r="J133" i="4"/>
  <c r="H118" i="4"/>
  <c r="J118" i="4"/>
  <c r="H110" i="4"/>
  <c r="J110" i="4"/>
  <c r="H98" i="4"/>
  <c r="J98" i="4"/>
  <c r="H90" i="4"/>
  <c r="J90" i="4"/>
  <c r="H82" i="4"/>
  <c r="J82" i="4"/>
  <c r="H70" i="4"/>
  <c r="J70" i="4"/>
  <c r="H62" i="4"/>
  <c r="J62" i="4"/>
  <c r="H54" i="4"/>
  <c r="J54" i="4"/>
  <c r="H42" i="4"/>
  <c r="H34" i="4"/>
  <c r="H19" i="4"/>
  <c r="J19" i="4"/>
  <c r="H11" i="4"/>
  <c r="J11" i="4"/>
  <c r="H359" i="4"/>
  <c r="J359" i="4"/>
  <c r="H303" i="4"/>
  <c r="J303" i="4"/>
  <c r="H268" i="4"/>
  <c r="J268" i="4"/>
  <c r="H208" i="4"/>
  <c r="J208" i="4"/>
  <c r="H160" i="4"/>
  <c r="J160" i="4"/>
  <c r="H109" i="4"/>
  <c r="J109" i="4"/>
  <c r="H53" i="4"/>
  <c r="J53" i="4"/>
  <c r="H33" i="4"/>
  <c r="J3" i="4"/>
  <c r="H366" i="4"/>
  <c r="J366" i="4"/>
  <c r="H358" i="4"/>
  <c r="J358" i="4"/>
  <c r="H346" i="4"/>
  <c r="J346" i="4"/>
  <c r="H338" i="4"/>
  <c r="J338" i="4"/>
  <c r="H330" i="4"/>
  <c r="J330" i="4"/>
  <c r="H318" i="4"/>
  <c r="J318" i="4"/>
  <c r="H310" i="4"/>
  <c r="J310" i="4"/>
  <c r="H298" i="4"/>
  <c r="J298" i="4"/>
  <c r="H290" i="4"/>
  <c r="J290" i="4"/>
  <c r="H282" i="4"/>
  <c r="J282" i="4"/>
  <c r="H267" i="4"/>
  <c r="J267" i="4"/>
  <c r="H259" i="4"/>
  <c r="J259" i="4"/>
  <c r="H247" i="4"/>
  <c r="J247" i="4"/>
  <c r="H239" i="4"/>
  <c r="J239" i="4"/>
  <c r="H231" i="4"/>
  <c r="J231" i="4"/>
  <c r="H223" i="4"/>
  <c r="J223" i="4"/>
  <c r="H215" i="4"/>
  <c r="J215" i="4"/>
  <c r="H207" i="4"/>
  <c r="J207" i="4"/>
  <c r="H195" i="4"/>
  <c r="J195" i="4"/>
  <c r="H187" i="4"/>
  <c r="J187" i="4"/>
  <c r="H179" i="4"/>
  <c r="J179" i="4"/>
  <c r="H167" i="4"/>
  <c r="J167" i="4"/>
  <c r="H159" i="4"/>
  <c r="J159" i="4"/>
  <c r="H147" i="4"/>
  <c r="J147" i="4"/>
  <c r="H139" i="4"/>
  <c r="J139" i="4"/>
  <c r="H131" i="4"/>
  <c r="J131" i="4"/>
  <c r="H116" i="4"/>
  <c r="J116" i="4"/>
  <c r="H108" i="4"/>
  <c r="J108" i="4"/>
  <c r="H96" i="4"/>
  <c r="J96" i="4"/>
  <c r="H88" i="4"/>
  <c r="J88" i="4"/>
  <c r="H80" i="4"/>
  <c r="J80" i="4"/>
  <c r="H68" i="4"/>
  <c r="J68" i="4"/>
  <c r="H60" i="4"/>
  <c r="J60" i="4"/>
  <c r="H48" i="4"/>
  <c r="H40" i="4"/>
  <c r="J40" i="4"/>
  <c r="H32" i="4"/>
  <c r="H17" i="4"/>
  <c r="J17" i="4"/>
  <c r="H9" i="4"/>
  <c r="J9" i="4"/>
  <c r="H311" i="4"/>
  <c r="J311" i="4"/>
  <c r="H117" i="4"/>
  <c r="J117" i="4"/>
  <c r="H365" i="4"/>
  <c r="J365" i="4"/>
  <c r="H238" i="4"/>
  <c r="J238" i="4"/>
  <c r="H222" i="4"/>
  <c r="J222" i="4"/>
  <c r="H206" i="4"/>
  <c r="J206" i="4"/>
  <c r="H158" i="4"/>
  <c r="J158" i="4"/>
  <c r="H146" i="4"/>
  <c r="J146" i="4"/>
  <c r="H138" i="4"/>
  <c r="J138" i="4"/>
  <c r="H130" i="4"/>
  <c r="J130" i="4"/>
  <c r="H123" i="4"/>
  <c r="J123" i="4"/>
  <c r="H115" i="4"/>
  <c r="J115" i="4"/>
  <c r="H107" i="4"/>
  <c r="J107" i="4"/>
  <c r="H95" i="4"/>
  <c r="J95" i="4"/>
  <c r="H87" i="4"/>
  <c r="J87" i="4"/>
  <c r="H79" i="4"/>
  <c r="J79" i="4"/>
  <c r="H67" i="4"/>
  <c r="J67" i="4"/>
  <c r="H59" i="4"/>
  <c r="J59" i="4"/>
  <c r="H47" i="4"/>
  <c r="J47" i="4"/>
  <c r="H39" i="4"/>
  <c r="H31" i="4"/>
  <c r="J16" i="4"/>
  <c r="H8" i="4"/>
  <c r="J8" i="4"/>
  <c r="H319" i="4"/>
  <c r="J319" i="4"/>
  <c r="H248" i="4"/>
  <c r="J248" i="4"/>
  <c r="H168" i="4"/>
  <c r="J168" i="4"/>
  <c r="H69" i="4"/>
  <c r="J69" i="4"/>
  <c r="H337" i="4"/>
  <c r="J337" i="4"/>
  <c r="H297" i="4"/>
  <c r="J297" i="4"/>
  <c r="H230" i="4"/>
  <c r="J230" i="4"/>
  <c r="H186" i="4"/>
  <c r="J186" i="4"/>
  <c r="H364" i="4"/>
  <c r="J364" i="4"/>
  <c r="H356" i="4"/>
  <c r="J356" i="4"/>
  <c r="H344" i="4"/>
  <c r="J344" i="4"/>
  <c r="H336" i="4"/>
  <c r="J336" i="4"/>
  <c r="H328" i="4"/>
  <c r="J328" i="4"/>
  <c r="H316" i="4"/>
  <c r="J316" i="4"/>
  <c r="H308" i="4"/>
  <c r="J308" i="4"/>
  <c r="H296" i="4"/>
  <c r="J296" i="4"/>
  <c r="H288" i="4"/>
  <c r="J288" i="4"/>
  <c r="H280" i="4"/>
  <c r="J280" i="4"/>
  <c r="H273" i="4"/>
  <c r="J273" i="4"/>
  <c r="H265" i="4"/>
  <c r="J265" i="4"/>
  <c r="H257" i="4"/>
  <c r="J257" i="4"/>
  <c r="H245" i="4"/>
  <c r="J245" i="4"/>
  <c r="H237" i="4"/>
  <c r="J237" i="4"/>
  <c r="H229" i="4"/>
  <c r="J229" i="4"/>
  <c r="H221" i="4"/>
  <c r="J221" i="4"/>
  <c r="H213" i="4"/>
  <c r="J213" i="4"/>
  <c r="H205" i="4"/>
  <c r="J205" i="4"/>
  <c r="H193" i="4"/>
  <c r="J193" i="4"/>
  <c r="H185" i="4"/>
  <c r="J185" i="4"/>
  <c r="H173" i="4"/>
  <c r="J173" i="4"/>
  <c r="H165" i="4"/>
  <c r="J165" i="4"/>
  <c r="H157" i="4"/>
  <c r="J157" i="4"/>
  <c r="H145" i="4"/>
  <c r="J145" i="4"/>
  <c r="H137" i="4"/>
  <c r="J137" i="4"/>
  <c r="H129" i="4"/>
  <c r="J129" i="4"/>
  <c r="H122" i="4"/>
  <c r="J122" i="4"/>
  <c r="H114" i="4"/>
  <c r="J114" i="4"/>
  <c r="H106" i="4"/>
  <c r="J106" i="4"/>
  <c r="H94" i="4"/>
  <c r="J94" i="4"/>
  <c r="H86" i="4"/>
  <c r="J86" i="4"/>
  <c r="H78" i="4"/>
  <c r="J78" i="4"/>
  <c r="H66" i="4"/>
  <c r="J66" i="4"/>
  <c r="H58" i="4"/>
  <c r="J58" i="4"/>
  <c r="H46" i="4"/>
  <c r="H38" i="4"/>
  <c r="H30" i="4"/>
  <c r="J23" i="4"/>
  <c r="K23" i="4" s="1"/>
  <c r="H15" i="4"/>
  <c r="H7" i="4"/>
  <c r="J7" i="4"/>
  <c r="H367" i="4"/>
  <c r="J367" i="4"/>
  <c r="H283" i="4"/>
  <c r="J283" i="4"/>
  <c r="H232" i="4"/>
  <c r="J232" i="4"/>
  <c r="H216" i="4"/>
  <c r="J216" i="4"/>
  <c r="H148" i="4"/>
  <c r="J148" i="4"/>
  <c r="H81" i="4"/>
  <c r="J81" i="4"/>
  <c r="H10" i="4"/>
  <c r="J10" i="4"/>
  <c r="H345" i="4"/>
  <c r="J345" i="4"/>
  <c r="H289" i="4"/>
  <c r="J289" i="4"/>
  <c r="H266" i="4"/>
  <c r="J266" i="4"/>
  <c r="H178" i="4"/>
  <c r="J178" i="4"/>
  <c r="H363" i="4"/>
  <c r="J363" i="4"/>
  <c r="H343" i="4"/>
  <c r="J343" i="4"/>
  <c r="H335" i="4"/>
  <c r="J335" i="4"/>
  <c r="H323" i="4"/>
  <c r="J323" i="4"/>
  <c r="H315" i="4"/>
  <c r="J315" i="4"/>
  <c r="H307" i="4"/>
  <c r="J307" i="4"/>
  <c r="H295" i="4"/>
  <c r="J295" i="4"/>
  <c r="H287" i="4"/>
  <c r="J287" i="4"/>
  <c r="H279" i="4"/>
  <c r="J279" i="4"/>
  <c r="H272" i="4"/>
  <c r="J272" i="4"/>
  <c r="H264" i="4"/>
  <c r="J264" i="4"/>
  <c r="H256" i="4"/>
  <c r="J256" i="4"/>
  <c r="H244" i="4"/>
  <c r="J244" i="4"/>
  <c r="H236" i="4"/>
  <c r="J236" i="4"/>
  <c r="H228" i="4"/>
  <c r="J228" i="4"/>
  <c r="H220" i="4"/>
  <c r="J220" i="4"/>
  <c r="H212" i="4"/>
  <c r="J212" i="4"/>
  <c r="H204" i="4"/>
  <c r="J204" i="4"/>
  <c r="H192" i="4"/>
  <c r="J192" i="4"/>
  <c r="H184" i="4"/>
  <c r="J184" i="4"/>
  <c r="H172" i="4"/>
  <c r="J172" i="4"/>
  <c r="H164" i="4"/>
  <c r="J164" i="4"/>
  <c r="H156" i="4"/>
  <c r="J156" i="4"/>
  <c r="H144" i="4"/>
  <c r="J144" i="4"/>
  <c r="H136" i="4"/>
  <c r="J136" i="4"/>
  <c r="H128" i="4"/>
  <c r="J128" i="4"/>
  <c r="H121" i="4"/>
  <c r="J121" i="4"/>
  <c r="H113" i="4"/>
  <c r="J113" i="4"/>
  <c r="H105" i="4"/>
  <c r="J105" i="4"/>
  <c r="H93" i="4"/>
  <c r="J93" i="4"/>
  <c r="H85" i="4"/>
  <c r="J85" i="4"/>
  <c r="H73" i="4"/>
  <c r="J73" i="4"/>
  <c r="H65" i="4"/>
  <c r="J65" i="4"/>
  <c r="H57" i="4"/>
  <c r="J57" i="4"/>
  <c r="H45" i="4"/>
  <c r="J45" i="4"/>
  <c r="H37" i="4"/>
  <c r="H29" i="4"/>
  <c r="H22" i="4"/>
  <c r="H14" i="4"/>
  <c r="J14" i="4"/>
  <c r="H6" i="4"/>
  <c r="J6" i="4"/>
  <c r="H347" i="4"/>
  <c r="J347" i="4"/>
  <c r="H291" i="4"/>
  <c r="J291" i="4"/>
  <c r="H260" i="4"/>
  <c r="J260" i="4"/>
  <c r="H188" i="4"/>
  <c r="J188" i="4"/>
  <c r="H140" i="4"/>
  <c r="J140" i="4"/>
  <c r="H97" i="4"/>
  <c r="J97" i="4"/>
  <c r="H41" i="4"/>
  <c r="H329" i="4"/>
  <c r="J329" i="4"/>
  <c r="H281" i="4"/>
  <c r="J281" i="4"/>
  <c r="H258" i="4"/>
  <c r="J258" i="4"/>
  <c r="H166" i="4"/>
  <c r="J166" i="4"/>
  <c r="H372" i="4"/>
  <c r="J372" i="4"/>
  <c r="H371" i="4"/>
  <c r="J371" i="4"/>
  <c r="H355" i="4"/>
  <c r="J355" i="4"/>
  <c r="H370" i="4"/>
  <c r="J370" i="4"/>
  <c r="H362" i="4"/>
  <c r="J362" i="4"/>
  <c r="H354" i="4"/>
  <c r="J354" i="4"/>
  <c r="H342" i="4"/>
  <c r="J342" i="4"/>
  <c r="H334" i="4"/>
  <c r="J334" i="4"/>
  <c r="H322" i="4"/>
  <c r="J322" i="4"/>
  <c r="H314" i="4"/>
  <c r="J314" i="4"/>
  <c r="H306" i="4"/>
  <c r="J306" i="4"/>
  <c r="H294" i="4"/>
  <c r="J294" i="4"/>
  <c r="H286" i="4"/>
  <c r="J286" i="4"/>
  <c r="H278" i="4"/>
  <c r="J278" i="4"/>
  <c r="H271" i="4"/>
  <c r="J271" i="4"/>
  <c r="H263" i="4"/>
  <c r="J263" i="4"/>
  <c r="H255" i="4"/>
  <c r="J255" i="4"/>
  <c r="H243" i="4"/>
  <c r="J243" i="4"/>
  <c r="H235" i="4"/>
  <c r="J235" i="4"/>
  <c r="H219" i="4"/>
  <c r="J219" i="4"/>
  <c r="H211" i="4"/>
  <c r="J211" i="4"/>
  <c r="H203" i="4"/>
  <c r="J203" i="4"/>
  <c r="H191" i="4"/>
  <c r="J191" i="4"/>
  <c r="H183" i="4"/>
  <c r="J183" i="4"/>
  <c r="H171" i="4"/>
  <c r="J171" i="4"/>
  <c r="H163" i="4"/>
  <c r="J163" i="4"/>
  <c r="H155" i="4"/>
  <c r="J155" i="4"/>
  <c r="H143" i="4"/>
  <c r="J143" i="4"/>
  <c r="H135" i="4"/>
  <c r="J135" i="4"/>
  <c r="H120" i="4"/>
  <c r="J120" i="4"/>
  <c r="H112" i="4"/>
  <c r="J112" i="4"/>
  <c r="H104" i="4"/>
  <c r="J104" i="4"/>
  <c r="H92" i="4"/>
  <c r="J92" i="4"/>
  <c r="H84" i="4"/>
  <c r="J84" i="4"/>
  <c r="H72" i="4"/>
  <c r="J72" i="4"/>
  <c r="H64" i="4"/>
  <c r="J64" i="4"/>
  <c r="H56" i="4"/>
  <c r="J56" i="4"/>
  <c r="H44" i="4"/>
  <c r="H36" i="4"/>
  <c r="H28" i="4"/>
  <c r="H21" i="4"/>
  <c r="J21" i="4"/>
  <c r="H13" i="4"/>
  <c r="J13" i="4"/>
  <c r="J5" i="4"/>
  <c r="H331" i="4"/>
  <c r="J331" i="4"/>
  <c r="H240" i="4"/>
  <c r="J240" i="4"/>
  <c r="H180" i="4"/>
  <c r="J180" i="4"/>
  <c r="H61" i="4"/>
  <c r="J61" i="4"/>
  <c r="H373" i="4"/>
  <c r="J373" i="4"/>
  <c r="H317" i="4"/>
  <c r="J317" i="4"/>
  <c r="H246" i="4"/>
  <c r="J246" i="4"/>
  <c r="H214" i="4"/>
  <c r="J214" i="4"/>
  <c r="H369" i="4"/>
  <c r="J369" i="4"/>
  <c r="H361" i="4"/>
  <c r="J361" i="4"/>
  <c r="H353" i="4"/>
  <c r="J353" i="4"/>
  <c r="H341" i="4"/>
  <c r="J341" i="4"/>
  <c r="H333" i="4"/>
  <c r="J333" i="4"/>
  <c r="H321" i="4"/>
  <c r="J321" i="4"/>
  <c r="H313" i="4"/>
  <c r="J313" i="4"/>
  <c r="H305" i="4"/>
  <c r="J305" i="4"/>
  <c r="H293" i="4"/>
  <c r="J293" i="4"/>
  <c r="H285" i="4"/>
  <c r="J285" i="4"/>
  <c r="H270" i="4"/>
  <c r="J270" i="4"/>
  <c r="H262" i="4"/>
  <c r="J262" i="4"/>
  <c r="J254" i="4"/>
  <c r="H242" i="4"/>
  <c r="J242" i="4"/>
  <c r="H234" i="4"/>
  <c r="J234" i="4"/>
  <c r="H218" i="4"/>
  <c r="J218" i="4"/>
  <c r="H210" i="4"/>
  <c r="J210" i="4"/>
  <c r="H198" i="4"/>
  <c r="J198" i="4"/>
  <c r="H190" i="4"/>
  <c r="J190" i="4"/>
  <c r="H182" i="4"/>
  <c r="J182" i="4"/>
  <c r="H170" i="4"/>
  <c r="J170" i="4"/>
  <c r="H162" i="4"/>
  <c r="J162" i="4"/>
  <c r="H154" i="4"/>
  <c r="J154" i="4"/>
  <c r="H142" i="4"/>
  <c r="J142" i="4"/>
  <c r="H134" i="4"/>
  <c r="J134" i="4"/>
  <c r="H119" i="4"/>
  <c r="J119" i="4"/>
  <c r="H111" i="4"/>
  <c r="J111" i="4"/>
  <c r="H103" i="4"/>
  <c r="J103" i="4"/>
  <c r="H91" i="4"/>
  <c r="J91" i="4"/>
  <c r="H83" i="4"/>
  <c r="J83" i="4"/>
  <c r="H71" i="4"/>
  <c r="J71" i="4"/>
  <c r="H63" i="4"/>
  <c r="J63" i="4"/>
  <c r="H55" i="4"/>
  <c r="J55" i="4"/>
  <c r="H43" i="4"/>
  <c r="H35" i="4"/>
  <c r="H20" i="4"/>
  <c r="H12" i="4"/>
  <c r="J12" i="4"/>
  <c r="J4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A59" i="4"/>
  <c r="B59" i="4"/>
  <c r="C59" i="4"/>
  <c r="A60" i="4"/>
  <c r="B60" i="4"/>
  <c r="C60" i="4"/>
  <c r="A61" i="4"/>
  <c r="B61" i="4"/>
  <c r="C61" i="4"/>
  <c r="A62" i="4"/>
  <c r="B62" i="4"/>
  <c r="C62" i="4"/>
  <c r="A63" i="4"/>
  <c r="B63" i="4"/>
  <c r="C63" i="4"/>
  <c r="A64" i="4"/>
  <c r="B64" i="4"/>
  <c r="C64" i="4"/>
  <c r="A65" i="4"/>
  <c r="B65" i="4"/>
  <c r="C65" i="4"/>
  <c r="A66" i="4"/>
  <c r="B66" i="4"/>
  <c r="C66" i="4"/>
  <c r="A67" i="4"/>
  <c r="B67" i="4"/>
  <c r="C67" i="4"/>
  <c r="A68" i="4"/>
  <c r="B68" i="4"/>
  <c r="C68" i="4"/>
  <c r="A69" i="4"/>
  <c r="B69" i="4"/>
  <c r="C69" i="4"/>
  <c r="A70" i="4"/>
  <c r="B70" i="4"/>
  <c r="C70" i="4"/>
  <c r="A71" i="4"/>
  <c r="B71" i="4"/>
  <c r="C71" i="4"/>
  <c r="A72" i="4"/>
  <c r="B72" i="4"/>
  <c r="C72" i="4"/>
  <c r="A73" i="4"/>
  <c r="B73" i="4"/>
  <c r="C73" i="4"/>
  <c r="A78" i="4"/>
  <c r="B78" i="4"/>
  <c r="C78" i="4"/>
  <c r="A79" i="4"/>
  <c r="B79" i="4"/>
  <c r="C79" i="4"/>
  <c r="A80" i="4"/>
  <c r="B80" i="4"/>
  <c r="C80" i="4"/>
  <c r="A81" i="4"/>
  <c r="B81" i="4"/>
  <c r="C81" i="4"/>
  <c r="A82" i="4"/>
  <c r="B82" i="4"/>
  <c r="C82" i="4"/>
  <c r="A83" i="4"/>
  <c r="B83" i="4"/>
  <c r="C83" i="4"/>
  <c r="A84" i="4"/>
  <c r="B84" i="4"/>
  <c r="C84" i="4"/>
  <c r="A85" i="4"/>
  <c r="B85" i="4"/>
  <c r="C85" i="4"/>
  <c r="A86" i="4"/>
  <c r="B86" i="4"/>
  <c r="C86" i="4"/>
  <c r="A87" i="4"/>
  <c r="B87" i="4"/>
  <c r="C87" i="4"/>
  <c r="A88" i="4"/>
  <c r="B88" i="4"/>
  <c r="C88" i="4"/>
  <c r="A89" i="4"/>
  <c r="B89" i="4"/>
  <c r="C89" i="4"/>
  <c r="A90" i="4"/>
  <c r="B90" i="4"/>
  <c r="C90" i="4"/>
  <c r="A91" i="4"/>
  <c r="B91" i="4"/>
  <c r="C91" i="4"/>
  <c r="A92" i="4"/>
  <c r="B92" i="4"/>
  <c r="C92" i="4"/>
  <c r="A93" i="4"/>
  <c r="B93" i="4"/>
  <c r="C93" i="4"/>
  <c r="A94" i="4"/>
  <c r="B94" i="4"/>
  <c r="C94" i="4"/>
  <c r="A95" i="4"/>
  <c r="B95" i="4"/>
  <c r="C95" i="4"/>
  <c r="A96" i="4"/>
  <c r="B96" i="4"/>
  <c r="C96" i="4"/>
  <c r="A97" i="4"/>
  <c r="B97" i="4"/>
  <c r="C97" i="4"/>
  <c r="A98" i="4"/>
  <c r="B98" i="4"/>
  <c r="C98" i="4"/>
  <c r="A103" i="4"/>
  <c r="B103" i="4"/>
  <c r="C103" i="4"/>
  <c r="A104" i="4"/>
  <c r="B104" i="4"/>
  <c r="C104" i="4"/>
  <c r="A105" i="4"/>
  <c r="B105" i="4"/>
  <c r="C105" i="4"/>
  <c r="A106" i="4"/>
  <c r="B106" i="4"/>
  <c r="C106" i="4"/>
  <c r="A107" i="4"/>
  <c r="B107" i="4"/>
  <c r="C107" i="4"/>
  <c r="A108" i="4"/>
  <c r="B108" i="4"/>
  <c r="C108" i="4"/>
  <c r="A109" i="4"/>
  <c r="B109" i="4"/>
  <c r="C109" i="4"/>
  <c r="A110" i="4"/>
  <c r="B110" i="4"/>
  <c r="C110" i="4"/>
  <c r="A111" i="4"/>
  <c r="B111" i="4"/>
  <c r="C111" i="4"/>
  <c r="A112" i="4"/>
  <c r="B112" i="4"/>
  <c r="C112" i="4"/>
  <c r="A113" i="4"/>
  <c r="B113" i="4"/>
  <c r="C113" i="4"/>
  <c r="A114" i="4"/>
  <c r="B114" i="4"/>
  <c r="C114" i="4"/>
  <c r="A115" i="4"/>
  <c r="B115" i="4"/>
  <c r="C115" i="4"/>
  <c r="A116" i="4"/>
  <c r="B116" i="4"/>
  <c r="C116" i="4"/>
  <c r="A117" i="4"/>
  <c r="B117" i="4"/>
  <c r="C117" i="4"/>
  <c r="A118" i="4"/>
  <c r="B118" i="4"/>
  <c r="C118" i="4"/>
  <c r="A119" i="4"/>
  <c r="B119" i="4"/>
  <c r="C119" i="4"/>
  <c r="A120" i="4"/>
  <c r="B120" i="4"/>
  <c r="C120" i="4"/>
  <c r="A121" i="4"/>
  <c r="B121" i="4"/>
  <c r="C121" i="4"/>
  <c r="A122" i="4"/>
  <c r="B122" i="4"/>
  <c r="C122" i="4"/>
  <c r="A123" i="4"/>
  <c r="B123" i="4"/>
  <c r="C123" i="4"/>
  <c r="A128" i="4"/>
  <c r="B128" i="4"/>
  <c r="C128" i="4"/>
  <c r="A129" i="4"/>
  <c r="B129" i="4"/>
  <c r="C129" i="4"/>
  <c r="A130" i="4"/>
  <c r="B130" i="4"/>
  <c r="C130" i="4"/>
  <c r="A131" i="4"/>
  <c r="B131" i="4"/>
  <c r="C131" i="4"/>
  <c r="A132" i="4"/>
  <c r="B132" i="4"/>
  <c r="C132" i="4"/>
  <c r="A133" i="4"/>
  <c r="B133" i="4"/>
  <c r="C133" i="4"/>
  <c r="A134" i="4"/>
  <c r="B134" i="4"/>
  <c r="C134" i="4"/>
  <c r="A135" i="4"/>
  <c r="B135" i="4"/>
  <c r="C135" i="4"/>
  <c r="A136" i="4"/>
  <c r="B136" i="4"/>
  <c r="C136" i="4"/>
  <c r="A137" i="4"/>
  <c r="B137" i="4"/>
  <c r="C137" i="4"/>
  <c r="A138" i="4"/>
  <c r="B138" i="4"/>
  <c r="C138" i="4"/>
  <c r="A139" i="4"/>
  <c r="B139" i="4"/>
  <c r="C139" i="4"/>
  <c r="A140" i="4"/>
  <c r="B140" i="4"/>
  <c r="C140" i="4"/>
  <c r="A141" i="4"/>
  <c r="B141" i="4"/>
  <c r="C141" i="4"/>
  <c r="A142" i="4"/>
  <c r="B142" i="4"/>
  <c r="C142" i="4"/>
  <c r="A143" i="4"/>
  <c r="B143" i="4"/>
  <c r="C143" i="4"/>
  <c r="A144" i="4"/>
  <c r="B144" i="4"/>
  <c r="C144" i="4"/>
  <c r="A145" i="4"/>
  <c r="B145" i="4"/>
  <c r="C145" i="4"/>
  <c r="A146" i="4"/>
  <c r="B146" i="4"/>
  <c r="C146" i="4"/>
  <c r="A147" i="4"/>
  <c r="B147" i="4"/>
  <c r="C147" i="4"/>
  <c r="A148" i="4"/>
  <c r="B148" i="4"/>
  <c r="C148" i="4"/>
  <c r="A153" i="4"/>
  <c r="B153" i="4"/>
  <c r="C153" i="4"/>
  <c r="A154" i="4"/>
  <c r="B154" i="4"/>
  <c r="C154" i="4"/>
  <c r="A155" i="4"/>
  <c r="B155" i="4"/>
  <c r="C155" i="4"/>
  <c r="A156" i="4"/>
  <c r="B156" i="4"/>
  <c r="C156" i="4"/>
  <c r="A157" i="4"/>
  <c r="B157" i="4"/>
  <c r="C157" i="4"/>
  <c r="A158" i="4"/>
  <c r="B158" i="4"/>
  <c r="C158" i="4"/>
  <c r="A159" i="4"/>
  <c r="B159" i="4"/>
  <c r="C159" i="4"/>
  <c r="A160" i="4"/>
  <c r="B160" i="4"/>
  <c r="C160" i="4"/>
  <c r="A161" i="4"/>
  <c r="B161" i="4"/>
  <c r="C161" i="4"/>
  <c r="A162" i="4"/>
  <c r="B162" i="4"/>
  <c r="C162" i="4"/>
  <c r="A163" i="4"/>
  <c r="B163" i="4"/>
  <c r="C163" i="4"/>
  <c r="A164" i="4"/>
  <c r="B164" i="4"/>
  <c r="C164" i="4"/>
  <c r="A165" i="4"/>
  <c r="B165" i="4"/>
  <c r="C165" i="4"/>
  <c r="A166" i="4"/>
  <c r="B166" i="4"/>
  <c r="C166" i="4"/>
  <c r="A167" i="4"/>
  <c r="B167" i="4"/>
  <c r="C167" i="4"/>
  <c r="A168" i="4"/>
  <c r="B168" i="4"/>
  <c r="C168" i="4"/>
  <c r="A169" i="4"/>
  <c r="B169" i="4"/>
  <c r="C169" i="4"/>
  <c r="A170" i="4"/>
  <c r="B170" i="4"/>
  <c r="C170" i="4"/>
  <c r="A171" i="4"/>
  <c r="B171" i="4"/>
  <c r="C171" i="4"/>
  <c r="A172" i="4"/>
  <c r="B172" i="4"/>
  <c r="C172" i="4"/>
  <c r="A173" i="4"/>
  <c r="B173" i="4"/>
  <c r="C173" i="4"/>
  <c r="A178" i="4"/>
  <c r="B178" i="4"/>
  <c r="C178" i="4"/>
  <c r="A179" i="4"/>
  <c r="B179" i="4"/>
  <c r="C179" i="4"/>
  <c r="A180" i="4"/>
  <c r="B180" i="4"/>
  <c r="C180" i="4"/>
  <c r="A181" i="4"/>
  <c r="B181" i="4"/>
  <c r="C181" i="4"/>
  <c r="A182" i="4"/>
  <c r="B182" i="4"/>
  <c r="C182" i="4"/>
  <c r="A183" i="4"/>
  <c r="B183" i="4"/>
  <c r="C183" i="4"/>
  <c r="A184" i="4"/>
  <c r="B184" i="4"/>
  <c r="C184" i="4"/>
  <c r="A185" i="4"/>
  <c r="B185" i="4"/>
  <c r="C185" i="4"/>
  <c r="A186" i="4"/>
  <c r="B186" i="4"/>
  <c r="C186" i="4"/>
  <c r="A187" i="4"/>
  <c r="B187" i="4"/>
  <c r="C187" i="4"/>
  <c r="A188" i="4"/>
  <c r="B188" i="4"/>
  <c r="C188" i="4"/>
  <c r="A189" i="4"/>
  <c r="B189" i="4"/>
  <c r="C189" i="4"/>
  <c r="A190" i="4"/>
  <c r="B190" i="4"/>
  <c r="C190" i="4"/>
  <c r="A191" i="4"/>
  <c r="B191" i="4"/>
  <c r="C191" i="4"/>
  <c r="A192" i="4"/>
  <c r="B192" i="4"/>
  <c r="C192" i="4"/>
  <c r="A193" i="4"/>
  <c r="B193" i="4"/>
  <c r="C193" i="4"/>
  <c r="A194" i="4"/>
  <c r="B194" i="4"/>
  <c r="C194" i="4"/>
  <c r="A195" i="4"/>
  <c r="B195" i="4"/>
  <c r="C195" i="4"/>
  <c r="A196" i="4"/>
  <c r="B196" i="4"/>
  <c r="C196" i="4"/>
  <c r="A197" i="4"/>
  <c r="B197" i="4"/>
  <c r="C197" i="4"/>
  <c r="A198" i="4"/>
  <c r="B198" i="4"/>
  <c r="C198" i="4"/>
  <c r="A203" i="4"/>
  <c r="B203" i="4"/>
  <c r="C203" i="4"/>
  <c r="A204" i="4"/>
  <c r="B204" i="4"/>
  <c r="C204" i="4"/>
  <c r="A205" i="4"/>
  <c r="B205" i="4"/>
  <c r="C205" i="4"/>
  <c r="A206" i="4"/>
  <c r="B206" i="4"/>
  <c r="C206" i="4"/>
  <c r="A207" i="4"/>
  <c r="B207" i="4"/>
  <c r="C207" i="4"/>
  <c r="A208" i="4"/>
  <c r="B208" i="4"/>
  <c r="C208" i="4"/>
  <c r="A209" i="4"/>
  <c r="B209" i="4"/>
  <c r="C209" i="4"/>
  <c r="A210" i="4"/>
  <c r="B210" i="4"/>
  <c r="C210" i="4"/>
  <c r="A211" i="4"/>
  <c r="B211" i="4"/>
  <c r="C211" i="4"/>
  <c r="A212" i="4"/>
  <c r="B212" i="4"/>
  <c r="C212" i="4"/>
  <c r="A213" i="4"/>
  <c r="B213" i="4"/>
  <c r="C213" i="4"/>
  <c r="A214" i="4"/>
  <c r="B214" i="4"/>
  <c r="C214" i="4"/>
  <c r="A215" i="4"/>
  <c r="B215" i="4"/>
  <c r="C215" i="4"/>
  <c r="A216" i="4"/>
  <c r="B216" i="4"/>
  <c r="C216" i="4"/>
  <c r="A217" i="4"/>
  <c r="B217" i="4"/>
  <c r="C217" i="4"/>
  <c r="A218" i="4"/>
  <c r="B218" i="4"/>
  <c r="C218" i="4"/>
  <c r="A219" i="4"/>
  <c r="B219" i="4"/>
  <c r="C219" i="4"/>
  <c r="A220" i="4"/>
  <c r="B220" i="4"/>
  <c r="C220" i="4"/>
  <c r="A221" i="4"/>
  <c r="B221" i="4"/>
  <c r="C221" i="4"/>
  <c r="A222" i="4"/>
  <c r="B222" i="4"/>
  <c r="C222" i="4"/>
  <c r="A223" i="4"/>
  <c r="B223" i="4"/>
  <c r="C223" i="4"/>
  <c r="A228" i="4"/>
  <c r="B228" i="4"/>
  <c r="C228" i="4"/>
  <c r="A229" i="4"/>
  <c r="B229" i="4"/>
  <c r="C229" i="4"/>
  <c r="A230" i="4"/>
  <c r="B230" i="4"/>
  <c r="C230" i="4"/>
  <c r="A231" i="4"/>
  <c r="B231" i="4"/>
  <c r="C231" i="4"/>
  <c r="A232" i="4"/>
  <c r="B232" i="4"/>
  <c r="C232" i="4"/>
  <c r="A233" i="4"/>
  <c r="B233" i="4"/>
  <c r="C233" i="4"/>
  <c r="A234" i="4"/>
  <c r="B234" i="4"/>
  <c r="C234" i="4"/>
  <c r="A235" i="4"/>
  <c r="B235" i="4"/>
  <c r="C235" i="4"/>
  <c r="A236" i="4"/>
  <c r="B236" i="4"/>
  <c r="C236" i="4"/>
  <c r="A237" i="4"/>
  <c r="B237" i="4"/>
  <c r="C237" i="4"/>
  <c r="A238" i="4"/>
  <c r="B238" i="4"/>
  <c r="C238" i="4"/>
  <c r="A239" i="4"/>
  <c r="B239" i="4"/>
  <c r="C239" i="4"/>
  <c r="A240" i="4"/>
  <c r="B240" i="4"/>
  <c r="C240" i="4"/>
  <c r="A241" i="4"/>
  <c r="B241" i="4"/>
  <c r="C241" i="4"/>
  <c r="A242" i="4"/>
  <c r="B242" i="4"/>
  <c r="C242" i="4"/>
  <c r="A243" i="4"/>
  <c r="B243" i="4"/>
  <c r="C243" i="4"/>
  <c r="A244" i="4"/>
  <c r="B244" i="4"/>
  <c r="C244" i="4"/>
  <c r="A245" i="4"/>
  <c r="B245" i="4"/>
  <c r="C245" i="4"/>
  <c r="A246" i="4"/>
  <c r="B246" i="4"/>
  <c r="C246" i="4"/>
  <c r="A247" i="4"/>
  <c r="B247" i="4"/>
  <c r="C247" i="4"/>
  <c r="A248" i="4"/>
  <c r="B248" i="4"/>
  <c r="C248" i="4"/>
  <c r="A253" i="4"/>
  <c r="B253" i="4"/>
  <c r="C253" i="4"/>
  <c r="A254" i="4"/>
  <c r="B254" i="4"/>
  <c r="C254" i="4"/>
  <c r="A255" i="4"/>
  <c r="B255" i="4"/>
  <c r="C255" i="4"/>
  <c r="A256" i="4"/>
  <c r="B256" i="4"/>
  <c r="C256" i="4"/>
  <c r="A257" i="4"/>
  <c r="B257" i="4"/>
  <c r="C257" i="4"/>
  <c r="A258" i="4"/>
  <c r="B258" i="4"/>
  <c r="C258" i="4"/>
  <c r="A259" i="4"/>
  <c r="B259" i="4"/>
  <c r="C259" i="4"/>
  <c r="A260" i="4"/>
  <c r="B260" i="4"/>
  <c r="C260" i="4"/>
  <c r="A261" i="4"/>
  <c r="B261" i="4"/>
  <c r="C261" i="4"/>
  <c r="A262" i="4"/>
  <c r="B262" i="4"/>
  <c r="C262" i="4"/>
  <c r="A263" i="4"/>
  <c r="B263" i="4"/>
  <c r="C263" i="4"/>
  <c r="A264" i="4"/>
  <c r="B264" i="4"/>
  <c r="C264" i="4"/>
  <c r="A265" i="4"/>
  <c r="B265" i="4"/>
  <c r="C265" i="4"/>
  <c r="A266" i="4"/>
  <c r="B266" i="4"/>
  <c r="C266" i="4"/>
  <c r="A267" i="4"/>
  <c r="B267" i="4"/>
  <c r="C267" i="4"/>
  <c r="A268" i="4"/>
  <c r="B268" i="4"/>
  <c r="C268" i="4"/>
  <c r="A269" i="4"/>
  <c r="B269" i="4"/>
  <c r="C269" i="4"/>
  <c r="A270" i="4"/>
  <c r="B270" i="4"/>
  <c r="C270" i="4"/>
  <c r="A271" i="4"/>
  <c r="B271" i="4"/>
  <c r="C271" i="4"/>
  <c r="A272" i="4"/>
  <c r="B272" i="4"/>
  <c r="C272" i="4"/>
  <c r="A273" i="4"/>
  <c r="B273" i="4"/>
  <c r="C273" i="4"/>
  <c r="A278" i="4"/>
  <c r="B278" i="4"/>
  <c r="C278" i="4"/>
  <c r="A279" i="4"/>
  <c r="B279" i="4"/>
  <c r="C279" i="4"/>
  <c r="A280" i="4"/>
  <c r="B280" i="4"/>
  <c r="C280" i="4"/>
  <c r="A281" i="4"/>
  <c r="B281" i="4"/>
  <c r="C281" i="4"/>
  <c r="A282" i="4"/>
  <c r="B282" i="4"/>
  <c r="C282" i="4"/>
  <c r="A283" i="4"/>
  <c r="B283" i="4"/>
  <c r="C283" i="4"/>
  <c r="A284" i="4"/>
  <c r="B284" i="4"/>
  <c r="C284" i="4"/>
  <c r="A285" i="4"/>
  <c r="B285" i="4"/>
  <c r="C285" i="4"/>
  <c r="A286" i="4"/>
  <c r="B286" i="4"/>
  <c r="C286" i="4"/>
  <c r="A287" i="4"/>
  <c r="B287" i="4"/>
  <c r="C287" i="4"/>
  <c r="A288" i="4"/>
  <c r="B288" i="4"/>
  <c r="C288" i="4"/>
  <c r="A289" i="4"/>
  <c r="B289" i="4"/>
  <c r="C289" i="4"/>
  <c r="A290" i="4"/>
  <c r="B290" i="4"/>
  <c r="C290" i="4"/>
  <c r="A291" i="4"/>
  <c r="B291" i="4"/>
  <c r="C291" i="4"/>
  <c r="A292" i="4"/>
  <c r="B292" i="4"/>
  <c r="C292" i="4"/>
  <c r="A293" i="4"/>
  <c r="B293" i="4"/>
  <c r="C293" i="4"/>
  <c r="A294" i="4"/>
  <c r="B294" i="4"/>
  <c r="C294" i="4"/>
  <c r="A295" i="4"/>
  <c r="B295" i="4"/>
  <c r="C295" i="4"/>
  <c r="A296" i="4"/>
  <c r="B296" i="4"/>
  <c r="C296" i="4"/>
  <c r="A297" i="4"/>
  <c r="B297" i="4"/>
  <c r="C297" i="4"/>
  <c r="A298" i="4"/>
  <c r="B298" i="4"/>
  <c r="C298" i="4"/>
  <c r="A303" i="4"/>
  <c r="B303" i="4"/>
  <c r="C303" i="4"/>
  <c r="A304" i="4"/>
  <c r="B304" i="4"/>
  <c r="C304" i="4"/>
  <c r="A305" i="4"/>
  <c r="B305" i="4"/>
  <c r="C305" i="4"/>
  <c r="A306" i="4"/>
  <c r="B306" i="4"/>
  <c r="C306" i="4"/>
  <c r="A307" i="4"/>
  <c r="B307" i="4"/>
  <c r="C307" i="4"/>
  <c r="A308" i="4"/>
  <c r="B308" i="4"/>
  <c r="C308" i="4"/>
  <c r="A309" i="4"/>
  <c r="B309" i="4"/>
  <c r="C309" i="4"/>
  <c r="A310" i="4"/>
  <c r="B310" i="4"/>
  <c r="C310" i="4"/>
  <c r="A311" i="4"/>
  <c r="B311" i="4"/>
  <c r="C311" i="4"/>
  <c r="A312" i="4"/>
  <c r="B312" i="4"/>
  <c r="C312" i="4"/>
  <c r="A313" i="4"/>
  <c r="B313" i="4"/>
  <c r="C313" i="4"/>
  <c r="A314" i="4"/>
  <c r="B314" i="4"/>
  <c r="C314" i="4"/>
  <c r="A315" i="4"/>
  <c r="B315" i="4"/>
  <c r="C315" i="4"/>
  <c r="A316" i="4"/>
  <c r="B316" i="4"/>
  <c r="C316" i="4"/>
  <c r="A317" i="4"/>
  <c r="B317" i="4"/>
  <c r="C317" i="4"/>
  <c r="A318" i="4"/>
  <c r="B318" i="4"/>
  <c r="C318" i="4"/>
  <c r="A319" i="4"/>
  <c r="B319" i="4"/>
  <c r="C319" i="4"/>
  <c r="A320" i="4"/>
  <c r="B320" i="4"/>
  <c r="C320" i="4"/>
  <c r="A321" i="4"/>
  <c r="B321" i="4"/>
  <c r="C321" i="4"/>
  <c r="A322" i="4"/>
  <c r="B322" i="4"/>
  <c r="C322" i="4"/>
  <c r="A323" i="4"/>
  <c r="B323" i="4"/>
  <c r="C323" i="4"/>
  <c r="A328" i="4"/>
  <c r="B328" i="4"/>
  <c r="C328" i="4"/>
  <c r="A329" i="4"/>
  <c r="B329" i="4"/>
  <c r="C329" i="4"/>
  <c r="A330" i="4"/>
  <c r="B330" i="4"/>
  <c r="C330" i="4"/>
  <c r="A331" i="4"/>
  <c r="B331" i="4"/>
  <c r="C331" i="4"/>
  <c r="A332" i="4"/>
  <c r="B332" i="4"/>
  <c r="C332" i="4"/>
  <c r="A333" i="4"/>
  <c r="B333" i="4"/>
  <c r="C333" i="4"/>
  <c r="A334" i="4"/>
  <c r="B334" i="4"/>
  <c r="C334" i="4"/>
  <c r="A335" i="4"/>
  <c r="B335" i="4"/>
  <c r="C335" i="4"/>
  <c r="A336" i="4"/>
  <c r="B336" i="4"/>
  <c r="C336" i="4"/>
  <c r="A337" i="4"/>
  <c r="B337" i="4"/>
  <c r="C337" i="4"/>
  <c r="A338" i="4"/>
  <c r="B338" i="4"/>
  <c r="C338" i="4"/>
  <c r="A339" i="4"/>
  <c r="B339" i="4"/>
  <c r="C339" i="4"/>
  <c r="A340" i="4"/>
  <c r="B340" i="4"/>
  <c r="C340" i="4"/>
  <c r="A341" i="4"/>
  <c r="B341" i="4"/>
  <c r="C341" i="4"/>
  <c r="A342" i="4"/>
  <c r="B342" i="4"/>
  <c r="C342" i="4"/>
  <c r="A343" i="4"/>
  <c r="B343" i="4"/>
  <c r="C343" i="4"/>
  <c r="A344" i="4"/>
  <c r="B344" i="4"/>
  <c r="C344" i="4"/>
  <c r="A345" i="4"/>
  <c r="B345" i="4"/>
  <c r="C345" i="4"/>
  <c r="A346" i="4"/>
  <c r="B346" i="4"/>
  <c r="C346" i="4"/>
  <c r="A347" i="4"/>
  <c r="B347" i="4"/>
  <c r="C347" i="4"/>
  <c r="A348" i="4"/>
  <c r="B348" i="4"/>
  <c r="C348" i="4"/>
  <c r="A353" i="4"/>
  <c r="B353" i="4"/>
  <c r="C353" i="4"/>
  <c r="A354" i="4"/>
  <c r="B354" i="4"/>
  <c r="C354" i="4"/>
  <c r="A355" i="4"/>
  <c r="B355" i="4"/>
  <c r="C355" i="4"/>
  <c r="A356" i="4"/>
  <c r="B356" i="4"/>
  <c r="C356" i="4"/>
  <c r="A357" i="4"/>
  <c r="B357" i="4"/>
  <c r="C357" i="4"/>
  <c r="A358" i="4"/>
  <c r="B358" i="4"/>
  <c r="C358" i="4"/>
  <c r="A359" i="4"/>
  <c r="B359" i="4"/>
  <c r="C359" i="4"/>
  <c r="A360" i="4"/>
  <c r="B360" i="4"/>
  <c r="C360" i="4"/>
  <c r="A361" i="4"/>
  <c r="B361" i="4"/>
  <c r="C361" i="4"/>
  <c r="A362" i="4"/>
  <c r="B362" i="4"/>
  <c r="C362" i="4"/>
  <c r="A363" i="4"/>
  <c r="B363" i="4"/>
  <c r="C363" i="4"/>
  <c r="A364" i="4"/>
  <c r="B364" i="4"/>
  <c r="C364" i="4"/>
  <c r="A365" i="4"/>
  <c r="B365" i="4"/>
  <c r="C365" i="4"/>
  <c r="A366" i="4"/>
  <c r="B366" i="4"/>
  <c r="C366" i="4"/>
  <c r="A367" i="4"/>
  <c r="B367" i="4"/>
  <c r="C367" i="4"/>
  <c r="A368" i="4"/>
  <c r="B368" i="4"/>
  <c r="C368" i="4"/>
  <c r="A369" i="4"/>
  <c r="B369" i="4"/>
  <c r="C369" i="4"/>
  <c r="A370" i="4"/>
  <c r="B370" i="4"/>
  <c r="C370" i="4"/>
  <c r="A371" i="4"/>
  <c r="B371" i="4"/>
  <c r="C371" i="4"/>
  <c r="A372" i="4"/>
  <c r="B372" i="4"/>
  <c r="C372" i="4"/>
  <c r="A373" i="4"/>
  <c r="B373" i="4"/>
  <c r="C373" i="4"/>
  <c r="C1" i="4"/>
  <c r="B1" i="4"/>
  <c r="A1" i="4"/>
  <c r="K20" i="4" l="1"/>
  <c r="K35" i="4"/>
  <c r="K71" i="4"/>
  <c r="K111" i="4"/>
  <c r="K162" i="4"/>
  <c r="K198" i="4"/>
  <c r="K254" i="4"/>
  <c r="K305" i="4"/>
  <c r="K341" i="4"/>
  <c r="K214" i="4"/>
  <c r="K317" i="4"/>
  <c r="K240" i="4"/>
  <c r="K13" i="4"/>
  <c r="K28" i="4"/>
  <c r="K64" i="4"/>
  <c r="K104" i="4"/>
  <c r="K155" i="4"/>
  <c r="K191" i="4"/>
  <c r="K243" i="4"/>
  <c r="K294" i="4"/>
  <c r="K334" i="4"/>
  <c r="K370" i="4"/>
  <c r="K166" i="4"/>
  <c r="K281" i="4"/>
  <c r="K97" i="4"/>
  <c r="K6" i="4"/>
  <c r="K57" i="4"/>
  <c r="K93" i="4"/>
  <c r="K144" i="4"/>
  <c r="K184" i="4"/>
  <c r="K220" i="4"/>
  <c r="K236" i="4"/>
  <c r="K272" i="4"/>
  <c r="K287" i="4"/>
  <c r="K323" i="4"/>
  <c r="K178" i="4"/>
  <c r="K345" i="4"/>
  <c r="K216" i="4"/>
  <c r="K367" i="4"/>
  <c r="K46" i="4"/>
  <c r="K86" i="4"/>
  <c r="K122" i="4"/>
  <c r="K137" i="4"/>
  <c r="K173" i="4"/>
  <c r="K213" i="4"/>
  <c r="K229" i="4"/>
  <c r="K265" i="4"/>
  <c r="K280" i="4"/>
  <c r="K316" i="4"/>
  <c r="K356" i="4"/>
  <c r="K69" i="4"/>
  <c r="K8" i="4"/>
  <c r="K31" i="4"/>
  <c r="K67" i="4"/>
  <c r="K107" i="4"/>
  <c r="K158" i="4"/>
  <c r="K238" i="4"/>
  <c r="K9" i="4"/>
  <c r="K60" i="4"/>
  <c r="K96" i="4"/>
  <c r="K147" i="4"/>
  <c r="K187" i="4"/>
  <c r="K223" i="4"/>
  <c r="K239" i="4"/>
  <c r="K290" i="4"/>
  <c r="K330" i="4"/>
  <c r="K366" i="4"/>
  <c r="K109" i="4"/>
  <c r="K359" i="4"/>
  <c r="K54" i="4"/>
  <c r="K90" i="4"/>
  <c r="K141" i="4"/>
  <c r="K181" i="4"/>
  <c r="K217" i="4"/>
  <c r="K233" i="4"/>
  <c r="K269" i="4"/>
  <c r="K284" i="4"/>
  <c r="K320" i="4"/>
  <c r="K360" i="4"/>
  <c r="K89" i="4"/>
  <c r="K43" i="4"/>
  <c r="K83" i="4"/>
  <c r="K119" i="4"/>
  <c r="K134" i="4"/>
  <c r="K170" i="4"/>
  <c r="K210" i="4"/>
  <c r="K262" i="4"/>
  <c r="K313" i="4"/>
  <c r="K353" i="4"/>
  <c r="K373" i="4"/>
  <c r="K180" i="4"/>
  <c r="K21" i="4"/>
  <c r="K36" i="4"/>
  <c r="K72" i="4"/>
  <c r="K112" i="4"/>
  <c r="K163" i="4"/>
  <c r="K203" i="4"/>
  <c r="K255" i="4"/>
  <c r="K306" i="4"/>
  <c r="K342" i="4"/>
  <c r="K355" i="4"/>
  <c r="K329" i="4"/>
  <c r="K140" i="4"/>
  <c r="K260" i="4"/>
  <c r="K14" i="4"/>
  <c r="K29" i="4"/>
  <c r="K65" i="4"/>
  <c r="K105" i="4"/>
  <c r="K156" i="4"/>
  <c r="K192" i="4"/>
  <c r="K244" i="4"/>
  <c r="K295" i="4"/>
  <c r="K335" i="4"/>
  <c r="K10" i="4"/>
  <c r="K7" i="4"/>
  <c r="K58" i="4"/>
  <c r="K94" i="4"/>
  <c r="K145" i="4"/>
  <c r="K185" i="4"/>
  <c r="K221" i="4"/>
  <c r="K237" i="4"/>
  <c r="K273" i="4"/>
  <c r="K288" i="4"/>
  <c r="K328" i="4"/>
  <c r="K364" i="4"/>
  <c r="K297" i="4"/>
  <c r="K248" i="4"/>
  <c r="K16" i="4"/>
  <c r="K39" i="4"/>
  <c r="K79" i="4"/>
  <c r="K115" i="4"/>
  <c r="K130" i="4"/>
  <c r="K206" i="4"/>
  <c r="K365" i="4"/>
  <c r="K17" i="4"/>
  <c r="K32" i="4"/>
  <c r="K68" i="4"/>
  <c r="K108" i="4"/>
  <c r="K159" i="4"/>
  <c r="K195" i="4"/>
  <c r="K247" i="4"/>
  <c r="K298" i="4"/>
  <c r="K338" i="4"/>
  <c r="K3" i="4"/>
  <c r="K11" i="4"/>
  <c r="K62" i="4"/>
  <c r="K98" i="4"/>
  <c r="K153" i="4"/>
  <c r="K189" i="4"/>
  <c r="K241" i="4"/>
  <c r="K292" i="4"/>
  <c r="K332" i="4"/>
  <c r="K368" i="4"/>
  <c r="K309" i="4"/>
  <c r="K132" i="4"/>
  <c r="K4" i="4"/>
  <c r="K55" i="4"/>
  <c r="K91" i="4"/>
  <c r="K142" i="4"/>
  <c r="K182" i="4"/>
  <c r="K218" i="4"/>
  <c r="K234" i="4"/>
  <c r="K270" i="4"/>
  <c r="K285" i="4"/>
  <c r="K321" i="4"/>
  <c r="K361" i="4"/>
  <c r="K246" i="4"/>
  <c r="K331" i="4"/>
  <c r="K44" i="4"/>
  <c r="K84" i="4"/>
  <c r="K120" i="4"/>
  <c r="K135" i="4"/>
  <c r="K171" i="4"/>
  <c r="K211" i="4"/>
  <c r="K263" i="4"/>
  <c r="K278" i="4"/>
  <c r="K314" i="4"/>
  <c r="K354" i="4"/>
  <c r="K371" i="4"/>
  <c r="K188" i="4"/>
  <c r="K291" i="4"/>
  <c r="K22" i="4"/>
  <c r="K37" i="4"/>
  <c r="K73" i="4"/>
  <c r="K113" i="4"/>
  <c r="K128" i="4"/>
  <c r="K164" i="4"/>
  <c r="K204" i="4"/>
  <c r="K256" i="4"/>
  <c r="K307" i="4"/>
  <c r="K343" i="4"/>
  <c r="K266" i="4"/>
  <c r="K81" i="4"/>
  <c r="K232" i="4"/>
  <c r="K15" i="4"/>
  <c r="K30" i="4"/>
  <c r="K66" i="4"/>
  <c r="K106" i="4"/>
  <c r="K157" i="4"/>
  <c r="K193" i="4"/>
  <c r="K245" i="4"/>
  <c r="K296" i="4"/>
  <c r="K336" i="4"/>
  <c r="K186" i="4"/>
  <c r="K337" i="4"/>
  <c r="K168" i="4"/>
  <c r="K47" i="4"/>
  <c r="K87" i="4"/>
  <c r="K123" i="4"/>
  <c r="K138" i="4"/>
  <c r="K222" i="4"/>
  <c r="K117" i="4"/>
  <c r="K40" i="4"/>
  <c r="K80" i="4"/>
  <c r="K116" i="4"/>
  <c r="K131" i="4"/>
  <c r="K167" i="4"/>
  <c r="K207" i="4"/>
  <c r="K259" i="4"/>
  <c r="K310" i="4"/>
  <c r="K346" i="4"/>
  <c r="K33" i="4"/>
  <c r="K160" i="4"/>
  <c r="K268" i="4"/>
  <c r="K19" i="4"/>
  <c r="K34" i="4"/>
  <c r="K70" i="4"/>
  <c r="K110" i="4"/>
  <c r="K161" i="4"/>
  <c r="K197" i="4"/>
  <c r="K253" i="4"/>
  <c r="K304" i="4"/>
  <c r="K340" i="4"/>
  <c r="K194" i="4"/>
  <c r="K357" i="4"/>
  <c r="K196" i="4"/>
  <c r="K339" i="4"/>
  <c r="K12" i="4"/>
  <c r="K63" i="4"/>
  <c r="K103" i="4"/>
  <c r="K154" i="4"/>
  <c r="K190" i="4"/>
  <c r="K242" i="4"/>
  <c r="K293" i="4"/>
  <c r="K333" i="4"/>
  <c r="K369" i="4"/>
  <c r="K61" i="4"/>
  <c r="K5" i="4"/>
  <c r="K56" i="4"/>
  <c r="K92" i="4"/>
  <c r="K143" i="4"/>
  <c r="K183" i="4"/>
  <c r="K219" i="4"/>
  <c r="K235" i="4"/>
  <c r="K271" i="4"/>
  <c r="K286" i="4"/>
  <c r="K322" i="4"/>
  <c r="K362" i="4"/>
  <c r="K372" i="4"/>
  <c r="K258" i="4"/>
  <c r="K41" i="4"/>
  <c r="K347" i="4"/>
  <c r="K45" i="4"/>
  <c r="K85" i="4"/>
  <c r="K121" i="4"/>
  <c r="K136" i="4"/>
  <c r="K172" i="4"/>
  <c r="K212" i="4"/>
  <c r="K228" i="4"/>
  <c r="K264" i="4"/>
  <c r="K279" i="4"/>
  <c r="K315" i="4"/>
  <c r="K363" i="4"/>
  <c r="K289" i="4"/>
  <c r="K148" i="4"/>
  <c r="K283" i="4"/>
  <c r="K38" i="4"/>
  <c r="K78" i="4"/>
  <c r="K114" i="4"/>
  <c r="K129" i="4"/>
  <c r="K165" i="4"/>
  <c r="K205" i="4"/>
  <c r="K257" i="4"/>
  <c r="K308" i="4"/>
  <c r="K344" i="4"/>
  <c r="K230" i="4"/>
  <c r="K319" i="4"/>
  <c r="K59" i="4"/>
  <c r="K95" i="4"/>
  <c r="K146" i="4"/>
  <c r="K311" i="4"/>
  <c r="K48" i="4"/>
  <c r="K88" i="4"/>
  <c r="K139" i="4"/>
  <c r="K179" i="4"/>
  <c r="K215" i="4"/>
  <c r="K231" i="4"/>
  <c r="K267" i="4"/>
  <c r="K282" i="4"/>
  <c r="K318" i="4"/>
  <c r="K358" i="4"/>
  <c r="K53" i="4"/>
  <c r="K208" i="4"/>
  <c r="K303" i="4"/>
  <c r="K42" i="4"/>
  <c r="K82" i="4"/>
  <c r="K118" i="4"/>
  <c r="K133" i="4"/>
  <c r="K169" i="4"/>
  <c r="K209" i="4"/>
  <c r="K261" i="4"/>
  <c r="K312" i="4"/>
  <c r="K348" i="4"/>
  <c r="K18" i="4"/>
  <c r="M2" i="2" l="1"/>
  <c r="N2" i="2" s="1"/>
  <c r="K15" i="2" l="1"/>
  <c r="B17" i="11" s="1"/>
  <c r="M15" i="2"/>
  <c r="N15" i="2" s="1"/>
  <c r="B4" i="11"/>
  <c r="D10" i="4"/>
  <c r="D10" i="6"/>
  <c r="D69" i="4"/>
  <c r="D69" i="6"/>
  <c r="D132" i="4"/>
  <c r="D132" i="6"/>
  <c r="D180" i="4"/>
  <c r="D180" i="6"/>
  <c r="D248" i="4"/>
  <c r="D248" i="6"/>
  <c r="D311" i="4"/>
  <c r="D311" i="6"/>
  <c r="D331" i="4"/>
  <c r="D331" i="6"/>
  <c r="D70" i="4"/>
  <c r="D70" i="6"/>
  <c r="D197" i="4"/>
  <c r="D197" i="6"/>
  <c r="D368" i="4"/>
  <c r="D368" i="6"/>
  <c r="D12" i="4"/>
  <c r="D12" i="6"/>
  <c r="D20" i="4"/>
  <c r="D20" i="6"/>
  <c r="D35" i="4"/>
  <c r="D35" i="6"/>
  <c r="D43" i="4"/>
  <c r="D43" i="6"/>
  <c r="D55" i="4"/>
  <c r="D55" i="6"/>
  <c r="D63" i="4"/>
  <c r="D63" i="6"/>
  <c r="D71" i="4"/>
  <c r="D71" i="6"/>
  <c r="D83" i="4"/>
  <c r="D83" i="6"/>
  <c r="D91" i="4"/>
  <c r="D91" i="6"/>
  <c r="D103" i="4"/>
  <c r="D103" i="6"/>
  <c r="D111" i="4"/>
  <c r="D111" i="6"/>
  <c r="D119" i="4"/>
  <c r="D119" i="6"/>
  <c r="D134" i="4"/>
  <c r="D134" i="6"/>
  <c r="D142" i="4"/>
  <c r="D142" i="6"/>
  <c r="D154" i="4"/>
  <c r="D154" i="6"/>
  <c r="D162" i="4"/>
  <c r="D162" i="6"/>
  <c r="D170" i="4"/>
  <c r="D170" i="6"/>
  <c r="D182" i="4"/>
  <c r="D182" i="6"/>
  <c r="D190" i="4"/>
  <c r="D190" i="6"/>
  <c r="D198" i="4"/>
  <c r="D198" i="6"/>
  <c r="D210" i="4"/>
  <c r="D210" i="6"/>
  <c r="D218" i="4"/>
  <c r="D218" i="6"/>
  <c r="D234" i="4"/>
  <c r="D234" i="6"/>
  <c r="D242" i="4"/>
  <c r="D242" i="6"/>
  <c r="D254" i="4"/>
  <c r="D254" i="6"/>
  <c r="D262" i="4"/>
  <c r="D262" i="6"/>
  <c r="D270" i="4"/>
  <c r="D270" i="6"/>
  <c r="D285" i="4"/>
  <c r="D285" i="6"/>
  <c r="D293" i="4"/>
  <c r="D293" i="6"/>
  <c r="D305" i="4"/>
  <c r="D305" i="6"/>
  <c r="D313" i="4"/>
  <c r="D313" i="6"/>
  <c r="D321" i="4"/>
  <c r="D321" i="6"/>
  <c r="D333" i="4"/>
  <c r="D333" i="6"/>
  <c r="D341" i="4"/>
  <c r="D341" i="6"/>
  <c r="D353" i="4"/>
  <c r="D353" i="6"/>
  <c r="D361" i="4"/>
  <c r="D361" i="6"/>
  <c r="D369" i="4"/>
  <c r="D369" i="6"/>
  <c r="D61" i="4"/>
  <c r="D61" i="6"/>
  <c r="D97" i="4"/>
  <c r="D97" i="6"/>
  <c r="D168" i="4"/>
  <c r="D168" i="6"/>
  <c r="D196" i="4"/>
  <c r="D196" i="6"/>
  <c r="D240" i="4"/>
  <c r="D240" i="6"/>
  <c r="D283" i="4"/>
  <c r="D283" i="6"/>
  <c r="D303" i="4"/>
  <c r="D303" i="6"/>
  <c r="D319" i="4"/>
  <c r="D319" i="6"/>
  <c r="D19" i="4"/>
  <c r="D19" i="6"/>
  <c r="D62" i="4"/>
  <c r="D62" i="6"/>
  <c r="D189" i="4"/>
  <c r="D189" i="6"/>
  <c r="D360" i="4"/>
  <c r="D360" i="6"/>
  <c r="D13" i="4"/>
  <c r="D13" i="6"/>
  <c r="D21" i="4"/>
  <c r="D21" i="6"/>
  <c r="D28" i="4"/>
  <c r="D28" i="6"/>
  <c r="D36" i="4"/>
  <c r="D36" i="6"/>
  <c r="D44" i="4"/>
  <c r="D44" i="6"/>
  <c r="D56" i="4"/>
  <c r="D56" i="6"/>
  <c r="D64" i="4"/>
  <c r="D64" i="6"/>
  <c r="D72" i="4"/>
  <c r="D72" i="6"/>
  <c r="D84" i="4"/>
  <c r="D84" i="6"/>
  <c r="D92" i="4"/>
  <c r="D92" i="6"/>
  <c r="D104" i="4"/>
  <c r="D104" i="6"/>
  <c r="D112" i="4"/>
  <c r="D112" i="6"/>
  <c r="D120" i="4"/>
  <c r="D120" i="6"/>
  <c r="D135" i="4"/>
  <c r="D135" i="6"/>
  <c r="D143" i="4"/>
  <c r="D143" i="6"/>
  <c r="D155" i="4"/>
  <c r="D155" i="6"/>
  <c r="D163" i="4"/>
  <c r="D163" i="6"/>
  <c r="D171" i="4"/>
  <c r="D171" i="6"/>
  <c r="D183" i="4"/>
  <c r="D183" i="6"/>
  <c r="D191" i="4"/>
  <c r="D191" i="6"/>
  <c r="D203" i="4"/>
  <c r="D203" i="6"/>
  <c r="D211" i="4"/>
  <c r="D211" i="6"/>
  <c r="D219" i="4"/>
  <c r="D219" i="6"/>
  <c r="D235" i="4"/>
  <c r="D235" i="6"/>
  <c r="D243" i="4"/>
  <c r="D243" i="6"/>
  <c r="D255" i="4"/>
  <c r="D255" i="6"/>
  <c r="D263" i="4"/>
  <c r="D263" i="6"/>
  <c r="D271" i="4"/>
  <c r="D271" i="6"/>
  <c r="D278" i="4"/>
  <c r="D278" i="6"/>
  <c r="D286" i="4"/>
  <c r="D286" i="6"/>
  <c r="D294" i="4"/>
  <c r="D294" i="6"/>
  <c r="D306" i="4"/>
  <c r="D306" i="6"/>
  <c r="D314" i="4"/>
  <c r="D314" i="6"/>
  <c r="D322" i="4"/>
  <c r="D322" i="6"/>
  <c r="D334" i="4"/>
  <c r="D334" i="6"/>
  <c r="D342" i="4"/>
  <c r="D342" i="6"/>
  <c r="D354" i="4"/>
  <c r="D354" i="6"/>
  <c r="D362" i="4"/>
  <c r="D362" i="6"/>
  <c r="D370" i="4"/>
  <c r="D370" i="6"/>
  <c r="D89" i="4"/>
  <c r="D89" i="6"/>
  <c r="D160" i="4"/>
  <c r="D160" i="6"/>
  <c r="D347" i="4"/>
  <c r="D347" i="6"/>
  <c r="D42" i="4"/>
  <c r="D42" i="6"/>
  <c r="D110" i="4"/>
  <c r="D110" i="6"/>
  <c r="D141" i="4"/>
  <c r="D141" i="6"/>
  <c r="D169" i="4"/>
  <c r="D169" i="6"/>
  <c r="D217" i="4"/>
  <c r="D217" i="6"/>
  <c r="D233" i="4"/>
  <c r="D233" i="6"/>
  <c r="D241" i="4"/>
  <c r="D241" i="6"/>
  <c r="D253" i="4"/>
  <c r="D253" i="6"/>
  <c r="D261" i="4"/>
  <c r="D261" i="6"/>
  <c r="D269" i="4"/>
  <c r="D269" i="6"/>
  <c r="D284" i="4"/>
  <c r="D284" i="6"/>
  <c r="D292" i="4"/>
  <c r="D292" i="6"/>
  <c r="D304" i="4"/>
  <c r="D304" i="6"/>
  <c r="D312" i="4"/>
  <c r="D312" i="6"/>
  <c r="D348" i="4"/>
  <c r="D348" i="6"/>
  <c r="D14" i="4"/>
  <c r="D14" i="6"/>
  <c r="D29" i="4"/>
  <c r="D29" i="6"/>
  <c r="D37" i="4"/>
  <c r="D37" i="6"/>
  <c r="D45" i="4"/>
  <c r="D45" i="6"/>
  <c r="D57" i="4"/>
  <c r="D57" i="6"/>
  <c r="D65" i="4"/>
  <c r="D65" i="6"/>
  <c r="D73" i="4"/>
  <c r="D73" i="6"/>
  <c r="D85" i="4"/>
  <c r="D85" i="6"/>
  <c r="D93" i="4"/>
  <c r="D93" i="6"/>
  <c r="D105" i="4"/>
  <c r="D105" i="6"/>
  <c r="D113" i="4"/>
  <c r="D113" i="6"/>
  <c r="D121" i="4"/>
  <c r="D121" i="6"/>
  <c r="D128" i="4"/>
  <c r="D128" i="6"/>
  <c r="D136" i="4"/>
  <c r="D136" i="6"/>
  <c r="D144" i="4"/>
  <c r="D144" i="6"/>
  <c r="D156" i="4"/>
  <c r="D156" i="6"/>
  <c r="D164" i="4"/>
  <c r="D164" i="6"/>
  <c r="D172" i="4"/>
  <c r="D172" i="6"/>
  <c r="D184" i="4"/>
  <c r="D184" i="6"/>
  <c r="D192" i="4"/>
  <c r="D192" i="6"/>
  <c r="D204" i="4"/>
  <c r="D204" i="6"/>
  <c r="D212" i="4"/>
  <c r="D212" i="6"/>
  <c r="D220" i="4"/>
  <c r="D220" i="6"/>
  <c r="D228" i="4"/>
  <c r="D228" i="6"/>
  <c r="D236" i="4"/>
  <c r="D236" i="6"/>
  <c r="D244" i="4"/>
  <c r="D244" i="6"/>
  <c r="D256" i="4"/>
  <c r="D256" i="6"/>
  <c r="D264" i="4"/>
  <c r="D264" i="6"/>
  <c r="D272" i="4"/>
  <c r="D272" i="6"/>
  <c r="D279" i="4"/>
  <c r="D279" i="6"/>
  <c r="D287" i="4"/>
  <c r="D287" i="6"/>
  <c r="D295" i="4"/>
  <c r="D295" i="6"/>
  <c r="D307" i="4"/>
  <c r="D307" i="6"/>
  <c r="D315" i="4"/>
  <c r="D315" i="6"/>
  <c r="D323" i="4"/>
  <c r="D323" i="6"/>
  <c r="D335" i="4"/>
  <c r="D335" i="6"/>
  <c r="D343" i="4"/>
  <c r="D343" i="6"/>
  <c r="D355" i="4"/>
  <c r="D355" i="6"/>
  <c r="D363" i="4"/>
  <c r="D363" i="6"/>
  <c r="D371" i="4"/>
  <c r="D371" i="6"/>
  <c r="D18" i="4"/>
  <c r="D18" i="6"/>
  <c r="D41" i="4"/>
  <c r="D41" i="6"/>
  <c r="D81" i="4"/>
  <c r="D81" i="6"/>
  <c r="D188" i="4"/>
  <c r="D188" i="6"/>
  <c r="D260" i="4"/>
  <c r="D260" i="6"/>
  <c r="D359" i="4"/>
  <c r="D359" i="6"/>
  <c r="D34" i="4"/>
  <c r="D34" i="6"/>
  <c r="D98" i="4"/>
  <c r="D98" i="6"/>
  <c r="D153" i="4"/>
  <c r="D153" i="6"/>
  <c r="D209" i="4"/>
  <c r="D209" i="6"/>
  <c r="D320" i="4"/>
  <c r="D320" i="6"/>
  <c r="D5" i="4"/>
  <c r="D5" i="6"/>
  <c r="D7" i="4"/>
  <c r="D7" i="6"/>
  <c r="D46" i="4"/>
  <c r="D46" i="6"/>
  <c r="D58" i="4"/>
  <c r="D58" i="6"/>
  <c r="D66" i="4"/>
  <c r="D66" i="6"/>
  <c r="D78" i="4"/>
  <c r="D78" i="6"/>
  <c r="D86" i="4"/>
  <c r="D86" i="6"/>
  <c r="D94" i="4"/>
  <c r="D94" i="6"/>
  <c r="D106" i="4"/>
  <c r="D106" i="6"/>
  <c r="D114" i="4"/>
  <c r="D114" i="6"/>
  <c r="D122" i="4"/>
  <c r="D122" i="6"/>
  <c r="D129" i="4"/>
  <c r="D129" i="6"/>
  <c r="D137" i="4"/>
  <c r="D137" i="6"/>
  <c r="D145" i="4"/>
  <c r="D145" i="6"/>
  <c r="D157" i="4"/>
  <c r="D157" i="6"/>
  <c r="D165" i="4"/>
  <c r="D165" i="6"/>
  <c r="D173" i="4"/>
  <c r="D173" i="6"/>
  <c r="D185" i="4"/>
  <c r="D185" i="6"/>
  <c r="D193" i="4"/>
  <c r="D193" i="6"/>
  <c r="D205" i="4"/>
  <c r="D205" i="6"/>
  <c r="D213" i="4"/>
  <c r="D213" i="6"/>
  <c r="D221" i="4"/>
  <c r="D221" i="6"/>
  <c r="D229" i="4"/>
  <c r="D229" i="6"/>
  <c r="D237" i="4"/>
  <c r="D237" i="6"/>
  <c r="D245" i="4"/>
  <c r="D245" i="6"/>
  <c r="D257" i="4"/>
  <c r="D257" i="6"/>
  <c r="D265" i="4"/>
  <c r="D265" i="6"/>
  <c r="D273" i="4"/>
  <c r="D273" i="6"/>
  <c r="D280" i="4"/>
  <c r="D280" i="6"/>
  <c r="D288" i="4"/>
  <c r="D288" i="6"/>
  <c r="D296" i="4"/>
  <c r="D296" i="6"/>
  <c r="D308" i="4"/>
  <c r="D308" i="6"/>
  <c r="D316" i="4"/>
  <c r="D316" i="6"/>
  <c r="D328" i="4"/>
  <c r="D328" i="6"/>
  <c r="D336" i="4"/>
  <c r="D336" i="6"/>
  <c r="D344" i="4"/>
  <c r="D344" i="6"/>
  <c r="D356" i="4"/>
  <c r="D356" i="6"/>
  <c r="D364" i="4"/>
  <c r="D364" i="6"/>
  <c r="D372" i="4"/>
  <c r="D372" i="6"/>
  <c r="D53" i="6"/>
  <c r="D117" i="4"/>
  <c r="D117" i="6"/>
  <c r="D148" i="4"/>
  <c r="D148" i="6"/>
  <c r="D216" i="4"/>
  <c r="D216" i="6"/>
  <c r="D232" i="4"/>
  <c r="D232" i="6"/>
  <c r="D367" i="4"/>
  <c r="D367" i="6"/>
  <c r="D82" i="4"/>
  <c r="D82" i="6"/>
  <c r="D118" i="4"/>
  <c r="D118" i="6"/>
  <c r="D133" i="4"/>
  <c r="D133" i="6"/>
  <c r="D161" i="4"/>
  <c r="D161" i="6"/>
  <c r="D340" i="4"/>
  <c r="D340" i="6"/>
  <c r="D6" i="4"/>
  <c r="D6" i="6"/>
  <c r="D23" i="4"/>
  <c r="D23" i="6"/>
  <c r="D38" i="4"/>
  <c r="D38" i="6"/>
  <c r="D8" i="4"/>
  <c r="D8" i="6"/>
  <c r="D16" i="4"/>
  <c r="D16" i="6"/>
  <c r="D31" i="4"/>
  <c r="D31" i="6"/>
  <c r="D39" i="4"/>
  <c r="D39" i="6"/>
  <c r="D47" i="4"/>
  <c r="D47" i="6"/>
  <c r="D59" i="4"/>
  <c r="D59" i="6"/>
  <c r="D67" i="4"/>
  <c r="D67" i="6"/>
  <c r="D79" i="4"/>
  <c r="D79" i="6"/>
  <c r="D87" i="4"/>
  <c r="D87" i="6"/>
  <c r="D95" i="4"/>
  <c r="D95" i="6"/>
  <c r="D107" i="4"/>
  <c r="D107" i="6"/>
  <c r="D115" i="4"/>
  <c r="D115" i="6"/>
  <c r="D123" i="4"/>
  <c r="D123" i="6"/>
  <c r="D130" i="4"/>
  <c r="D130" i="6"/>
  <c r="D138" i="4"/>
  <c r="D138" i="6"/>
  <c r="D146" i="4"/>
  <c r="D146" i="6"/>
  <c r="D158" i="4"/>
  <c r="D158" i="6"/>
  <c r="D166" i="4"/>
  <c r="D166" i="6"/>
  <c r="D178" i="4"/>
  <c r="D178" i="6"/>
  <c r="D186" i="4"/>
  <c r="D186" i="6"/>
  <c r="D194" i="4"/>
  <c r="D194" i="6"/>
  <c r="D206" i="4"/>
  <c r="D206" i="6"/>
  <c r="D214" i="4"/>
  <c r="D214" i="6"/>
  <c r="D222" i="4"/>
  <c r="D222" i="6"/>
  <c r="D230" i="4"/>
  <c r="D230" i="6"/>
  <c r="D238" i="4"/>
  <c r="D238" i="6"/>
  <c r="D246" i="4"/>
  <c r="D246" i="6"/>
  <c r="D258" i="4"/>
  <c r="D258" i="6"/>
  <c r="D266" i="4"/>
  <c r="D266" i="6"/>
  <c r="D281" i="4"/>
  <c r="D281" i="6"/>
  <c r="D289" i="4"/>
  <c r="D289" i="6"/>
  <c r="D297" i="4"/>
  <c r="D297" i="6"/>
  <c r="D309" i="4"/>
  <c r="D309" i="6"/>
  <c r="D317" i="4"/>
  <c r="D317" i="6"/>
  <c r="D329" i="4"/>
  <c r="D329" i="6"/>
  <c r="D337" i="4"/>
  <c r="D337" i="6"/>
  <c r="D345" i="4"/>
  <c r="D345" i="6"/>
  <c r="D357" i="4"/>
  <c r="D357" i="6"/>
  <c r="D365" i="4"/>
  <c r="D365" i="6"/>
  <c r="D373" i="4"/>
  <c r="D373" i="6"/>
  <c r="D33" i="4"/>
  <c r="D33" i="6"/>
  <c r="D109" i="4"/>
  <c r="D109" i="6"/>
  <c r="D140" i="4"/>
  <c r="D140" i="6"/>
  <c r="D208" i="4"/>
  <c r="D208" i="6"/>
  <c r="D268" i="4"/>
  <c r="D268" i="6"/>
  <c r="D291" i="4"/>
  <c r="D291" i="6"/>
  <c r="D339" i="4"/>
  <c r="D339" i="6"/>
  <c r="D11" i="4"/>
  <c r="D11" i="6"/>
  <c r="D54" i="4"/>
  <c r="D54" i="6"/>
  <c r="D90" i="4"/>
  <c r="D90" i="6"/>
  <c r="D181" i="4"/>
  <c r="D181" i="6"/>
  <c r="D332" i="4"/>
  <c r="D332" i="6"/>
  <c r="D4" i="4"/>
  <c r="D4" i="6"/>
  <c r="D22" i="4"/>
  <c r="D22" i="6"/>
  <c r="D15" i="4"/>
  <c r="D15" i="6"/>
  <c r="D30" i="4"/>
  <c r="D30" i="6"/>
  <c r="D9" i="4"/>
  <c r="D9" i="6"/>
  <c r="D17" i="4"/>
  <c r="D17" i="6"/>
  <c r="D32" i="4"/>
  <c r="D32" i="6"/>
  <c r="D40" i="4"/>
  <c r="D40" i="6"/>
  <c r="D48" i="4"/>
  <c r="D48" i="6"/>
  <c r="D60" i="4"/>
  <c r="D60" i="6"/>
  <c r="D68" i="4"/>
  <c r="D68" i="6"/>
  <c r="D80" i="4"/>
  <c r="D80" i="6"/>
  <c r="D88" i="4"/>
  <c r="D88" i="6"/>
  <c r="D96" i="4"/>
  <c r="D96" i="6"/>
  <c r="D108" i="4"/>
  <c r="D108" i="6"/>
  <c r="D116" i="4"/>
  <c r="D116" i="6"/>
  <c r="D131" i="4"/>
  <c r="D131" i="6"/>
  <c r="D139" i="4"/>
  <c r="D139" i="6"/>
  <c r="D147" i="4"/>
  <c r="D147" i="6"/>
  <c r="D159" i="4"/>
  <c r="D159" i="6"/>
  <c r="D167" i="4"/>
  <c r="D167" i="6"/>
  <c r="D179" i="4"/>
  <c r="D179" i="6"/>
  <c r="D187" i="4"/>
  <c r="D187" i="6"/>
  <c r="D195" i="4"/>
  <c r="D195" i="6"/>
  <c r="D207" i="4"/>
  <c r="D207" i="6"/>
  <c r="D215" i="4"/>
  <c r="D215" i="6"/>
  <c r="D223" i="4"/>
  <c r="D223" i="6"/>
  <c r="D231" i="4"/>
  <c r="D231" i="6"/>
  <c r="D239" i="4"/>
  <c r="D239" i="6"/>
  <c r="D247" i="4"/>
  <c r="D247" i="6"/>
  <c r="D259" i="4"/>
  <c r="D259" i="6"/>
  <c r="D267" i="4"/>
  <c r="D267" i="6"/>
  <c r="D282" i="4"/>
  <c r="D282" i="6"/>
  <c r="D290" i="4"/>
  <c r="D290" i="6"/>
  <c r="D298" i="4"/>
  <c r="D298" i="6"/>
  <c r="D310" i="4"/>
  <c r="D310" i="6"/>
  <c r="D318" i="4"/>
  <c r="D318" i="6"/>
  <c r="D330" i="4"/>
  <c r="D330" i="6"/>
  <c r="D338" i="4"/>
  <c r="D338" i="6"/>
  <c r="D346" i="4"/>
  <c r="D346" i="6"/>
  <c r="D358" i="4"/>
  <c r="D358" i="6"/>
  <c r="D366" i="4"/>
  <c r="D366" i="6"/>
  <c r="D3" i="4"/>
  <c r="D3" i="6"/>
  <c r="K3" i="2" l="1"/>
  <c r="K5" i="2"/>
  <c r="K6" i="2"/>
  <c r="K13" i="2"/>
  <c r="O15" i="2"/>
  <c r="K19" i="2"/>
  <c r="K21" i="2"/>
  <c r="K22" i="2"/>
  <c r="K28" i="2"/>
  <c r="K29" i="2"/>
  <c r="K30" i="2"/>
  <c r="K34" i="2"/>
  <c r="K36" i="2"/>
  <c r="K37" i="2"/>
  <c r="K44" i="2"/>
  <c r="K45" i="2"/>
  <c r="K46" i="2"/>
  <c r="K54" i="2"/>
  <c r="K56" i="2"/>
  <c r="K57" i="2"/>
  <c r="K64" i="2"/>
  <c r="K65" i="2"/>
  <c r="K66" i="2"/>
  <c r="K70" i="2"/>
  <c r="K72" i="2"/>
  <c r="K77" i="2"/>
  <c r="K84" i="2"/>
  <c r="K85" i="2"/>
  <c r="K86" i="2"/>
  <c r="K90" i="2"/>
  <c r="K92" i="2"/>
  <c r="K93" i="2"/>
  <c r="K104" i="2"/>
  <c r="K105" i="2"/>
  <c r="K106" i="2"/>
  <c r="K110" i="2"/>
  <c r="K112" i="2"/>
  <c r="K113" i="2"/>
  <c r="K120" i="2"/>
  <c r="K121" i="2"/>
  <c r="K122" i="2"/>
  <c r="K127" i="2"/>
  <c r="K128" i="2"/>
  <c r="K129" i="2"/>
  <c r="K131" i="2"/>
  <c r="K134" i="2"/>
  <c r="K135" i="2"/>
  <c r="K136" i="2"/>
  <c r="K137" i="2"/>
  <c r="K138" i="2"/>
  <c r="K139" i="2"/>
  <c r="K142" i="2"/>
  <c r="K143" i="2"/>
  <c r="K144" i="2"/>
  <c r="K145" i="2"/>
  <c r="K146" i="2"/>
  <c r="K147" i="2"/>
  <c r="K154" i="2"/>
  <c r="K155" i="2"/>
  <c r="K156" i="2"/>
  <c r="K157" i="2"/>
  <c r="K158" i="2"/>
  <c r="K159" i="2"/>
  <c r="K162" i="2"/>
  <c r="K163" i="2"/>
  <c r="K164" i="2"/>
  <c r="K165" i="2"/>
  <c r="K166" i="2"/>
  <c r="K167" i="2"/>
  <c r="K170" i="2"/>
  <c r="K171" i="2"/>
  <c r="K172" i="2"/>
  <c r="K177" i="2"/>
  <c r="K178" i="2"/>
  <c r="K179" i="2"/>
  <c r="K182" i="2"/>
  <c r="K183" i="2"/>
  <c r="K184" i="2"/>
  <c r="K185" i="2"/>
  <c r="K186" i="2"/>
  <c r="K187" i="2"/>
  <c r="O190" i="2"/>
  <c r="K191" i="2"/>
  <c r="K192" i="2"/>
  <c r="K193" i="2"/>
  <c r="K194" i="2"/>
  <c r="K195" i="2"/>
  <c r="K202" i="2"/>
  <c r="K203" i="2"/>
  <c r="K204" i="2"/>
  <c r="K205" i="2"/>
  <c r="K206" i="2"/>
  <c r="K207" i="2"/>
  <c r="K210" i="2"/>
  <c r="K211" i="2"/>
  <c r="K212" i="2"/>
  <c r="K213" i="2"/>
  <c r="K214" i="2"/>
  <c r="K215" i="2"/>
  <c r="K218" i="2"/>
  <c r="K219" i="2"/>
  <c r="K220" i="2"/>
  <c r="K221" i="2"/>
  <c r="K222" i="2"/>
  <c r="K227" i="2"/>
  <c r="K228" i="2"/>
  <c r="K229" i="2"/>
  <c r="K230" i="2"/>
  <c r="K231" i="2"/>
  <c r="K234" i="2"/>
  <c r="K235" i="2"/>
  <c r="K236" i="2"/>
  <c r="K237" i="2"/>
  <c r="K238" i="2"/>
  <c r="K239" i="2"/>
  <c r="K242" i="2"/>
  <c r="B19" i="19" s="1"/>
  <c r="K243" i="2"/>
  <c r="B20" i="19" s="1"/>
  <c r="K244" i="2"/>
  <c r="B21" i="19" s="1"/>
  <c r="K245" i="2"/>
  <c r="B22" i="19" s="1"/>
  <c r="K246" i="2"/>
  <c r="B23" i="19" s="1"/>
  <c r="K247" i="2"/>
  <c r="B24" i="19" s="1"/>
  <c r="K254" i="2"/>
  <c r="K255" i="2"/>
  <c r="K256" i="2"/>
  <c r="K257" i="2"/>
  <c r="K258" i="2"/>
  <c r="K259" i="2"/>
  <c r="K262" i="2"/>
  <c r="K263" i="2"/>
  <c r="K264" i="2"/>
  <c r="K265" i="2"/>
  <c r="D17" i="19" s="1"/>
  <c r="K266" i="2"/>
  <c r="D18" i="19" s="1"/>
  <c r="K267" i="2"/>
  <c r="D19" i="19" s="1"/>
  <c r="K270" i="2"/>
  <c r="D22" i="19" s="1"/>
  <c r="K271" i="2"/>
  <c r="D23" i="19" s="1"/>
  <c r="K272" i="2"/>
  <c r="D24" i="19" s="1"/>
  <c r="K277" i="2"/>
  <c r="K278" i="2"/>
  <c r="K279" i="2"/>
  <c r="K280" i="2"/>
  <c r="K281" i="2"/>
  <c r="K282" i="2"/>
  <c r="K285" i="2"/>
  <c r="K286" i="2"/>
  <c r="K287" i="2"/>
  <c r="K288" i="2"/>
  <c r="K289" i="2"/>
  <c r="K290" i="2"/>
  <c r="F17" i="19" s="1"/>
  <c r="K293" i="2"/>
  <c r="F20" i="19" s="1"/>
  <c r="K294" i="2"/>
  <c r="F21" i="19" s="1"/>
  <c r="K295" i="2"/>
  <c r="F22" i="19" s="1"/>
  <c r="K296" i="2"/>
  <c r="F23" i="19" s="1"/>
  <c r="K297" i="2"/>
  <c r="F24" i="19" s="1"/>
  <c r="K302" i="2"/>
  <c r="K305" i="2"/>
  <c r="K306" i="2"/>
  <c r="K307" i="2"/>
  <c r="K308" i="2"/>
  <c r="K309" i="2"/>
  <c r="K310" i="2"/>
  <c r="K313" i="2"/>
  <c r="K314" i="2"/>
  <c r="K315" i="2"/>
  <c r="H17" i="19" s="1"/>
  <c r="K316" i="2"/>
  <c r="H18" i="19" s="1"/>
  <c r="K317" i="2"/>
  <c r="H19" i="19" s="1"/>
  <c r="K318" i="2"/>
  <c r="H20" i="19" s="1"/>
  <c r="K321" i="2"/>
  <c r="H23" i="19" s="1"/>
  <c r="K322" i="2"/>
  <c r="H24" i="19" s="1"/>
  <c r="K327" i="2"/>
  <c r="K328" i="2"/>
  <c r="K329" i="2"/>
  <c r="K330" i="2"/>
  <c r="K333" i="2"/>
  <c r="K334" i="2"/>
  <c r="K335" i="2"/>
  <c r="K336" i="2"/>
  <c r="K337" i="2"/>
  <c r="K338" i="2"/>
  <c r="K341" i="2"/>
  <c r="J18" i="19" s="1"/>
  <c r="K342" i="2"/>
  <c r="J19" i="19" s="1"/>
  <c r="K343" i="2"/>
  <c r="J20" i="19" s="1"/>
  <c r="K344" i="2"/>
  <c r="J21" i="19" s="1"/>
  <c r="K345" i="2"/>
  <c r="J22" i="19" s="1"/>
  <c r="K346" i="2"/>
  <c r="J23" i="19" s="1"/>
  <c r="K353" i="2"/>
  <c r="K354" i="2"/>
  <c r="K355" i="2"/>
  <c r="K356" i="2"/>
  <c r="K357" i="2"/>
  <c r="K358" i="2"/>
  <c r="K361" i="2"/>
  <c r="K362" i="2"/>
  <c r="K363" i="2"/>
  <c r="K364" i="2"/>
  <c r="K365" i="2"/>
  <c r="L17" i="19" s="1"/>
  <c r="K366" i="2"/>
  <c r="L18" i="19" s="1"/>
  <c r="K369" i="2"/>
  <c r="L21" i="19" s="1"/>
  <c r="K370" i="2"/>
  <c r="L22" i="19" s="1"/>
  <c r="K371" i="2"/>
  <c r="L23" i="19" s="1"/>
  <c r="K372" i="2"/>
  <c r="L24" i="19" s="1"/>
  <c r="O2" i="2"/>
  <c r="N23" i="19" l="1"/>
  <c r="Q23" i="19" s="1"/>
  <c r="M16" i="22"/>
  <c r="M16" i="20"/>
  <c r="M184" i="22"/>
  <c r="M185" i="20"/>
  <c r="M3" i="22"/>
  <c r="Q3" i="22" s="1"/>
  <c r="V3" i="22" s="1"/>
  <c r="M3" i="20"/>
  <c r="O358" i="2"/>
  <c r="M359" i="4" s="1"/>
  <c r="L10" i="19"/>
  <c r="O308" i="2"/>
  <c r="N309" i="6" s="1"/>
  <c r="H10" i="19"/>
  <c r="O210" i="2"/>
  <c r="N211" i="6" s="1"/>
  <c r="H12" i="18"/>
  <c r="O144" i="2"/>
  <c r="D21" i="18"/>
  <c r="O333" i="2"/>
  <c r="N334" i="6" s="1"/>
  <c r="J10" i="19"/>
  <c r="O183" i="2"/>
  <c r="M184" i="4" s="1"/>
  <c r="F10" i="18"/>
  <c r="O361" i="2"/>
  <c r="L13" i="19"/>
  <c r="O335" i="2"/>
  <c r="J12" i="19"/>
  <c r="O309" i="2"/>
  <c r="M310" i="4" s="1"/>
  <c r="H11" i="19"/>
  <c r="O285" i="2"/>
  <c r="N286" i="6" s="1"/>
  <c r="F12" i="19"/>
  <c r="O259" i="2"/>
  <c r="D11" i="19"/>
  <c r="O235" i="2"/>
  <c r="B12" i="19"/>
  <c r="O221" i="2"/>
  <c r="M222" i="4" s="1"/>
  <c r="H23" i="18"/>
  <c r="O211" i="2"/>
  <c r="M212" i="4" s="1"/>
  <c r="H13" i="18"/>
  <c r="O195" i="2"/>
  <c r="M196" i="4" s="1"/>
  <c r="F22" i="18"/>
  <c r="O185" i="2"/>
  <c r="F12" i="18"/>
  <c r="O145" i="2"/>
  <c r="N146" i="6" s="1"/>
  <c r="D22" i="18"/>
  <c r="O135" i="2"/>
  <c r="M136" i="4" s="1"/>
  <c r="D12" i="18"/>
  <c r="O92" i="2"/>
  <c r="B19" i="18"/>
  <c r="O234" i="2"/>
  <c r="B11" i="19"/>
  <c r="O134" i="2"/>
  <c r="M135" i="4" s="1"/>
  <c r="D11" i="18"/>
  <c r="O231" i="2"/>
  <c r="M232" i="4" s="1"/>
  <c r="B8" i="19"/>
  <c r="O86" i="2"/>
  <c r="B13" i="18"/>
  <c r="O280" i="2"/>
  <c r="F7" i="19"/>
  <c r="O256" i="2"/>
  <c r="M257" i="4" s="1"/>
  <c r="D8" i="19"/>
  <c r="O230" i="2"/>
  <c r="M231" i="4" s="1"/>
  <c r="B7" i="19"/>
  <c r="O218" i="2"/>
  <c r="H20" i="18"/>
  <c r="O206" i="2"/>
  <c r="H8" i="18"/>
  <c r="O192" i="2"/>
  <c r="M193" i="4" s="1"/>
  <c r="F19" i="18"/>
  <c r="O182" i="2"/>
  <c r="M183" i="4" s="1"/>
  <c r="F9" i="18"/>
  <c r="O142" i="2"/>
  <c r="D19" i="18"/>
  <c r="O129" i="2"/>
  <c r="D6" i="18"/>
  <c r="O85" i="2"/>
  <c r="M86" i="4" s="1"/>
  <c r="B12" i="18"/>
  <c r="O334" i="2"/>
  <c r="M335" i="4" s="1"/>
  <c r="J11" i="19"/>
  <c r="O194" i="2"/>
  <c r="F21" i="18"/>
  <c r="O356" i="2"/>
  <c r="L8" i="19"/>
  <c r="O330" i="2"/>
  <c r="N331" i="6" s="1"/>
  <c r="J7" i="19"/>
  <c r="O306" i="2"/>
  <c r="M307" i="4" s="1"/>
  <c r="H8" i="19"/>
  <c r="O355" i="2"/>
  <c r="M356" i="4" s="1"/>
  <c r="L7" i="19"/>
  <c r="O329" i="2"/>
  <c r="J6" i="19"/>
  <c r="O305" i="2"/>
  <c r="N306" i="6" s="1"/>
  <c r="H7" i="19"/>
  <c r="O255" i="2"/>
  <c r="D7" i="19"/>
  <c r="O239" i="2"/>
  <c r="M240" i="4" s="1"/>
  <c r="B16" i="19"/>
  <c r="O229" i="2"/>
  <c r="B6" i="19"/>
  <c r="O215" i="2"/>
  <c r="M216" i="4" s="1"/>
  <c r="H17" i="18"/>
  <c r="O205" i="2"/>
  <c r="H7" i="18"/>
  <c r="O191" i="2"/>
  <c r="N192" i="6" s="1"/>
  <c r="F18" i="18"/>
  <c r="O179" i="2"/>
  <c r="F6" i="18"/>
  <c r="O139" i="2"/>
  <c r="M140" i="4" s="1"/>
  <c r="D16" i="18"/>
  <c r="O128" i="2"/>
  <c r="D5" i="18"/>
  <c r="O84" i="2"/>
  <c r="M85" i="4" s="1"/>
  <c r="B11" i="18"/>
  <c r="O90" i="2"/>
  <c r="B17" i="18"/>
  <c r="O281" i="2"/>
  <c r="N282" i="6" s="1"/>
  <c r="F8" i="19"/>
  <c r="O207" i="2"/>
  <c r="H9" i="18"/>
  <c r="O143" i="2"/>
  <c r="M144" i="4" s="1"/>
  <c r="D20" i="18"/>
  <c r="O289" i="2"/>
  <c r="F16" i="19"/>
  <c r="O279" i="2"/>
  <c r="M280" i="4" s="1"/>
  <c r="F6" i="19"/>
  <c r="O364" i="2"/>
  <c r="L16" i="19"/>
  <c r="O354" i="2"/>
  <c r="N355" i="6" s="1"/>
  <c r="L6" i="19"/>
  <c r="O338" i="2"/>
  <c r="J15" i="19"/>
  <c r="O328" i="2"/>
  <c r="M329" i="4" s="1"/>
  <c r="J5" i="19"/>
  <c r="O314" i="2"/>
  <c r="H16" i="19"/>
  <c r="O302" i="2"/>
  <c r="M303" i="4" s="1"/>
  <c r="H4" i="19"/>
  <c r="O288" i="2"/>
  <c r="F15" i="19"/>
  <c r="O278" i="2"/>
  <c r="M279" i="4" s="1"/>
  <c r="F5" i="19"/>
  <c r="O264" i="2"/>
  <c r="D16" i="19"/>
  <c r="O254" i="2"/>
  <c r="N255" i="6" s="1"/>
  <c r="D6" i="19"/>
  <c r="O238" i="2"/>
  <c r="B15" i="19"/>
  <c r="O228" i="2"/>
  <c r="M229" i="4" s="1"/>
  <c r="B5" i="19"/>
  <c r="O214" i="2"/>
  <c r="H16" i="18"/>
  <c r="O204" i="2"/>
  <c r="M205" i="4" s="1"/>
  <c r="H6" i="18"/>
  <c r="O178" i="2"/>
  <c r="F5" i="18"/>
  <c r="O138" i="2"/>
  <c r="M139" i="4" s="1"/>
  <c r="D15" i="18"/>
  <c r="O127" i="2"/>
  <c r="D4" i="18"/>
  <c r="O77" i="2"/>
  <c r="B4" i="18"/>
  <c r="O282" i="2"/>
  <c r="F9" i="19"/>
  <c r="O220" i="2"/>
  <c r="M221" i="4" s="1"/>
  <c r="H22" i="18"/>
  <c r="O357" i="2"/>
  <c r="L9" i="19"/>
  <c r="O307" i="2"/>
  <c r="M308" i="4" s="1"/>
  <c r="H9" i="19"/>
  <c r="O257" i="2"/>
  <c r="D9" i="19"/>
  <c r="O193" i="2"/>
  <c r="M194" i="4" s="1"/>
  <c r="F20" i="18"/>
  <c r="O131" i="2"/>
  <c r="D8" i="18"/>
  <c r="O363" i="2"/>
  <c r="M364" i="4" s="1"/>
  <c r="L15" i="19"/>
  <c r="O353" i="2"/>
  <c r="L5" i="19"/>
  <c r="O337" i="2"/>
  <c r="N338" i="6" s="1"/>
  <c r="J14" i="19"/>
  <c r="O327" i="2"/>
  <c r="J4" i="19"/>
  <c r="O313" i="2"/>
  <c r="M314" i="4" s="1"/>
  <c r="H15" i="19"/>
  <c r="O287" i="2"/>
  <c r="F14" i="19"/>
  <c r="O277" i="2"/>
  <c r="M278" i="4" s="1"/>
  <c r="F4" i="19"/>
  <c r="O263" i="2"/>
  <c r="D15" i="19"/>
  <c r="O237" i="2"/>
  <c r="N238" i="6" s="1"/>
  <c r="B14" i="19"/>
  <c r="O227" i="2"/>
  <c r="B4" i="19"/>
  <c r="O213" i="2"/>
  <c r="H15" i="18"/>
  <c r="O203" i="2"/>
  <c r="M204" i="4" s="1"/>
  <c r="H5" i="18"/>
  <c r="O187" i="2"/>
  <c r="M188" i="4" s="1"/>
  <c r="F14" i="18"/>
  <c r="O177" i="2"/>
  <c r="F4" i="18"/>
  <c r="O147" i="2"/>
  <c r="D24" i="18"/>
  <c r="O137" i="2"/>
  <c r="M138" i="4" s="1"/>
  <c r="D14" i="18"/>
  <c r="O258" i="2"/>
  <c r="N259" i="6" s="1"/>
  <c r="D10" i="19"/>
  <c r="O184" i="2"/>
  <c r="F11" i="18"/>
  <c r="O219" i="2"/>
  <c r="H21" i="18"/>
  <c r="O362" i="2"/>
  <c r="M363" i="4" s="1"/>
  <c r="L14" i="19"/>
  <c r="O336" i="2"/>
  <c r="N337" i="6" s="1"/>
  <c r="J13" i="19"/>
  <c r="O310" i="2"/>
  <c r="H12" i="19"/>
  <c r="O286" i="2"/>
  <c r="F13" i="19"/>
  <c r="O262" i="2"/>
  <c r="M263" i="4" s="1"/>
  <c r="D14" i="19"/>
  <c r="O236" i="2"/>
  <c r="B13" i="19"/>
  <c r="O222" i="2"/>
  <c r="N223" i="6" s="1"/>
  <c r="H24" i="18"/>
  <c r="O212" i="2"/>
  <c r="H14" i="18"/>
  <c r="O202" i="2"/>
  <c r="H4" i="18"/>
  <c r="O186" i="2"/>
  <c r="F13" i="18"/>
  <c r="O146" i="2"/>
  <c r="N147" i="6" s="1"/>
  <c r="D23" i="18"/>
  <c r="O136" i="2"/>
  <c r="D13" i="18"/>
  <c r="O93" i="2"/>
  <c r="M94" i="4" s="1"/>
  <c r="B20" i="18"/>
  <c r="O369" i="2"/>
  <c r="C61" i="12"/>
  <c r="E61" i="12" s="1"/>
  <c r="O317" i="2"/>
  <c r="C37" i="12"/>
  <c r="E37" i="12" s="1"/>
  <c r="O267" i="2"/>
  <c r="C15" i="12"/>
  <c r="E15" i="12" s="1"/>
  <c r="O167" i="2"/>
  <c r="F19" i="11"/>
  <c r="O242" i="2"/>
  <c r="C4" i="12"/>
  <c r="E4" i="12" s="1"/>
  <c r="O166" i="2"/>
  <c r="M167" i="4" s="1"/>
  <c r="F18" i="11"/>
  <c r="O110" i="2"/>
  <c r="D12" i="11"/>
  <c r="O57" i="2"/>
  <c r="M57" i="20" s="1"/>
  <c r="J9" i="11"/>
  <c r="O34" i="2"/>
  <c r="M35" i="20" s="1"/>
  <c r="H11" i="11"/>
  <c r="O14" i="2"/>
  <c r="N15" i="6" s="1"/>
  <c r="B16" i="11"/>
  <c r="O365" i="2"/>
  <c r="C57" i="12"/>
  <c r="E57" i="12" s="1"/>
  <c r="O341" i="2"/>
  <c r="C47" i="12"/>
  <c r="E47" i="12" s="1"/>
  <c r="O315" i="2"/>
  <c r="C35" i="12"/>
  <c r="E35" i="12" s="1"/>
  <c r="O265" i="2"/>
  <c r="C13" i="12"/>
  <c r="E13" i="12" s="1"/>
  <c r="O165" i="2"/>
  <c r="F17" i="11"/>
  <c r="O155" i="2"/>
  <c r="F7" i="11"/>
  <c r="O106" i="2"/>
  <c r="D8" i="11"/>
  <c r="O56" i="2"/>
  <c r="J8" i="11"/>
  <c r="O30" i="2"/>
  <c r="M31" i="20" s="1"/>
  <c r="H7" i="11"/>
  <c r="O13" i="2"/>
  <c r="B15" i="11"/>
  <c r="O293" i="2"/>
  <c r="C27" i="12"/>
  <c r="E27" i="12" s="1"/>
  <c r="O243" i="2"/>
  <c r="M244" i="4" s="1"/>
  <c r="C5" i="12"/>
  <c r="E5" i="12" s="1"/>
  <c r="O36" i="2"/>
  <c r="M37" i="20" s="1"/>
  <c r="H13" i="11"/>
  <c r="O164" i="2"/>
  <c r="F16" i="11"/>
  <c r="O154" i="2"/>
  <c r="F6" i="11"/>
  <c r="O105" i="2"/>
  <c r="D7" i="11"/>
  <c r="O54" i="2"/>
  <c r="M54" i="20" s="1"/>
  <c r="J6" i="11"/>
  <c r="O29" i="2"/>
  <c r="M30" i="20" s="1"/>
  <c r="H6" i="11"/>
  <c r="O6" i="2"/>
  <c r="M7" i="4" s="1"/>
  <c r="B8" i="11"/>
  <c r="O157" i="2"/>
  <c r="N158" i="6" s="1"/>
  <c r="F9" i="11"/>
  <c r="O64" i="2"/>
  <c r="J16" i="11"/>
  <c r="O342" i="2"/>
  <c r="C48" i="12"/>
  <c r="E48" i="12" s="1"/>
  <c r="O290" i="2"/>
  <c r="C24" i="12"/>
  <c r="E24" i="12" s="1"/>
  <c r="O297" i="2"/>
  <c r="M298" i="4" s="1"/>
  <c r="C31" i="12"/>
  <c r="E31" i="12" s="1"/>
  <c r="O247" i="2"/>
  <c r="C9" i="12"/>
  <c r="E9" i="12" s="1"/>
  <c r="O163" i="2"/>
  <c r="F15" i="11"/>
  <c r="O122" i="2"/>
  <c r="D24" i="11"/>
  <c r="O104" i="2"/>
  <c r="M105" i="4" s="1"/>
  <c r="D6" i="11"/>
  <c r="O72" i="2"/>
  <c r="J24" i="11"/>
  <c r="O46" i="2"/>
  <c r="M47" i="20" s="1"/>
  <c r="H23" i="11"/>
  <c r="O28" i="2"/>
  <c r="M29" i="20" s="1"/>
  <c r="H5" i="11"/>
  <c r="O5" i="2"/>
  <c r="M6" i="4" s="1"/>
  <c r="B7" i="11"/>
  <c r="O172" i="2"/>
  <c r="F24" i="11"/>
  <c r="O162" i="2"/>
  <c r="F14" i="11"/>
  <c r="O121" i="2"/>
  <c r="N122" i="6" s="1"/>
  <c r="D23" i="11"/>
  <c r="O70" i="2"/>
  <c r="J22" i="11"/>
  <c r="O45" i="2"/>
  <c r="M46" i="20" s="1"/>
  <c r="H22" i="11"/>
  <c r="O22" i="2"/>
  <c r="B24" i="11"/>
  <c r="O3" i="2"/>
  <c r="B5" i="11"/>
  <c r="O112" i="2"/>
  <c r="D14" i="11"/>
  <c r="O366" i="2"/>
  <c r="C58" i="12"/>
  <c r="E58" i="12" s="1"/>
  <c r="O316" i="2"/>
  <c r="C36" i="12"/>
  <c r="E36" i="12" s="1"/>
  <c r="O322" i="2"/>
  <c r="C42" i="12"/>
  <c r="E42" i="12" s="1"/>
  <c r="O296" i="2"/>
  <c r="M297" i="4" s="1"/>
  <c r="C30" i="12"/>
  <c r="E30" i="12" s="1"/>
  <c r="O271" i="2"/>
  <c r="C19" i="12"/>
  <c r="E19" i="12" s="1"/>
  <c r="O245" i="2"/>
  <c r="C7" i="12"/>
  <c r="E7" i="12" s="1"/>
  <c r="O171" i="2"/>
  <c r="F23" i="11"/>
  <c r="O159" i="2"/>
  <c r="M160" i="4" s="1"/>
  <c r="F11" i="11"/>
  <c r="O120" i="2"/>
  <c r="D22" i="11"/>
  <c r="O66" i="2"/>
  <c r="J18" i="11"/>
  <c r="O44" i="2"/>
  <c r="M45" i="20" s="1"/>
  <c r="H21" i="11"/>
  <c r="O21" i="2"/>
  <c r="B23" i="11"/>
  <c r="O343" i="2"/>
  <c r="C49" i="12"/>
  <c r="E49" i="12" s="1"/>
  <c r="O266" i="2"/>
  <c r="C14" i="12"/>
  <c r="E14" i="12" s="1"/>
  <c r="O156" i="2"/>
  <c r="F8" i="11"/>
  <c r="O372" i="2"/>
  <c r="C64" i="12"/>
  <c r="E64" i="12" s="1"/>
  <c r="O346" i="2"/>
  <c r="C52" i="12"/>
  <c r="E52" i="12" s="1"/>
  <c r="O272" i="2"/>
  <c r="C20" i="12"/>
  <c r="E20" i="12" s="1"/>
  <c r="O246" i="2"/>
  <c r="M247" i="4" s="1"/>
  <c r="C8" i="12"/>
  <c r="E8" i="12" s="1"/>
  <c r="O371" i="2"/>
  <c r="C63" i="12"/>
  <c r="E63" i="12" s="1"/>
  <c r="O345" i="2"/>
  <c r="C51" i="12"/>
  <c r="E51" i="12" s="1"/>
  <c r="O321" i="2"/>
  <c r="C41" i="12"/>
  <c r="E41" i="12" s="1"/>
  <c r="O295" i="2"/>
  <c r="C29" i="12"/>
  <c r="E29" i="12" s="1"/>
  <c r="O370" i="2"/>
  <c r="M371" i="4" s="1"/>
  <c r="C62" i="12"/>
  <c r="E62" i="12" s="1"/>
  <c r="O344" i="2"/>
  <c r="C50" i="12"/>
  <c r="E50" i="12" s="1"/>
  <c r="O318" i="2"/>
  <c r="C38" i="12"/>
  <c r="E38" i="12" s="1"/>
  <c r="O294" i="2"/>
  <c r="C28" i="12"/>
  <c r="E28" i="12" s="1"/>
  <c r="O270" i="2"/>
  <c r="M271" i="4" s="1"/>
  <c r="C18" i="12"/>
  <c r="E18" i="12" s="1"/>
  <c r="O244" i="2"/>
  <c r="C6" i="12"/>
  <c r="E6" i="12" s="1"/>
  <c r="O170" i="2"/>
  <c r="F22" i="11"/>
  <c r="O158" i="2"/>
  <c r="F10" i="11"/>
  <c r="O113" i="2"/>
  <c r="D15" i="11"/>
  <c r="O65" i="2"/>
  <c r="J17" i="11"/>
  <c r="O37" i="2"/>
  <c r="M38" i="20" s="1"/>
  <c r="H14" i="11"/>
  <c r="O19" i="2"/>
  <c r="B21" i="11"/>
  <c r="M191" i="4"/>
  <c r="N191" i="6"/>
  <c r="M255" i="4"/>
  <c r="N212" i="6"/>
  <c r="M16" i="4"/>
  <c r="N16" i="6"/>
  <c r="M3" i="4"/>
  <c r="N3" i="6"/>
  <c r="M286" i="4"/>
  <c r="P2" i="2"/>
  <c r="K332" i="2"/>
  <c r="K181" i="2"/>
  <c r="K133" i="2"/>
  <c r="K102" i="2"/>
  <c r="K367" i="2"/>
  <c r="L19" i="19" s="1"/>
  <c r="K319" i="2"/>
  <c r="H21" i="19" s="1"/>
  <c r="K240" i="2"/>
  <c r="B17" i="19" s="1"/>
  <c r="K208" i="2"/>
  <c r="K152" i="2"/>
  <c r="K109" i="2"/>
  <c r="K61" i="2"/>
  <c r="K18" i="2"/>
  <c r="K108" i="2"/>
  <c r="K80" i="2"/>
  <c r="K17" i="2"/>
  <c r="K340" i="2"/>
  <c r="J17" i="19" s="1"/>
  <c r="K304" i="2"/>
  <c r="K209" i="2"/>
  <c r="K169" i="2"/>
  <c r="K339" i="2"/>
  <c r="K291" i="2"/>
  <c r="F18" i="19" s="1"/>
  <c r="K232" i="2"/>
  <c r="K188" i="2"/>
  <c r="K160" i="2"/>
  <c r="K69" i="2"/>
  <c r="K116" i="2"/>
  <c r="K96" i="2"/>
  <c r="K88" i="2"/>
  <c r="K68" i="2"/>
  <c r="K60" i="2"/>
  <c r="O52" i="2"/>
  <c r="M52" i="20" s="1"/>
  <c r="K40" i="2"/>
  <c r="K32" i="2"/>
  <c r="K9" i="2"/>
  <c r="K368" i="2"/>
  <c r="L20" i="19" s="1"/>
  <c r="K312" i="2"/>
  <c r="K197" i="2"/>
  <c r="K153" i="2"/>
  <c r="K42" i="2"/>
  <c r="K331" i="2"/>
  <c r="K283" i="2"/>
  <c r="K252" i="2"/>
  <c r="K168" i="2"/>
  <c r="O53" i="2"/>
  <c r="M53" i="20" s="1"/>
  <c r="K114" i="2"/>
  <c r="K78" i="2"/>
  <c r="K58" i="2"/>
  <c r="K38" i="2"/>
  <c r="K7" i="2"/>
  <c r="K352" i="2"/>
  <c r="K284" i="2"/>
  <c r="K261" i="2"/>
  <c r="K241" i="2"/>
  <c r="B18" i="19" s="1"/>
  <c r="K189" i="2"/>
  <c r="K141" i="2"/>
  <c r="K11" i="2"/>
  <c r="K347" i="2"/>
  <c r="J24" i="19" s="1"/>
  <c r="N24" i="19" s="1"/>
  <c r="Q24" i="19" s="1"/>
  <c r="K303" i="2"/>
  <c r="K260" i="2"/>
  <c r="K196" i="2"/>
  <c r="K140" i="2"/>
  <c r="K117" i="2"/>
  <c r="K81" i="2"/>
  <c r="K41" i="2"/>
  <c r="K94" i="2"/>
  <c r="P15" i="2"/>
  <c r="K320" i="2"/>
  <c r="H22" i="19" s="1"/>
  <c r="N22" i="19" s="1"/>
  <c r="Q22" i="19" s="1"/>
  <c r="K253" i="2"/>
  <c r="K359" i="2"/>
  <c r="K132" i="2"/>
  <c r="K360" i="2"/>
  <c r="K292" i="2"/>
  <c r="F19" i="19" s="1"/>
  <c r="K269" i="2"/>
  <c r="D21" i="19" s="1"/>
  <c r="K233" i="2"/>
  <c r="K217" i="2"/>
  <c r="K161" i="2"/>
  <c r="K118" i="2"/>
  <c r="K82" i="2"/>
  <c r="K62" i="2"/>
  <c r="K311" i="2"/>
  <c r="K268" i="2"/>
  <c r="D20" i="19" s="1"/>
  <c r="K216" i="2"/>
  <c r="K180" i="2"/>
  <c r="K97" i="2"/>
  <c r="K89" i="2"/>
  <c r="K33" i="2"/>
  <c r="K10" i="2"/>
  <c r="K130" i="2"/>
  <c r="K115" i="2"/>
  <c r="K107" i="2"/>
  <c r="K95" i="2"/>
  <c r="K87" i="2"/>
  <c r="K79" i="2"/>
  <c r="K67" i="2"/>
  <c r="K59" i="2"/>
  <c r="K47" i="2"/>
  <c r="K39" i="2"/>
  <c r="K31" i="2"/>
  <c r="K16" i="2"/>
  <c r="K8" i="2"/>
  <c r="K119" i="2"/>
  <c r="K111" i="2"/>
  <c r="K103" i="2"/>
  <c r="K91" i="2"/>
  <c r="K83" i="2"/>
  <c r="K71" i="2"/>
  <c r="K63" i="2"/>
  <c r="K55" i="2"/>
  <c r="K43" i="2"/>
  <c r="K35" i="2"/>
  <c r="K27" i="2"/>
  <c r="K20" i="2"/>
  <c r="K12" i="2"/>
  <c r="K4" i="2"/>
  <c r="N307" i="6" l="1"/>
  <c r="N196" i="6"/>
  <c r="N20" i="19"/>
  <c r="Q20" i="19" s="1"/>
  <c r="M15" i="4"/>
  <c r="Q15" i="4" s="1"/>
  <c r="V15" i="4" s="1"/>
  <c r="B45" i="11" s="1"/>
  <c r="S45" i="11" s="1"/>
  <c r="M147" i="4"/>
  <c r="Q147" i="4" s="1"/>
  <c r="V147" i="4" s="1"/>
  <c r="D51" i="18" s="1"/>
  <c r="S51" i="18" s="1"/>
  <c r="N21" i="19"/>
  <c r="Q21" i="19" s="1"/>
  <c r="N18" i="19"/>
  <c r="Q18" i="19" s="1"/>
  <c r="N17" i="19"/>
  <c r="Q17" i="19" s="1"/>
  <c r="N19" i="19"/>
  <c r="Q19" i="19" s="1"/>
  <c r="N15" i="19"/>
  <c r="Q15" i="19" s="1"/>
  <c r="N7" i="19"/>
  <c r="Q7" i="19" s="1"/>
  <c r="N78" i="6"/>
  <c r="T78" i="6" s="1"/>
  <c r="Y78" i="6" s="1"/>
  <c r="B61" i="18" s="1"/>
  <c r="Q61" i="18" s="1"/>
  <c r="M76" i="20"/>
  <c r="N57" i="6"/>
  <c r="M56" i="20"/>
  <c r="N314" i="6"/>
  <c r="T314" i="6" s="1"/>
  <c r="Y314" i="6" s="1"/>
  <c r="H71" i="19" s="1"/>
  <c r="M337" i="4"/>
  <c r="Q337" i="4" s="1"/>
  <c r="V337" i="4" s="1"/>
  <c r="J41" i="19" s="1"/>
  <c r="N240" i="6"/>
  <c r="T240" i="6" s="1"/>
  <c r="Y240" i="6" s="1"/>
  <c r="B72" i="19" s="1"/>
  <c r="N329" i="6"/>
  <c r="M282" i="4"/>
  <c r="Q282" i="4" s="1"/>
  <c r="V282" i="4" s="1"/>
  <c r="F36" i="19" s="1"/>
  <c r="N279" i="6"/>
  <c r="T279" i="6" s="1"/>
  <c r="Y279" i="6" s="1"/>
  <c r="F61" i="19" s="1"/>
  <c r="N86" i="6"/>
  <c r="T86" i="6" s="1"/>
  <c r="Y86" i="6" s="1"/>
  <c r="B69" i="18" s="1"/>
  <c r="Q69" i="18" s="1"/>
  <c r="N216" i="6"/>
  <c r="T216" i="6" s="1"/>
  <c r="Y216" i="6" s="1"/>
  <c r="H74" i="18" s="1"/>
  <c r="W74" i="18" s="1"/>
  <c r="M192" i="4"/>
  <c r="Q192" i="4" s="1"/>
  <c r="V192" i="4" s="1"/>
  <c r="F46" i="18" s="1"/>
  <c r="U46" i="18" s="1"/>
  <c r="M338" i="4"/>
  <c r="Q338" i="4" s="1"/>
  <c r="V338" i="4" s="1"/>
  <c r="J42" i="19" s="1"/>
  <c r="N359" i="6"/>
  <c r="T359" i="6" s="1"/>
  <c r="Y359" i="6" s="1"/>
  <c r="L66" i="19" s="1"/>
  <c r="M334" i="4"/>
  <c r="Q334" i="4" s="1"/>
  <c r="V334" i="4" s="1"/>
  <c r="J38" i="19" s="1"/>
  <c r="M331" i="4"/>
  <c r="Q331" i="4" s="1"/>
  <c r="V331" i="4" s="1"/>
  <c r="J35" i="19" s="1"/>
  <c r="N193" i="6"/>
  <c r="T193" i="6" s="1"/>
  <c r="Y193" i="6" s="1"/>
  <c r="F76" i="18" s="1"/>
  <c r="U76" i="18" s="1"/>
  <c r="M306" i="4"/>
  <c r="Q306" i="4" s="1"/>
  <c r="V306" i="4" s="1"/>
  <c r="H35" i="19" s="1"/>
  <c r="N222" i="6"/>
  <c r="T222" i="6" s="1"/>
  <c r="Y222" i="6" s="1"/>
  <c r="H80" i="18" s="1"/>
  <c r="W80" i="18" s="1"/>
  <c r="N144" i="6"/>
  <c r="T144" i="6" s="1"/>
  <c r="Y144" i="6" s="1"/>
  <c r="D77" i="18" s="1"/>
  <c r="S77" i="18" s="1"/>
  <c r="N363" i="6"/>
  <c r="T363" i="6" s="1"/>
  <c r="Y363" i="6" s="1"/>
  <c r="L70" i="19" s="1"/>
  <c r="N232" i="6"/>
  <c r="T232" i="6" s="1"/>
  <c r="Y232" i="6" s="1"/>
  <c r="B64" i="19" s="1"/>
  <c r="M309" i="4"/>
  <c r="Q309" i="4" s="1"/>
  <c r="V309" i="4" s="1"/>
  <c r="H38" i="19" s="1"/>
  <c r="N138" i="6"/>
  <c r="T138" i="6" s="1"/>
  <c r="Y138" i="6" s="1"/>
  <c r="D71" i="18" s="1"/>
  <c r="S71" i="18" s="1"/>
  <c r="N335" i="6"/>
  <c r="T335" i="6" s="1"/>
  <c r="Y335" i="6" s="1"/>
  <c r="J67" i="19" s="1"/>
  <c r="N183" i="6"/>
  <c r="T183" i="6" s="1"/>
  <c r="Y183" i="6" s="1"/>
  <c r="F66" i="18" s="1"/>
  <c r="U66" i="18" s="1"/>
  <c r="M158" i="4"/>
  <c r="Q158" i="4" s="1"/>
  <c r="V158" i="4" s="1"/>
  <c r="F38" i="11" s="1"/>
  <c r="W38" i="11" s="1"/>
  <c r="N263" i="6"/>
  <c r="T263" i="6" s="1"/>
  <c r="Y263" i="6" s="1"/>
  <c r="D70" i="19" s="1"/>
  <c r="N136" i="6"/>
  <c r="T136" i="6" s="1"/>
  <c r="Y136" i="6" s="1"/>
  <c r="D69" i="18" s="1"/>
  <c r="S69" i="18" s="1"/>
  <c r="N184" i="6"/>
  <c r="T184" i="6" s="1"/>
  <c r="Y184" i="6" s="1"/>
  <c r="F67" i="18" s="1"/>
  <c r="U67" i="18" s="1"/>
  <c r="N204" i="6"/>
  <c r="T204" i="6" s="1"/>
  <c r="Y204" i="6" s="1"/>
  <c r="H62" i="18" s="1"/>
  <c r="W62" i="18" s="1"/>
  <c r="N231" i="6"/>
  <c r="T231" i="6" s="1"/>
  <c r="Y231" i="6" s="1"/>
  <c r="B63" i="19" s="1"/>
  <c r="M78" i="4"/>
  <c r="Q78" i="4" s="1"/>
  <c r="V78" i="4" s="1"/>
  <c r="B32" i="18" s="1"/>
  <c r="Q32" i="18" s="1"/>
  <c r="M259" i="4"/>
  <c r="Q259" i="4" s="1"/>
  <c r="V259" i="4" s="1"/>
  <c r="D38" i="19" s="1"/>
  <c r="M146" i="4"/>
  <c r="Q146" i="4" s="1"/>
  <c r="V146" i="4" s="1"/>
  <c r="D50" i="18" s="1"/>
  <c r="S50" i="18" s="1"/>
  <c r="M238" i="4"/>
  <c r="Q238" i="4" s="1"/>
  <c r="V238" i="4" s="1"/>
  <c r="B42" i="19" s="1"/>
  <c r="M355" i="4"/>
  <c r="Q355" i="4" s="1"/>
  <c r="V355" i="4" s="1"/>
  <c r="L34" i="19" s="1"/>
  <c r="N280" i="6"/>
  <c r="T280" i="6" s="1"/>
  <c r="Y280" i="6" s="1"/>
  <c r="F62" i="19" s="1"/>
  <c r="N188" i="6"/>
  <c r="T188" i="6" s="1"/>
  <c r="Y188" i="6" s="1"/>
  <c r="F71" i="18" s="1"/>
  <c r="U71" i="18" s="1"/>
  <c r="N205" i="6"/>
  <c r="T205" i="6" s="1"/>
  <c r="Y205" i="6" s="1"/>
  <c r="H63" i="18" s="1"/>
  <c r="W63" i="18" s="1"/>
  <c r="N308" i="6"/>
  <c r="T308" i="6" s="1"/>
  <c r="Y308" i="6" s="1"/>
  <c r="H65" i="19" s="1"/>
  <c r="N310" i="6"/>
  <c r="T310" i="6" s="1"/>
  <c r="Y310" i="6" s="1"/>
  <c r="H67" i="19" s="1"/>
  <c r="N135" i="6"/>
  <c r="T135" i="6" s="1"/>
  <c r="Y135" i="6" s="1"/>
  <c r="D68" i="18" s="1"/>
  <c r="S68" i="18" s="1"/>
  <c r="N278" i="6"/>
  <c r="T278" i="6" s="1"/>
  <c r="Y278" i="6" s="1"/>
  <c r="F60" i="19" s="1"/>
  <c r="N303" i="6"/>
  <c r="T303" i="6" s="1"/>
  <c r="Y303" i="6" s="1"/>
  <c r="H60" i="19" s="1"/>
  <c r="N194" i="6"/>
  <c r="T194" i="6" s="1"/>
  <c r="Y194" i="6" s="1"/>
  <c r="F77" i="18" s="1"/>
  <c r="U77" i="18" s="1"/>
  <c r="N364" i="6"/>
  <c r="T364" i="6" s="1"/>
  <c r="Y364" i="6" s="1"/>
  <c r="L71" i="19" s="1"/>
  <c r="N140" i="6"/>
  <c r="T140" i="6" s="1"/>
  <c r="Y140" i="6" s="1"/>
  <c r="D73" i="18" s="1"/>
  <c r="S73" i="18" s="1"/>
  <c r="N221" i="6"/>
  <c r="T221" i="6" s="1"/>
  <c r="Y221" i="6" s="1"/>
  <c r="H79" i="18" s="1"/>
  <c r="W79" i="18" s="1"/>
  <c r="N229" i="6"/>
  <c r="T229" i="6" s="1"/>
  <c r="Y229" i="6" s="1"/>
  <c r="B61" i="19" s="1"/>
  <c r="N356" i="6"/>
  <c r="T356" i="6" s="1"/>
  <c r="Y356" i="6" s="1"/>
  <c r="L63" i="19" s="1"/>
  <c r="N139" i="6"/>
  <c r="T139" i="6" s="1"/>
  <c r="Y139" i="6" s="1"/>
  <c r="D72" i="18" s="1"/>
  <c r="S72" i="18" s="1"/>
  <c r="N257" i="6"/>
  <c r="T257" i="6" s="1"/>
  <c r="Y257" i="6" s="1"/>
  <c r="D64" i="19" s="1"/>
  <c r="N85" i="6"/>
  <c r="T85" i="6" s="1"/>
  <c r="Y85" i="6" s="1"/>
  <c r="B68" i="18" s="1"/>
  <c r="Q68" i="18" s="1"/>
  <c r="T15" i="6"/>
  <c r="Y15" i="6" s="1"/>
  <c r="B74" i="11" s="1"/>
  <c r="S74" i="11" s="1"/>
  <c r="Q6" i="4"/>
  <c r="V6" i="4" s="1"/>
  <c r="B36" i="11" s="1"/>
  <c r="S36" i="11" s="1"/>
  <c r="M110" i="22"/>
  <c r="Q110" i="22" s="1"/>
  <c r="V110" i="22" s="1"/>
  <c r="M111" i="20"/>
  <c r="M52" i="22"/>
  <c r="N297" i="6"/>
  <c r="T297" i="6" s="1"/>
  <c r="Y297" i="6" s="1"/>
  <c r="F79" i="19" s="1"/>
  <c r="N105" i="6"/>
  <c r="T105" i="6" s="1"/>
  <c r="Y105" i="6" s="1"/>
  <c r="D64" i="11" s="1"/>
  <c r="U64" i="11" s="1"/>
  <c r="N298" i="6"/>
  <c r="M363" i="22"/>
  <c r="M364" i="20"/>
  <c r="N167" i="6"/>
  <c r="T167" i="6" s="1"/>
  <c r="Y167" i="6" s="1"/>
  <c r="F76" i="11" s="1"/>
  <c r="W76" i="11" s="1"/>
  <c r="N160" i="6"/>
  <c r="T160" i="6" s="1"/>
  <c r="Y160" i="6" s="1"/>
  <c r="F69" i="11" s="1"/>
  <c r="W69" i="11" s="1"/>
  <c r="M66" i="4"/>
  <c r="Q66" i="4" s="1"/>
  <c r="V66" i="4" s="1"/>
  <c r="J46" i="11" s="1"/>
  <c r="AA46" i="11" s="1"/>
  <c r="M64" i="22"/>
  <c r="M65" i="20"/>
  <c r="M245" i="4"/>
  <c r="Q245" i="4" s="1"/>
  <c r="V245" i="4" s="1"/>
  <c r="B49" i="19" s="1"/>
  <c r="M236" i="22"/>
  <c r="M237" i="20"/>
  <c r="M345" i="4"/>
  <c r="Q345" i="4" s="1"/>
  <c r="V345" i="4" s="1"/>
  <c r="J49" i="19" s="1"/>
  <c r="M336" i="22"/>
  <c r="M337" i="20"/>
  <c r="M346" i="4"/>
  <c r="Q346" i="4" s="1"/>
  <c r="V346" i="4" s="1"/>
  <c r="J50" i="19" s="1"/>
  <c r="M337" i="22"/>
  <c r="M338" i="20"/>
  <c r="N347" i="6"/>
  <c r="T347" i="6" s="1"/>
  <c r="Y347" i="6" s="1"/>
  <c r="J79" i="19" s="1"/>
  <c r="M338" i="22"/>
  <c r="M339" i="20"/>
  <c r="M344" i="4"/>
  <c r="Q344" i="4" s="1"/>
  <c r="V344" i="4" s="1"/>
  <c r="J48" i="19" s="1"/>
  <c r="M335" i="22"/>
  <c r="M336" i="20"/>
  <c r="M121" i="4"/>
  <c r="Q121" i="4" s="1"/>
  <c r="V121" i="4" s="1"/>
  <c r="D51" i="11" s="1"/>
  <c r="U51" i="11" s="1"/>
  <c r="M117" i="22"/>
  <c r="M118" i="20"/>
  <c r="M272" i="4"/>
  <c r="Q272" i="4" s="1"/>
  <c r="V272" i="4" s="1"/>
  <c r="D51" i="19" s="1"/>
  <c r="M263" i="22"/>
  <c r="M264" i="20"/>
  <c r="N367" i="6"/>
  <c r="T367" i="6" s="1"/>
  <c r="Y367" i="6" s="1"/>
  <c r="L74" i="19" s="1"/>
  <c r="M358" i="22"/>
  <c r="M359" i="20"/>
  <c r="N46" i="6"/>
  <c r="M45" i="22"/>
  <c r="M173" i="4"/>
  <c r="Q173" i="4" s="1"/>
  <c r="V173" i="4" s="1"/>
  <c r="F53" i="11" s="1"/>
  <c r="W53" i="11" s="1"/>
  <c r="M167" i="22"/>
  <c r="M168" i="20"/>
  <c r="M73" i="4"/>
  <c r="Q73" i="4" s="1"/>
  <c r="V73" i="4" s="1"/>
  <c r="J53" i="11" s="1"/>
  <c r="AA53" i="11" s="1"/>
  <c r="M71" i="22"/>
  <c r="M72" i="20"/>
  <c r="M248" i="4"/>
  <c r="Q248" i="4" s="1"/>
  <c r="V248" i="4" s="1"/>
  <c r="B52" i="19" s="1"/>
  <c r="M239" i="22"/>
  <c r="M240" i="20"/>
  <c r="N65" i="6"/>
  <c r="T65" i="6" s="1"/>
  <c r="M63" i="22"/>
  <c r="M64" i="20"/>
  <c r="M55" i="4"/>
  <c r="Q55" i="4" s="1"/>
  <c r="V55" i="4" s="1"/>
  <c r="J35" i="11" s="1"/>
  <c r="AA35" i="11" s="1"/>
  <c r="M53" i="22"/>
  <c r="M37" i="4"/>
  <c r="Q37" i="4" s="1"/>
  <c r="V37" i="4" s="1"/>
  <c r="H42" i="11" s="1"/>
  <c r="Y42" i="11" s="1"/>
  <c r="M36" i="22"/>
  <c r="M31" i="4"/>
  <c r="Q31" i="4" s="1"/>
  <c r="V31" i="4" s="1"/>
  <c r="H36" i="11" s="1"/>
  <c r="Y36" i="11" s="1"/>
  <c r="M30" i="22"/>
  <c r="M166" i="4"/>
  <c r="Q166" i="4" s="1"/>
  <c r="V166" i="4" s="1"/>
  <c r="F46" i="11" s="1"/>
  <c r="W46" i="11" s="1"/>
  <c r="M160" i="22"/>
  <c r="M161" i="20"/>
  <c r="M366" i="4"/>
  <c r="Q366" i="4" s="1"/>
  <c r="V366" i="4" s="1"/>
  <c r="L45" i="19" s="1"/>
  <c r="M357" i="22"/>
  <c r="M358" i="20"/>
  <c r="N111" i="6"/>
  <c r="T111" i="6" s="1"/>
  <c r="Y111" i="6" s="1"/>
  <c r="D70" i="11" s="1"/>
  <c r="U70" i="11" s="1"/>
  <c r="M107" i="22"/>
  <c r="M108" i="20"/>
  <c r="M268" i="4"/>
  <c r="Q268" i="4" s="1"/>
  <c r="V268" i="4" s="1"/>
  <c r="D47" i="19" s="1"/>
  <c r="M259" i="22"/>
  <c r="M260" i="20"/>
  <c r="M137" i="4"/>
  <c r="Q137" i="4" s="1"/>
  <c r="V137" i="4" s="1"/>
  <c r="D41" i="18" s="1"/>
  <c r="S41" i="18" s="1"/>
  <c r="M132" i="22"/>
  <c r="M133" i="20"/>
  <c r="M213" i="4"/>
  <c r="Q213" i="4" s="1"/>
  <c r="V213" i="4" s="1"/>
  <c r="H42" i="18" s="1"/>
  <c r="W42" i="18" s="1"/>
  <c r="M205" i="22"/>
  <c r="M206" i="20"/>
  <c r="M287" i="4"/>
  <c r="Q287" i="4" s="1"/>
  <c r="V287" i="4" s="1"/>
  <c r="F41" i="19" s="1"/>
  <c r="M278" i="22"/>
  <c r="M279" i="20"/>
  <c r="N220" i="6"/>
  <c r="T220" i="6" s="1"/>
  <c r="Y220" i="6" s="1"/>
  <c r="H78" i="18" s="1"/>
  <c r="W78" i="18" s="1"/>
  <c r="M212" i="22"/>
  <c r="M213" i="20"/>
  <c r="M148" i="4"/>
  <c r="Q148" i="4" s="1"/>
  <c r="V148" i="4" s="1"/>
  <c r="D52" i="18" s="1"/>
  <c r="S52" i="18" s="1"/>
  <c r="M143" i="22"/>
  <c r="M144" i="20"/>
  <c r="M214" i="4"/>
  <c r="Q214" i="4" s="1"/>
  <c r="V214" i="4" s="1"/>
  <c r="H43" i="18" s="1"/>
  <c r="W43" i="18" s="1"/>
  <c r="M206" i="22"/>
  <c r="Q206" i="22" s="1"/>
  <c r="V206" i="22" s="1"/>
  <c r="M207" i="20"/>
  <c r="M269" i="22"/>
  <c r="M270" i="20"/>
  <c r="M329" i="22"/>
  <c r="M330" i="20"/>
  <c r="M187" i="22"/>
  <c r="M188" i="20"/>
  <c r="M213" i="22"/>
  <c r="M214" i="20"/>
  <c r="M134" i="22"/>
  <c r="M135" i="20"/>
  <c r="M220" i="22"/>
  <c r="M221" i="20"/>
  <c r="M270" i="22"/>
  <c r="M271" i="20"/>
  <c r="M320" i="22"/>
  <c r="M321" i="20"/>
  <c r="M271" i="22"/>
  <c r="M272" i="20"/>
  <c r="M273" i="22"/>
  <c r="M274" i="20"/>
  <c r="M135" i="22"/>
  <c r="M136" i="20"/>
  <c r="M208" i="22"/>
  <c r="Q208" i="22" s="1"/>
  <c r="V208" i="22" s="1"/>
  <c r="M209" i="20"/>
  <c r="M297" i="22"/>
  <c r="M298" i="20"/>
  <c r="M322" i="22"/>
  <c r="M323" i="20"/>
  <c r="M83" i="22"/>
  <c r="Q83" i="22" s="1"/>
  <c r="V83" i="22" s="1"/>
  <c r="M84" i="20"/>
  <c r="M186" i="22"/>
  <c r="M187" i="20"/>
  <c r="M248" i="22"/>
  <c r="M249" i="20"/>
  <c r="M130" i="22"/>
  <c r="M131" i="20"/>
  <c r="M141" i="22"/>
  <c r="M142" i="20"/>
  <c r="M214" i="22"/>
  <c r="Q214" i="22" s="1"/>
  <c r="V214" i="22" s="1"/>
  <c r="M215" i="20"/>
  <c r="M301" i="22"/>
  <c r="M302" i="20"/>
  <c r="M325" i="22"/>
  <c r="M326" i="20"/>
  <c r="M350" i="22"/>
  <c r="M351" i="20"/>
  <c r="Q16" i="4"/>
  <c r="V16" i="4" s="1"/>
  <c r="B46" i="11" s="1"/>
  <c r="S46" i="11" s="1"/>
  <c r="M262" i="22"/>
  <c r="M263" i="20"/>
  <c r="N271" i="6"/>
  <c r="T271" i="6" s="1"/>
  <c r="Y271" i="6" s="1"/>
  <c r="D78" i="19" s="1"/>
  <c r="Q15" i="2"/>
  <c r="R15" i="2" s="1"/>
  <c r="N16" i="22"/>
  <c r="R16" i="22" s="1"/>
  <c r="N16" i="20"/>
  <c r="R16" i="20" s="1"/>
  <c r="N6" i="6"/>
  <c r="Q3" i="20"/>
  <c r="V3" i="20" s="1"/>
  <c r="M336" i="4"/>
  <c r="Q336" i="4" s="1"/>
  <c r="V336" i="4" s="1"/>
  <c r="J40" i="19" s="1"/>
  <c r="M327" i="22"/>
  <c r="M328" i="20"/>
  <c r="M145" i="4"/>
  <c r="Q145" i="4" s="1"/>
  <c r="V145" i="4" s="1"/>
  <c r="D49" i="18" s="1"/>
  <c r="S49" i="18" s="1"/>
  <c r="M140" i="22"/>
  <c r="M141" i="20"/>
  <c r="M364" i="22"/>
  <c r="M365" i="20"/>
  <c r="M288" i="22"/>
  <c r="M289" i="20"/>
  <c r="M101" i="22"/>
  <c r="M102" i="20"/>
  <c r="M102" i="22"/>
  <c r="Q102" i="22" s="1"/>
  <c r="V102" i="22" s="1"/>
  <c r="M103" i="20"/>
  <c r="M257" i="22"/>
  <c r="M258" i="20"/>
  <c r="M309" i="22"/>
  <c r="M310" i="20"/>
  <c r="N185" i="6"/>
  <c r="T185" i="6" s="1"/>
  <c r="Y185" i="6" s="1"/>
  <c r="F68" i="18" s="1"/>
  <c r="U68" i="18" s="1"/>
  <c r="M178" i="22"/>
  <c r="M179" i="20"/>
  <c r="M288" i="4"/>
  <c r="Q288" i="4" s="1"/>
  <c r="V288" i="4" s="1"/>
  <c r="F42" i="19" s="1"/>
  <c r="M279" i="22"/>
  <c r="M280" i="20"/>
  <c r="M283" i="4"/>
  <c r="Q283" i="4" s="1"/>
  <c r="V283" i="4" s="1"/>
  <c r="F37" i="19" s="1"/>
  <c r="M274" i="22"/>
  <c r="M275" i="20"/>
  <c r="M290" i="4"/>
  <c r="Q290" i="4" s="1"/>
  <c r="V290" i="4" s="1"/>
  <c r="F44" i="19" s="1"/>
  <c r="M281" i="22"/>
  <c r="M282" i="20"/>
  <c r="M236" i="4"/>
  <c r="Q236" i="4" s="1"/>
  <c r="V236" i="4" s="1"/>
  <c r="B40" i="19" s="1"/>
  <c r="M227" i="22"/>
  <c r="M228" i="20"/>
  <c r="Q2" i="2"/>
  <c r="R2" i="2" s="1"/>
  <c r="N3" i="22"/>
  <c r="N3" i="20"/>
  <c r="N371" i="6"/>
  <c r="T371" i="6" s="1"/>
  <c r="Y371" i="6" s="1"/>
  <c r="L78" i="19" s="1"/>
  <c r="T3" i="6"/>
  <c r="Y3" i="6" s="1"/>
  <c r="B62" i="11" s="1"/>
  <c r="S62" i="11" s="1"/>
  <c r="N114" i="6"/>
  <c r="T114" i="6" s="1"/>
  <c r="Y114" i="6" s="1"/>
  <c r="D73" i="11" s="1"/>
  <c r="U73" i="11" s="1"/>
  <c r="N266" i="6"/>
  <c r="T266" i="6" s="1"/>
  <c r="Y266" i="6" s="1"/>
  <c r="D73" i="19" s="1"/>
  <c r="N244" i="6"/>
  <c r="Q185" i="20"/>
  <c r="V185" i="20" s="1"/>
  <c r="M22" i="22"/>
  <c r="M22" i="20"/>
  <c r="M109" i="22"/>
  <c r="M110" i="20"/>
  <c r="M152" i="22"/>
  <c r="M153" i="20"/>
  <c r="M55" i="22"/>
  <c r="M161" i="22"/>
  <c r="Q161" i="22" s="1"/>
  <c r="V161" i="22" s="1"/>
  <c r="M162" i="20"/>
  <c r="M215" i="22"/>
  <c r="M216" i="20"/>
  <c r="M178" i="4"/>
  <c r="Q178" i="4" s="1"/>
  <c r="V178" i="4" s="1"/>
  <c r="F32" i="18" s="1"/>
  <c r="U32" i="18" s="1"/>
  <c r="M171" i="22"/>
  <c r="M172" i="20"/>
  <c r="M354" i="4"/>
  <c r="Q354" i="4" s="1"/>
  <c r="V354" i="4" s="1"/>
  <c r="L33" i="19" s="1"/>
  <c r="M345" i="22"/>
  <c r="M346" i="20"/>
  <c r="N179" i="6"/>
  <c r="T179" i="6" s="1"/>
  <c r="Y179" i="6" s="1"/>
  <c r="F62" i="18" s="1"/>
  <c r="U62" i="18" s="1"/>
  <c r="M172" i="22"/>
  <c r="Q172" i="22" s="1"/>
  <c r="V172" i="22" s="1"/>
  <c r="M173" i="20"/>
  <c r="M289" i="4"/>
  <c r="Q289" i="4" s="1"/>
  <c r="V289" i="4" s="1"/>
  <c r="F43" i="19" s="1"/>
  <c r="M280" i="22"/>
  <c r="M281" i="20"/>
  <c r="M91" i="4"/>
  <c r="Q91" i="4" s="1"/>
  <c r="V91" i="4" s="1"/>
  <c r="B45" i="18" s="1"/>
  <c r="Q45" i="18" s="1"/>
  <c r="M88" i="22"/>
  <c r="M89" i="20"/>
  <c r="M230" i="4"/>
  <c r="Q230" i="4" s="1"/>
  <c r="V230" i="4" s="1"/>
  <c r="B34" i="19" s="1"/>
  <c r="M221" i="22"/>
  <c r="M222" i="20"/>
  <c r="N357" i="6"/>
  <c r="T357" i="6" s="1"/>
  <c r="Y357" i="6" s="1"/>
  <c r="L64" i="19" s="1"/>
  <c r="M348" i="22"/>
  <c r="M349" i="20"/>
  <c r="M130" i="4"/>
  <c r="Q130" i="4" s="1"/>
  <c r="V130" i="4" s="1"/>
  <c r="D34" i="18" s="1"/>
  <c r="S34" i="18" s="1"/>
  <c r="M125" i="22"/>
  <c r="M126" i="20"/>
  <c r="M207" i="4"/>
  <c r="Q207" i="4" s="1"/>
  <c r="V207" i="4" s="1"/>
  <c r="H36" i="18" s="1"/>
  <c r="W36" i="18" s="1"/>
  <c r="M199" i="22"/>
  <c r="M200" i="20"/>
  <c r="M235" i="4"/>
  <c r="Q235" i="4" s="1"/>
  <c r="V235" i="4" s="1"/>
  <c r="B39" i="19" s="1"/>
  <c r="M226" i="22"/>
  <c r="M227" i="20"/>
  <c r="Q7" i="4"/>
  <c r="V7" i="4" s="1"/>
  <c r="B37" i="11" s="1"/>
  <c r="S37" i="11" s="1"/>
  <c r="Q3" i="4"/>
  <c r="V3" i="4" s="1"/>
  <c r="B33" i="11" s="1"/>
  <c r="S33" i="11" s="1"/>
  <c r="M114" i="4"/>
  <c r="Q114" i="4" s="1"/>
  <c r="V114" i="4" s="1"/>
  <c r="D44" i="11" s="1"/>
  <c r="U44" i="11" s="1"/>
  <c r="M266" i="4"/>
  <c r="M223" i="4"/>
  <c r="Q223" i="4" s="1"/>
  <c r="V223" i="4" s="1"/>
  <c r="H52" i="18" s="1"/>
  <c r="W52" i="18" s="1"/>
  <c r="M57" i="4"/>
  <c r="Q57" i="4" s="1"/>
  <c r="V57" i="4" s="1"/>
  <c r="J37" i="11" s="1"/>
  <c r="AA37" i="11" s="1"/>
  <c r="N20" i="6"/>
  <c r="T20" i="6" s="1"/>
  <c r="Y20" i="6" s="1"/>
  <c r="B79" i="11" s="1"/>
  <c r="S79" i="11" s="1"/>
  <c r="M20" i="22"/>
  <c r="M20" i="20"/>
  <c r="M159" i="4"/>
  <c r="Q159" i="4" s="1"/>
  <c r="V159" i="4" s="1"/>
  <c r="F39" i="11" s="1"/>
  <c r="W39" i="11" s="1"/>
  <c r="M153" i="22"/>
  <c r="Q153" i="22" s="1"/>
  <c r="V153" i="22" s="1"/>
  <c r="M154" i="20"/>
  <c r="M295" i="4"/>
  <c r="Q295" i="4" s="1"/>
  <c r="V295" i="4" s="1"/>
  <c r="F49" i="19" s="1"/>
  <c r="M286" i="22"/>
  <c r="M287" i="20"/>
  <c r="M296" i="4"/>
  <c r="Q296" i="4" s="1"/>
  <c r="V296" i="4" s="1"/>
  <c r="F50" i="19" s="1"/>
  <c r="M287" i="22"/>
  <c r="M288" i="20"/>
  <c r="N247" i="6"/>
  <c r="T247" i="6" s="1"/>
  <c r="Y247" i="6" s="1"/>
  <c r="B79" i="19" s="1"/>
  <c r="M238" i="22"/>
  <c r="M239" i="20"/>
  <c r="N157" i="6"/>
  <c r="T157" i="6" s="1"/>
  <c r="Y157" i="6" s="1"/>
  <c r="F66" i="11" s="1"/>
  <c r="W66" i="11" s="1"/>
  <c r="M151" i="22"/>
  <c r="M152" i="20"/>
  <c r="M45" i="4"/>
  <c r="Q45" i="4" s="1"/>
  <c r="V45" i="4" s="1"/>
  <c r="H50" i="11" s="1"/>
  <c r="Y50" i="11" s="1"/>
  <c r="M44" i="22"/>
  <c r="M172" i="4"/>
  <c r="Q172" i="4" s="1"/>
  <c r="V172" i="4" s="1"/>
  <c r="F52" i="11" s="1"/>
  <c r="W52" i="11" s="1"/>
  <c r="M166" i="22"/>
  <c r="M167" i="20"/>
  <c r="M323" i="4"/>
  <c r="Q323" i="4" s="1"/>
  <c r="V323" i="4" s="1"/>
  <c r="H52" i="19" s="1"/>
  <c r="M314" i="22"/>
  <c r="M315" i="20"/>
  <c r="N4" i="6"/>
  <c r="M4" i="22"/>
  <c r="M4" i="20"/>
  <c r="M122" i="4"/>
  <c r="Q122" i="4" s="1"/>
  <c r="V122" i="4" s="1"/>
  <c r="D52" i="11" s="1"/>
  <c r="U52" i="11" s="1"/>
  <c r="M118" i="22"/>
  <c r="Q118" i="22" s="1"/>
  <c r="V118" i="22" s="1"/>
  <c r="M119" i="20"/>
  <c r="M29" i="4"/>
  <c r="Q29" i="4" s="1"/>
  <c r="V29" i="4" s="1"/>
  <c r="H34" i="11" s="1"/>
  <c r="Y34" i="11" s="1"/>
  <c r="M28" i="22"/>
  <c r="N123" i="6"/>
  <c r="T123" i="6" s="1"/>
  <c r="Y123" i="6" s="1"/>
  <c r="D82" i="11" s="1"/>
  <c r="U82" i="11" s="1"/>
  <c r="M119" i="22"/>
  <c r="M120" i="20"/>
  <c r="M291" i="4"/>
  <c r="Q291" i="4" s="1"/>
  <c r="V291" i="4" s="1"/>
  <c r="F45" i="19" s="1"/>
  <c r="M282" i="22"/>
  <c r="M283" i="20"/>
  <c r="N7" i="6"/>
  <c r="M7" i="22"/>
  <c r="Q7" i="22" s="1"/>
  <c r="V7" i="22" s="1"/>
  <c r="M7" i="20"/>
  <c r="N155" i="6"/>
  <c r="T155" i="6" s="1"/>
  <c r="Y155" i="6" s="1"/>
  <c r="F64" i="11" s="1"/>
  <c r="W64" i="11" s="1"/>
  <c r="M149" i="22"/>
  <c r="Q149" i="22" s="1"/>
  <c r="V149" i="22" s="1"/>
  <c r="M150" i="20"/>
  <c r="M294" i="4"/>
  <c r="Q294" i="4" s="1"/>
  <c r="V294" i="4" s="1"/>
  <c r="F48" i="19" s="1"/>
  <c r="M285" i="22"/>
  <c r="M286" i="20"/>
  <c r="M107" i="4"/>
  <c r="Q107" i="4" s="1"/>
  <c r="V107" i="4" s="1"/>
  <c r="D37" i="11" s="1"/>
  <c r="U37" i="11" s="1"/>
  <c r="M103" i="22"/>
  <c r="M104" i="20"/>
  <c r="Q104" i="20" s="1"/>
  <c r="V104" i="20" s="1"/>
  <c r="N316" i="6"/>
  <c r="T316" i="6" s="1"/>
  <c r="Y316" i="6" s="1"/>
  <c r="H73" i="19" s="1"/>
  <c r="M307" i="22"/>
  <c r="M308" i="20"/>
  <c r="M35" i="4"/>
  <c r="Q35" i="4" s="1"/>
  <c r="V35" i="4" s="1"/>
  <c r="H40" i="11" s="1"/>
  <c r="Y40" i="11" s="1"/>
  <c r="M34" i="22"/>
  <c r="M243" i="4"/>
  <c r="Q243" i="4" s="1"/>
  <c r="V243" i="4" s="1"/>
  <c r="B47" i="19" s="1"/>
  <c r="M234" i="22"/>
  <c r="M235" i="20"/>
  <c r="M370" i="4"/>
  <c r="Q370" i="4" s="1"/>
  <c r="V370" i="4" s="1"/>
  <c r="L49" i="19" s="1"/>
  <c r="M361" i="22"/>
  <c r="M362" i="20"/>
  <c r="M187" i="4"/>
  <c r="Q187" i="4" s="1"/>
  <c r="V187" i="4" s="1"/>
  <c r="F41" i="18" s="1"/>
  <c r="U41" i="18" s="1"/>
  <c r="M180" i="22"/>
  <c r="M181" i="20"/>
  <c r="M237" i="4"/>
  <c r="Q237" i="4" s="1"/>
  <c r="V237" i="4" s="1"/>
  <c r="B41" i="19" s="1"/>
  <c r="M228" i="22"/>
  <c r="M229" i="20"/>
  <c r="M328" i="22"/>
  <c r="M329" i="20"/>
  <c r="M250" i="22"/>
  <c r="M251" i="20"/>
  <c r="M181" i="22"/>
  <c r="M182" i="20"/>
  <c r="M229" i="22"/>
  <c r="M230" i="20"/>
  <c r="M305" i="22"/>
  <c r="M306" i="20"/>
  <c r="M355" i="22"/>
  <c r="M356" i="20"/>
  <c r="M299" i="22"/>
  <c r="M300" i="20"/>
  <c r="M75" i="22"/>
  <c r="Q75" i="22" s="1"/>
  <c r="V75" i="22" s="1"/>
  <c r="M197" i="22"/>
  <c r="M198" i="20"/>
  <c r="M246" i="22"/>
  <c r="M247" i="20"/>
  <c r="M294" i="22"/>
  <c r="M295" i="20"/>
  <c r="M346" i="22"/>
  <c r="M347" i="20"/>
  <c r="M139" i="22"/>
  <c r="M140" i="20"/>
  <c r="M82" i="22"/>
  <c r="M83" i="20"/>
  <c r="M185" i="22"/>
  <c r="Q185" i="22" s="1"/>
  <c r="V185" i="22" s="1"/>
  <c r="M186" i="20"/>
  <c r="M231" i="22"/>
  <c r="M232" i="20"/>
  <c r="M347" i="22"/>
  <c r="M348" i="20"/>
  <c r="N195" i="6"/>
  <c r="T195" i="6" s="1"/>
  <c r="Y195" i="6" s="1"/>
  <c r="F78" i="18" s="1"/>
  <c r="U78" i="18" s="1"/>
  <c r="M188" i="22"/>
  <c r="M189" i="20"/>
  <c r="M143" i="4"/>
  <c r="Q143" i="4" s="1"/>
  <c r="V143" i="4" s="1"/>
  <c r="D47" i="18" s="1"/>
  <c r="S47" i="18" s="1"/>
  <c r="M138" i="22"/>
  <c r="M139" i="20"/>
  <c r="N219" i="6"/>
  <c r="T219" i="6" s="1"/>
  <c r="Y219" i="6" s="1"/>
  <c r="H77" i="18" s="1"/>
  <c r="W77" i="18" s="1"/>
  <c r="M211" i="22"/>
  <c r="M212" i="20"/>
  <c r="N87" i="6"/>
  <c r="T87" i="6" s="1"/>
  <c r="Y87" i="6" s="1"/>
  <c r="B70" i="18" s="1"/>
  <c r="Q70" i="18" s="1"/>
  <c r="M84" i="22"/>
  <c r="M85" i="20"/>
  <c r="M93" i="4"/>
  <c r="Q93" i="4" s="1"/>
  <c r="V93" i="4" s="1"/>
  <c r="B47" i="18" s="1"/>
  <c r="Q47" i="18" s="1"/>
  <c r="M90" i="22"/>
  <c r="M91" i="20"/>
  <c r="M189" i="22"/>
  <c r="Q189" i="22" s="1"/>
  <c r="V189" i="22" s="1"/>
  <c r="M190" i="20"/>
  <c r="M260" i="4"/>
  <c r="Q260" i="4" s="1"/>
  <c r="V260" i="4" s="1"/>
  <c r="D39" i="19" s="1"/>
  <c r="M251" i="22"/>
  <c r="M252" i="20"/>
  <c r="M362" i="4"/>
  <c r="Q362" i="4" s="1"/>
  <c r="V362" i="4" s="1"/>
  <c r="L41" i="19" s="1"/>
  <c r="M353" i="22"/>
  <c r="M354" i="20"/>
  <c r="M211" i="4"/>
  <c r="Q211" i="4" s="1"/>
  <c r="V211" i="4" s="1"/>
  <c r="H40" i="18" s="1"/>
  <c r="W40" i="18" s="1"/>
  <c r="M203" i="22"/>
  <c r="M204" i="20"/>
  <c r="Q184" i="22"/>
  <c r="V184" i="22" s="1"/>
  <c r="M362" i="22"/>
  <c r="M363" i="20"/>
  <c r="M154" i="22"/>
  <c r="M155" i="20"/>
  <c r="M69" i="22"/>
  <c r="M70" i="20"/>
  <c r="M289" i="22"/>
  <c r="M290" i="20"/>
  <c r="M235" i="22"/>
  <c r="M236" i="20"/>
  <c r="M15" i="22"/>
  <c r="M15" i="20"/>
  <c r="M142" i="22"/>
  <c r="Q142" i="22" s="1"/>
  <c r="V142" i="22" s="1"/>
  <c r="M143" i="20"/>
  <c r="M311" i="4"/>
  <c r="Q311" i="4" s="1"/>
  <c r="V311" i="4" s="1"/>
  <c r="H40" i="19" s="1"/>
  <c r="M302" i="22"/>
  <c r="M303" i="20"/>
  <c r="N228" i="6"/>
  <c r="T228" i="6" s="1"/>
  <c r="Y228" i="6" s="1"/>
  <c r="B60" i="19" s="1"/>
  <c r="M219" i="22"/>
  <c r="M220" i="20"/>
  <c r="M258" i="4"/>
  <c r="Q258" i="4" s="1"/>
  <c r="V258" i="4" s="1"/>
  <c r="D37" i="19" s="1"/>
  <c r="M249" i="22"/>
  <c r="M250" i="20"/>
  <c r="M239" i="4"/>
  <c r="Q239" i="4" s="1"/>
  <c r="V239" i="4" s="1"/>
  <c r="B43" i="19" s="1"/>
  <c r="M230" i="22"/>
  <c r="M231" i="20"/>
  <c r="M339" i="4"/>
  <c r="Q339" i="4" s="1"/>
  <c r="V339" i="4" s="1"/>
  <c r="J43" i="19" s="1"/>
  <c r="M330" i="22"/>
  <c r="M331" i="20"/>
  <c r="M180" i="4"/>
  <c r="Q180" i="4" s="1"/>
  <c r="V180" i="4" s="1"/>
  <c r="F34" i="18" s="1"/>
  <c r="U34" i="18" s="1"/>
  <c r="M173" i="22"/>
  <c r="M174" i="20"/>
  <c r="N330" i="6"/>
  <c r="T330" i="6" s="1"/>
  <c r="Y330" i="6" s="1"/>
  <c r="J62" i="19" s="1"/>
  <c r="M321" i="22"/>
  <c r="M322" i="20"/>
  <c r="N186" i="6"/>
  <c r="T186" i="6" s="1"/>
  <c r="Y186" i="6" s="1"/>
  <c r="F69" i="18" s="1"/>
  <c r="U69" i="18" s="1"/>
  <c r="M179" i="22"/>
  <c r="M180" i="20"/>
  <c r="M51" i="22"/>
  <c r="N372" i="6"/>
  <c r="T372" i="6" s="1"/>
  <c r="Y372" i="6" s="1"/>
  <c r="L79" i="19" s="1"/>
  <c r="N113" i="6"/>
  <c r="T113" i="6" s="1"/>
  <c r="Y113" i="6" s="1"/>
  <c r="D72" i="11" s="1"/>
  <c r="U72" i="11" s="1"/>
  <c r="N373" i="6"/>
  <c r="T373" i="6" s="1"/>
  <c r="Y373" i="6" s="1"/>
  <c r="L80" i="19" s="1"/>
  <c r="N22" i="6"/>
  <c r="T22" i="6" s="1"/>
  <c r="Y22" i="6" s="1"/>
  <c r="B81" i="11" s="1"/>
  <c r="S81" i="11" s="1"/>
  <c r="N71" i="6"/>
  <c r="T71" i="6" s="1"/>
  <c r="N106" i="6"/>
  <c r="T106" i="6" s="1"/>
  <c r="Y106" i="6" s="1"/>
  <c r="D65" i="11" s="1"/>
  <c r="U65" i="11" s="1"/>
  <c r="N318" i="6"/>
  <c r="T318" i="6" s="1"/>
  <c r="Y318" i="6" s="1"/>
  <c r="H75" i="19" s="1"/>
  <c r="Q16" i="20"/>
  <c r="V16" i="20" s="1"/>
  <c r="M6" i="22"/>
  <c r="M6" i="20"/>
  <c r="M281" i="4"/>
  <c r="Q281" i="4" s="1"/>
  <c r="V281" i="4" s="1"/>
  <c r="F35" i="19" s="1"/>
  <c r="M272" i="22"/>
  <c r="M273" i="20"/>
  <c r="M372" i="4"/>
  <c r="Q372" i="4" s="1"/>
  <c r="V372" i="4" s="1"/>
  <c r="L51" i="19" s="1"/>
  <c r="M113" i="4"/>
  <c r="Q113" i="4" s="1"/>
  <c r="V113" i="4" s="1"/>
  <c r="D43" i="11" s="1"/>
  <c r="U43" i="11" s="1"/>
  <c r="M373" i="4"/>
  <c r="Q373" i="4" s="1"/>
  <c r="V373" i="4" s="1"/>
  <c r="L52" i="19" s="1"/>
  <c r="M22" i="4"/>
  <c r="M71" i="4"/>
  <c r="Q71" i="4" s="1"/>
  <c r="V71" i="4" s="1"/>
  <c r="J51" i="11" s="1"/>
  <c r="AA51" i="11" s="1"/>
  <c r="M106" i="4"/>
  <c r="Q106" i="4" s="1"/>
  <c r="V106" i="4" s="1"/>
  <c r="D36" i="11" s="1"/>
  <c r="U36" i="11" s="1"/>
  <c r="M318" i="4"/>
  <c r="Q318" i="4" s="1"/>
  <c r="V318" i="4" s="1"/>
  <c r="H47" i="19" s="1"/>
  <c r="N38" i="6"/>
  <c r="T38" i="6" s="1"/>
  <c r="M37" i="22"/>
  <c r="M171" i="4"/>
  <c r="Q171" i="4" s="1"/>
  <c r="V171" i="4" s="1"/>
  <c r="F51" i="11" s="1"/>
  <c r="W51" i="11" s="1"/>
  <c r="M165" i="22"/>
  <c r="Q165" i="22" s="1"/>
  <c r="V165" i="22" s="1"/>
  <c r="M166" i="20"/>
  <c r="M319" i="4"/>
  <c r="Q319" i="4" s="1"/>
  <c r="V319" i="4" s="1"/>
  <c r="H48" i="19" s="1"/>
  <c r="M310" i="22"/>
  <c r="M311" i="20"/>
  <c r="N322" i="6"/>
  <c r="T322" i="6" s="1"/>
  <c r="Y322" i="6" s="1"/>
  <c r="H79" i="19" s="1"/>
  <c r="M313" i="22"/>
  <c r="M314" i="20"/>
  <c r="M273" i="4"/>
  <c r="Q273" i="4" s="1"/>
  <c r="V273" i="4" s="1"/>
  <c r="D52" i="19" s="1"/>
  <c r="M264" i="22"/>
  <c r="M265" i="20"/>
  <c r="N267" i="6"/>
  <c r="T267" i="6" s="1"/>
  <c r="Y267" i="6" s="1"/>
  <c r="D74" i="19" s="1"/>
  <c r="M258" i="22"/>
  <c r="M259" i="20"/>
  <c r="N67" i="6"/>
  <c r="T67" i="6" s="1"/>
  <c r="M65" i="22"/>
  <c r="M66" i="20"/>
  <c r="M246" i="4"/>
  <c r="Q246" i="4" s="1"/>
  <c r="V246" i="4" s="1"/>
  <c r="B50" i="19" s="1"/>
  <c r="M237" i="22"/>
  <c r="M238" i="20"/>
  <c r="M317" i="4"/>
  <c r="Q317" i="4" s="1"/>
  <c r="V317" i="4" s="1"/>
  <c r="H46" i="19" s="1"/>
  <c r="M308" i="22"/>
  <c r="M309" i="20"/>
  <c r="M23" i="4"/>
  <c r="M23" i="22"/>
  <c r="M23" i="20"/>
  <c r="Q23" i="20" s="1"/>
  <c r="N163" i="6"/>
  <c r="T163" i="6" s="1"/>
  <c r="Y163" i="6" s="1"/>
  <c r="F72" i="11" s="1"/>
  <c r="W72" i="11" s="1"/>
  <c r="M157" i="22"/>
  <c r="Q157" i="22" s="1"/>
  <c r="V157" i="22" s="1"/>
  <c r="M158" i="20"/>
  <c r="M47" i="4"/>
  <c r="M46" i="22"/>
  <c r="M164" i="4"/>
  <c r="Q164" i="4" s="1"/>
  <c r="V164" i="4" s="1"/>
  <c r="F44" i="11" s="1"/>
  <c r="W44" i="11" s="1"/>
  <c r="M158" i="22"/>
  <c r="M159" i="20"/>
  <c r="M343" i="4"/>
  <c r="Q343" i="4" s="1"/>
  <c r="V343" i="4" s="1"/>
  <c r="J47" i="19" s="1"/>
  <c r="M334" i="22"/>
  <c r="M335" i="20"/>
  <c r="M30" i="4"/>
  <c r="Q30" i="4" s="1"/>
  <c r="V30" i="4" s="1"/>
  <c r="H35" i="11" s="1"/>
  <c r="Y35" i="11" s="1"/>
  <c r="M29" i="22"/>
  <c r="N165" i="6"/>
  <c r="T165" i="6" s="1"/>
  <c r="Y165" i="6" s="1"/>
  <c r="F74" i="11" s="1"/>
  <c r="W74" i="11" s="1"/>
  <c r="M159" i="22"/>
  <c r="M160" i="20"/>
  <c r="M14" i="4"/>
  <c r="M14" i="22"/>
  <c r="M14" i="20"/>
  <c r="M156" i="4"/>
  <c r="Q156" i="4" s="1"/>
  <c r="V156" i="4" s="1"/>
  <c r="F36" i="11" s="1"/>
  <c r="W36" i="11" s="1"/>
  <c r="M150" i="22"/>
  <c r="M151" i="20"/>
  <c r="M342" i="4"/>
  <c r="Q342" i="4" s="1"/>
  <c r="V342" i="4" s="1"/>
  <c r="J46" i="19" s="1"/>
  <c r="M333" i="22"/>
  <c r="M334" i="20"/>
  <c r="N58" i="6"/>
  <c r="T58" i="6" s="1"/>
  <c r="M56" i="22"/>
  <c r="M168" i="4"/>
  <c r="Q168" i="4" s="1"/>
  <c r="V168" i="4" s="1"/>
  <c r="F48" i="11" s="1"/>
  <c r="W48" i="11" s="1"/>
  <c r="M162" i="22"/>
  <c r="M163" i="20"/>
  <c r="N94" i="6"/>
  <c r="T94" i="6" s="1"/>
  <c r="Y94" i="6" s="1"/>
  <c r="B77" i="18" s="1"/>
  <c r="Q77" i="18" s="1"/>
  <c r="M91" i="22"/>
  <c r="Q91" i="22" s="1"/>
  <c r="V91" i="22" s="1"/>
  <c r="M92" i="20"/>
  <c r="N203" i="6"/>
  <c r="T203" i="6" s="1"/>
  <c r="Y203" i="6" s="1"/>
  <c r="H61" i="18" s="1"/>
  <c r="W61" i="18" s="1"/>
  <c r="M195" i="22"/>
  <c r="M196" i="20"/>
  <c r="M254" i="22"/>
  <c r="M255" i="20"/>
  <c r="M354" i="22"/>
  <c r="M355" i="20"/>
  <c r="M133" i="22"/>
  <c r="M134" i="20"/>
  <c r="M196" i="22"/>
  <c r="M197" i="20"/>
  <c r="M264" i="4"/>
  <c r="Q264" i="4" s="1"/>
  <c r="V264" i="4" s="1"/>
  <c r="D43" i="19" s="1"/>
  <c r="M255" i="22"/>
  <c r="M256" i="20"/>
  <c r="M328" i="4"/>
  <c r="Q328" i="4" s="1"/>
  <c r="V328" i="4" s="1"/>
  <c r="J32" i="19" s="1"/>
  <c r="M319" i="22"/>
  <c r="M320" i="20"/>
  <c r="M132" i="4"/>
  <c r="Q132" i="4" s="1"/>
  <c r="V132" i="4" s="1"/>
  <c r="D36" i="18" s="1"/>
  <c r="S36" i="18" s="1"/>
  <c r="M127" i="22"/>
  <c r="M128" i="20"/>
  <c r="N358" i="6"/>
  <c r="T358" i="6" s="1"/>
  <c r="Y358" i="6" s="1"/>
  <c r="L65" i="19" s="1"/>
  <c r="M349" i="22"/>
  <c r="Q349" i="22" s="1"/>
  <c r="V349" i="22" s="1"/>
  <c r="M350" i="20"/>
  <c r="M128" i="4"/>
  <c r="Q128" i="4" s="1"/>
  <c r="V128" i="4" s="1"/>
  <c r="D32" i="18" s="1"/>
  <c r="S32" i="18" s="1"/>
  <c r="M123" i="22"/>
  <c r="M124" i="20"/>
  <c r="N215" i="6"/>
  <c r="T215" i="6" s="1"/>
  <c r="Y215" i="6" s="1"/>
  <c r="H73" i="18" s="1"/>
  <c r="W73" i="18" s="1"/>
  <c r="M207" i="22"/>
  <c r="M208" i="20"/>
  <c r="M265" i="4"/>
  <c r="Q265" i="4" s="1"/>
  <c r="V265" i="4" s="1"/>
  <c r="D44" i="19" s="1"/>
  <c r="M256" i="22"/>
  <c r="M257" i="20"/>
  <c r="M315" i="4"/>
  <c r="Q315" i="4" s="1"/>
  <c r="V315" i="4" s="1"/>
  <c r="H44" i="19" s="1"/>
  <c r="M306" i="22"/>
  <c r="M307" i="20"/>
  <c r="M365" i="4"/>
  <c r="Q365" i="4" s="1"/>
  <c r="V365" i="4" s="1"/>
  <c r="L44" i="19" s="1"/>
  <c r="M356" i="22"/>
  <c r="M357" i="20"/>
  <c r="M208" i="4"/>
  <c r="Q208" i="4" s="1"/>
  <c r="V208" i="4" s="1"/>
  <c r="H37" i="18" s="1"/>
  <c r="W37" i="18" s="1"/>
  <c r="M200" i="22"/>
  <c r="M201" i="20"/>
  <c r="M129" i="4"/>
  <c r="Q129" i="4" s="1"/>
  <c r="V129" i="4" s="1"/>
  <c r="D33" i="18" s="1"/>
  <c r="S33" i="18" s="1"/>
  <c r="M124" i="22"/>
  <c r="M125" i="20"/>
  <c r="M206" i="4"/>
  <c r="Q206" i="4" s="1"/>
  <c r="V206" i="4" s="1"/>
  <c r="H35" i="18" s="1"/>
  <c r="W35" i="18" s="1"/>
  <c r="M198" i="22"/>
  <c r="Q198" i="22" s="1"/>
  <c r="V198" i="22" s="1"/>
  <c r="M199" i="20"/>
  <c r="M256" i="4"/>
  <c r="Q256" i="4" s="1"/>
  <c r="V256" i="4" s="1"/>
  <c r="D35" i="19" s="1"/>
  <c r="M247" i="22"/>
  <c r="M248" i="20"/>
  <c r="M298" i="22"/>
  <c r="M299" i="20"/>
  <c r="M326" i="22"/>
  <c r="M327" i="20"/>
  <c r="M176" i="22"/>
  <c r="M177" i="20"/>
  <c r="M222" i="22"/>
  <c r="M223" i="20"/>
  <c r="M223" i="22"/>
  <c r="M224" i="20"/>
  <c r="M131" i="22"/>
  <c r="M132" i="20"/>
  <c r="M204" i="22"/>
  <c r="Q204" i="22" s="1"/>
  <c r="V204" i="22" s="1"/>
  <c r="M205" i="20"/>
  <c r="M277" i="22"/>
  <c r="M278" i="20"/>
  <c r="M177" i="22"/>
  <c r="M178" i="20"/>
  <c r="M300" i="22"/>
  <c r="M301" i="20"/>
  <c r="Q16" i="22"/>
  <c r="V16" i="22" s="1"/>
  <c r="N260" i="6"/>
  <c r="T260" i="6" s="1"/>
  <c r="Y260" i="6" s="1"/>
  <c r="D67" i="19" s="1"/>
  <c r="N362" i="6"/>
  <c r="T362" i="6" s="1"/>
  <c r="Y362" i="6" s="1"/>
  <c r="L69" i="19" s="1"/>
  <c r="M203" i="4"/>
  <c r="Q203" i="4" s="1"/>
  <c r="V203" i="4" s="1"/>
  <c r="H32" i="18" s="1"/>
  <c r="W32" i="18" s="1"/>
  <c r="M123" i="4"/>
  <c r="Q123" i="4" s="1"/>
  <c r="V123" i="4" s="1"/>
  <c r="D53" i="11" s="1"/>
  <c r="U53" i="11" s="1"/>
  <c r="N294" i="6"/>
  <c r="T294" i="6" s="1"/>
  <c r="Y294" i="6" s="1"/>
  <c r="F76" i="19" s="1"/>
  <c r="N370" i="6"/>
  <c r="N107" i="6"/>
  <c r="T107" i="6" s="1"/>
  <c r="Y107" i="6" s="1"/>
  <c r="D66" i="11" s="1"/>
  <c r="U66" i="11" s="1"/>
  <c r="N130" i="6"/>
  <c r="T130" i="6" s="1"/>
  <c r="Y130" i="6" s="1"/>
  <c r="D63" i="18" s="1"/>
  <c r="S63" i="18" s="1"/>
  <c r="N283" i="6"/>
  <c r="M185" i="4"/>
  <c r="M157" i="4"/>
  <c r="Q157" i="4" s="1"/>
  <c r="V157" i="4" s="1"/>
  <c r="F37" i="11" s="1"/>
  <c r="W37" i="11" s="1"/>
  <c r="N243" i="6"/>
  <c r="T243" i="6" s="1"/>
  <c r="Y243" i="6" s="1"/>
  <c r="B75" i="19" s="1"/>
  <c r="N178" i="6"/>
  <c r="N295" i="6"/>
  <c r="M228" i="4"/>
  <c r="Q228" i="4" s="1"/>
  <c r="V228" i="4" s="1"/>
  <c r="B32" i="19" s="1"/>
  <c r="M155" i="4"/>
  <c r="M186" i="4"/>
  <c r="Q186" i="4" s="1"/>
  <c r="V186" i="4" s="1"/>
  <c r="F40" i="18" s="1"/>
  <c r="U40" i="18" s="1"/>
  <c r="M316" i="4"/>
  <c r="Q316" i="4" s="1"/>
  <c r="V316" i="4" s="1"/>
  <c r="H45" i="19" s="1"/>
  <c r="M4" i="4"/>
  <c r="N281" i="6"/>
  <c r="N207" i="6"/>
  <c r="T207" i="6" s="1"/>
  <c r="Y207" i="6" s="1"/>
  <c r="H65" i="18" s="1"/>
  <c r="W65" i="18" s="1"/>
  <c r="M330" i="4"/>
  <c r="M179" i="4"/>
  <c r="Q179" i="4" s="1"/>
  <c r="V179" i="4" s="1"/>
  <c r="F33" i="18" s="1"/>
  <c r="U33" i="18" s="1"/>
  <c r="N354" i="6"/>
  <c r="T354" i="6" s="1"/>
  <c r="Y354" i="6" s="1"/>
  <c r="L61" i="19" s="1"/>
  <c r="N339" i="6"/>
  <c r="N290" i="6"/>
  <c r="N35" i="6"/>
  <c r="T35" i="6" s="1"/>
  <c r="Y35" i="6" s="1"/>
  <c r="H69" i="11" s="1"/>
  <c r="Y69" i="11" s="1"/>
  <c r="N235" i="6"/>
  <c r="T235" i="6" s="1"/>
  <c r="Y235" i="6" s="1"/>
  <c r="B67" i="19" s="1"/>
  <c r="N296" i="6"/>
  <c r="N311" i="6"/>
  <c r="T311" i="6" s="1"/>
  <c r="Y311" i="6" s="1"/>
  <c r="H68" i="19" s="1"/>
  <c r="N230" i="6"/>
  <c r="N145" i="6"/>
  <c r="T145" i="6" s="1"/>
  <c r="Y145" i="6" s="1"/>
  <c r="D78" i="18" s="1"/>
  <c r="S78" i="18" s="1"/>
  <c r="M357" i="4"/>
  <c r="M20" i="4"/>
  <c r="N258" i="6"/>
  <c r="N159" i="6"/>
  <c r="T159" i="6" s="1"/>
  <c r="Y159" i="6" s="1"/>
  <c r="F68" i="11" s="1"/>
  <c r="W68" i="11" s="1"/>
  <c r="N237" i="6"/>
  <c r="N288" i="6"/>
  <c r="T288" i="6" s="1"/>
  <c r="Y288" i="6" s="1"/>
  <c r="F70" i="19" s="1"/>
  <c r="N45" i="6"/>
  <c r="N172" i="6"/>
  <c r="T172" i="6" s="1"/>
  <c r="Y172" i="6" s="1"/>
  <c r="F81" i="11" s="1"/>
  <c r="W81" i="11" s="1"/>
  <c r="N289" i="6"/>
  <c r="T289" i="6" s="1"/>
  <c r="Y289" i="6" s="1"/>
  <c r="F71" i="19" s="1"/>
  <c r="N180" i="6"/>
  <c r="N187" i="6"/>
  <c r="T187" i="6" s="1"/>
  <c r="Y187" i="6" s="1"/>
  <c r="F70" i="18" s="1"/>
  <c r="U70" i="18" s="1"/>
  <c r="N239" i="6"/>
  <c r="T239" i="6" s="1"/>
  <c r="Y239" i="6" s="1"/>
  <c r="B71" i="19" s="1"/>
  <c r="N29" i="6"/>
  <c r="T29" i="6" s="1"/>
  <c r="Y29" i="6" s="1"/>
  <c r="H63" i="11" s="1"/>
  <c r="Y63" i="11" s="1"/>
  <c r="N291" i="6"/>
  <c r="T291" i="6" s="1"/>
  <c r="Y291" i="6" s="1"/>
  <c r="F73" i="19" s="1"/>
  <c r="M267" i="4"/>
  <c r="N236" i="6"/>
  <c r="T236" i="6" s="1"/>
  <c r="Y236" i="6" s="1"/>
  <c r="B68" i="19" s="1"/>
  <c r="N323" i="6"/>
  <c r="T323" i="6" s="1"/>
  <c r="Y323" i="6" s="1"/>
  <c r="H80" i="19" s="1"/>
  <c r="N91" i="6"/>
  <c r="O130" i="2"/>
  <c r="N131" i="6" s="1"/>
  <c r="D7" i="18"/>
  <c r="O95" i="2"/>
  <c r="B22" i="18"/>
  <c r="O284" i="2"/>
  <c r="F11" i="19"/>
  <c r="O133" i="2"/>
  <c r="D10" i="18"/>
  <c r="O216" i="2"/>
  <c r="H18" i="18"/>
  <c r="O233" i="2"/>
  <c r="M234" i="4" s="1"/>
  <c r="B10" i="19"/>
  <c r="O303" i="2"/>
  <c r="H5" i="19"/>
  <c r="O352" i="2"/>
  <c r="L4" i="19"/>
  <c r="O252" i="2"/>
  <c r="N253" i="6" s="1"/>
  <c r="D4" i="19"/>
  <c r="O209" i="2"/>
  <c r="M210" i="4" s="1"/>
  <c r="H11" i="18"/>
  <c r="O181" i="2"/>
  <c r="F8" i="18"/>
  <c r="M219" i="4"/>
  <c r="M87" i="4"/>
  <c r="M220" i="4"/>
  <c r="M195" i="4"/>
  <c r="Q195" i="4" s="1"/>
  <c r="V195" i="4" s="1"/>
  <c r="F49" i="18" s="1"/>
  <c r="U49" i="18" s="1"/>
  <c r="M215" i="4"/>
  <c r="O283" i="2"/>
  <c r="M284" i="4" s="1"/>
  <c r="F10" i="19"/>
  <c r="O332" i="2"/>
  <c r="M333" i="4" s="1"/>
  <c r="J9" i="19"/>
  <c r="O360" i="2"/>
  <c r="L12" i="19"/>
  <c r="O81" i="2"/>
  <c r="M82" i="4" s="1"/>
  <c r="B8" i="18"/>
  <c r="O141" i="2"/>
  <c r="M142" i="4" s="1"/>
  <c r="D18" i="18"/>
  <c r="O188" i="2"/>
  <c r="N189" i="6" s="1"/>
  <c r="F15" i="18"/>
  <c r="N143" i="6"/>
  <c r="N148" i="6"/>
  <c r="T148" i="6" s="1"/>
  <c r="Y148" i="6" s="1"/>
  <c r="D81" i="18" s="1"/>
  <c r="S81" i="18" s="1"/>
  <c r="N132" i="6"/>
  <c r="N328" i="6"/>
  <c r="N129" i="6"/>
  <c r="N264" i="6"/>
  <c r="N315" i="6"/>
  <c r="T315" i="6" s="1"/>
  <c r="Y315" i="6" s="1"/>
  <c r="H72" i="19" s="1"/>
  <c r="N365" i="6"/>
  <c r="N137" i="6"/>
  <c r="N213" i="6"/>
  <c r="T213" i="6" s="1"/>
  <c r="Y213" i="6" s="1"/>
  <c r="H71" i="18" s="1"/>
  <c r="W71" i="18" s="1"/>
  <c r="N128" i="6"/>
  <c r="M358" i="4"/>
  <c r="O331" i="2"/>
  <c r="M332" i="4" s="1"/>
  <c r="J8" i="19"/>
  <c r="N8" i="19" s="1"/>
  <c r="Q8" i="19" s="1"/>
  <c r="O82" i="2"/>
  <c r="N83" i="6" s="1"/>
  <c r="B9" i="18"/>
  <c r="O189" i="2"/>
  <c r="F16" i="18"/>
  <c r="O232" i="2"/>
  <c r="B9" i="19"/>
  <c r="O80" i="2"/>
  <c r="B7" i="18"/>
  <c r="O79" i="2"/>
  <c r="N80" i="6" s="1"/>
  <c r="B6" i="18"/>
  <c r="O89" i="2"/>
  <c r="M90" i="4" s="1"/>
  <c r="B16" i="18"/>
  <c r="O359" i="2"/>
  <c r="N360" i="6" s="1"/>
  <c r="L11" i="19"/>
  <c r="O140" i="2"/>
  <c r="D17" i="18"/>
  <c r="O197" i="2"/>
  <c r="F24" i="18"/>
  <c r="N336" i="6"/>
  <c r="N256" i="6"/>
  <c r="N208" i="6"/>
  <c r="T208" i="6" s="1"/>
  <c r="Y208" i="6" s="1"/>
  <c r="H66" i="18" s="1"/>
  <c r="W66" i="18" s="1"/>
  <c r="N287" i="6"/>
  <c r="N206" i="6"/>
  <c r="N93" i="6"/>
  <c r="T93" i="6" s="1"/>
  <c r="Y93" i="6" s="1"/>
  <c r="B76" i="18" s="1"/>
  <c r="Q76" i="18" s="1"/>
  <c r="N214" i="6"/>
  <c r="T214" i="6" s="1"/>
  <c r="Y214" i="6" s="1"/>
  <c r="H72" i="18" s="1"/>
  <c r="W72" i="18" s="1"/>
  <c r="N265" i="6"/>
  <c r="T265" i="6" s="1"/>
  <c r="Y265" i="6" s="1"/>
  <c r="D72" i="19" s="1"/>
  <c r="O83" i="2"/>
  <c r="B10" i="18"/>
  <c r="O94" i="2"/>
  <c r="M95" i="4" s="1"/>
  <c r="B21" i="18"/>
  <c r="O304" i="2"/>
  <c r="M305" i="4" s="1"/>
  <c r="H6" i="19"/>
  <c r="N6" i="19" s="1"/>
  <c r="Q6" i="19" s="1"/>
  <c r="O91" i="2"/>
  <c r="N92" i="6" s="1"/>
  <c r="B18" i="18"/>
  <c r="O132" i="2"/>
  <c r="D9" i="18"/>
  <c r="O78" i="2"/>
  <c r="M77" i="20" s="1"/>
  <c r="B5" i="18"/>
  <c r="O87" i="2"/>
  <c r="N88" i="6" s="1"/>
  <c r="B14" i="18"/>
  <c r="O97" i="2"/>
  <c r="B24" i="18"/>
  <c r="O253" i="2"/>
  <c r="D5" i="19"/>
  <c r="O196" i="2"/>
  <c r="F23" i="18"/>
  <c r="O261" i="2"/>
  <c r="M262" i="4" s="1"/>
  <c r="D13" i="19"/>
  <c r="O312" i="2"/>
  <c r="N313" i="6" s="1"/>
  <c r="H14" i="19"/>
  <c r="N14" i="19" s="1"/>
  <c r="Q14" i="19" s="1"/>
  <c r="O88" i="2"/>
  <c r="B15" i="18"/>
  <c r="O339" i="2"/>
  <c r="J16" i="19"/>
  <c r="N16" i="19" s="1"/>
  <c r="Q16" i="19" s="1"/>
  <c r="O311" i="2"/>
  <c r="N312" i="6" s="1"/>
  <c r="H13" i="19"/>
  <c r="O208" i="2"/>
  <c r="H10" i="18"/>
  <c r="O180" i="2"/>
  <c r="M181" i="4" s="1"/>
  <c r="F7" i="18"/>
  <c r="O217" i="2"/>
  <c r="H19" i="18"/>
  <c r="O260" i="2"/>
  <c r="D12" i="19"/>
  <c r="O96" i="2"/>
  <c r="B23" i="18"/>
  <c r="M38" i="4"/>
  <c r="Q38" i="4" s="1"/>
  <c r="V38" i="4" s="1"/>
  <c r="H43" i="11" s="1"/>
  <c r="Y43" i="11" s="1"/>
  <c r="M322" i="4"/>
  <c r="M58" i="4"/>
  <c r="M165" i="4"/>
  <c r="N343" i="6"/>
  <c r="M163" i="4"/>
  <c r="N23" i="6"/>
  <c r="T23" i="6" s="1"/>
  <c r="Y23" i="6" s="1"/>
  <c r="B82" i="11" s="1"/>
  <c r="S82" i="11" s="1"/>
  <c r="N168" i="6"/>
  <c r="T168" i="6" s="1"/>
  <c r="Y168" i="6" s="1"/>
  <c r="F77" i="11" s="1"/>
  <c r="W77" i="11" s="1"/>
  <c r="N66" i="6"/>
  <c r="N342" i="6"/>
  <c r="N156" i="6"/>
  <c r="N30" i="6"/>
  <c r="N164" i="6"/>
  <c r="T164" i="6" s="1"/>
  <c r="Y164" i="6" s="1"/>
  <c r="F73" i="11" s="1"/>
  <c r="W73" i="11" s="1"/>
  <c r="N317" i="6"/>
  <c r="M67" i="4"/>
  <c r="N171" i="6"/>
  <c r="T171" i="6" s="1"/>
  <c r="Y171" i="6" s="1"/>
  <c r="F80" i="11" s="1"/>
  <c r="W80" i="11" s="1"/>
  <c r="N273" i="6"/>
  <c r="N319" i="6"/>
  <c r="N14" i="6"/>
  <c r="N246" i="6"/>
  <c r="N47" i="6"/>
  <c r="N268" i="6"/>
  <c r="N345" i="6"/>
  <c r="T345" i="6" s="1"/>
  <c r="Y345" i="6" s="1"/>
  <c r="J77" i="19" s="1"/>
  <c r="N121" i="6"/>
  <c r="T121" i="6" s="1"/>
  <c r="Y121" i="6" s="1"/>
  <c r="D80" i="11" s="1"/>
  <c r="U80" i="11" s="1"/>
  <c r="N272" i="6"/>
  <c r="T272" i="6" s="1"/>
  <c r="Y272" i="6" s="1"/>
  <c r="D79" i="19" s="1"/>
  <c r="M111" i="4"/>
  <c r="O35" i="2"/>
  <c r="M36" i="20" s="1"/>
  <c r="H12" i="11"/>
  <c r="O67" i="2"/>
  <c r="J19" i="11"/>
  <c r="O33" i="2"/>
  <c r="M34" i="20" s="1"/>
  <c r="H10" i="11"/>
  <c r="O153" i="2"/>
  <c r="M154" i="4" s="1"/>
  <c r="F5" i="11"/>
  <c r="O114" i="2"/>
  <c r="D16" i="11"/>
  <c r="O68" i="2"/>
  <c r="J20" i="11"/>
  <c r="O367" i="2"/>
  <c r="C59" i="12"/>
  <c r="E59" i="12" s="1"/>
  <c r="O71" i="2"/>
  <c r="J23" i="11"/>
  <c r="O115" i="2"/>
  <c r="D17" i="11"/>
  <c r="O269" i="2"/>
  <c r="C17" i="12"/>
  <c r="E17" i="12" s="1"/>
  <c r="O347" i="2"/>
  <c r="C53" i="12"/>
  <c r="E53" i="12" s="1"/>
  <c r="O7" i="2"/>
  <c r="B9" i="11"/>
  <c r="O32" i="2"/>
  <c r="M33" i="20" s="1"/>
  <c r="H9" i="11"/>
  <c r="O69" i="2"/>
  <c r="J21" i="11"/>
  <c r="M347" i="4"/>
  <c r="M367" i="4"/>
  <c r="Q367" i="4" s="1"/>
  <c r="V367" i="4" s="1"/>
  <c r="L46" i="19" s="1"/>
  <c r="O20" i="2"/>
  <c r="B22" i="11"/>
  <c r="O47" i="2"/>
  <c r="M48" i="20" s="1"/>
  <c r="H24" i="11"/>
  <c r="O292" i="2"/>
  <c r="C26" i="12"/>
  <c r="E26" i="12" s="1"/>
  <c r="O41" i="2"/>
  <c r="M42" i="20" s="1"/>
  <c r="H18" i="11"/>
  <c r="O11" i="2"/>
  <c r="B13" i="11"/>
  <c r="O38" i="2"/>
  <c r="M39" i="20" s="1"/>
  <c r="H15" i="11"/>
  <c r="O40" i="2"/>
  <c r="M41" i="20" s="1"/>
  <c r="H17" i="11"/>
  <c r="O160" i="2"/>
  <c r="F12" i="11"/>
  <c r="O340" i="2"/>
  <c r="C46" i="12"/>
  <c r="E46" i="12" s="1"/>
  <c r="N248" i="6"/>
  <c r="O111" i="2"/>
  <c r="D13" i="11"/>
  <c r="O319" i="2"/>
  <c r="C39" i="12"/>
  <c r="E39" i="12" s="1"/>
  <c r="O241" i="2"/>
  <c r="N242" i="6" s="1"/>
  <c r="C3" i="12"/>
  <c r="E3" i="12" s="1"/>
  <c r="O108" i="2"/>
  <c r="D10" i="11"/>
  <c r="O4" i="2"/>
  <c r="B6" i="11"/>
  <c r="O31" i="2"/>
  <c r="M32" i="20" s="1"/>
  <c r="H8" i="11"/>
  <c r="O12" i="2"/>
  <c r="N13" i="6" s="1"/>
  <c r="B14" i="11"/>
  <c r="O39" i="2"/>
  <c r="M40" i="20" s="1"/>
  <c r="H16" i="11"/>
  <c r="O268" i="2"/>
  <c r="M269" i="4" s="1"/>
  <c r="C16" i="12"/>
  <c r="E16" i="12" s="1"/>
  <c r="O152" i="2"/>
  <c r="F4" i="11"/>
  <c r="M65" i="4"/>
  <c r="Q65" i="4" s="1"/>
  <c r="V65" i="4" s="1"/>
  <c r="J45" i="11" s="1"/>
  <c r="AA45" i="11" s="1"/>
  <c r="M46" i="4"/>
  <c r="O27" i="2"/>
  <c r="M28" i="20" s="1"/>
  <c r="H4" i="11"/>
  <c r="O103" i="2"/>
  <c r="D5" i="11"/>
  <c r="O59" i="2"/>
  <c r="J11" i="11"/>
  <c r="O10" i="2"/>
  <c r="N11" i="6" s="1"/>
  <c r="B12" i="11"/>
  <c r="O62" i="2"/>
  <c r="J14" i="11"/>
  <c r="O58" i="2"/>
  <c r="J10" i="11"/>
  <c r="O42" i="2"/>
  <c r="M43" i="20" s="1"/>
  <c r="H19" i="11"/>
  <c r="O17" i="2"/>
  <c r="B19" i="11"/>
  <c r="O240" i="2"/>
  <c r="C2" i="12"/>
  <c r="E2" i="12" s="1"/>
  <c r="O43" i="2"/>
  <c r="M44" i="20" s="1"/>
  <c r="H20" i="11"/>
  <c r="O55" i="2"/>
  <c r="M55" i="20" s="1"/>
  <c r="J7" i="11"/>
  <c r="O8" i="2"/>
  <c r="M9" i="4" s="1"/>
  <c r="B10" i="11"/>
  <c r="O161" i="2"/>
  <c r="F13" i="11"/>
  <c r="O18" i="2"/>
  <c r="M19" i="4" s="1"/>
  <c r="B20" i="11"/>
  <c r="O102" i="2"/>
  <c r="D4" i="11"/>
  <c r="N37" i="6"/>
  <c r="T37" i="6" s="1"/>
  <c r="Y37" i="6" s="1"/>
  <c r="H71" i="11" s="1"/>
  <c r="Y71" i="11" s="1"/>
  <c r="N73" i="6"/>
  <c r="N173" i="6"/>
  <c r="N366" i="6"/>
  <c r="N55" i="6"/>
  <c r="N344" i="6"/>
  <c r="N31" i="6"/>
  <c r="N166" i="6"/>
  <c r="O60" i="2"/>
  <c r="M61" i="4" s="1"/>
  <c r="J12" i="11"/>
  <c r="O118" i="2"/>
  <c r="D20" i="11"/>
  <c r="O63" i="2"/>
  <c r="J15" i="11"/>
  <c r="O16" i="2"/>
  <c r="B18" i="11"/>
  <c r="O320" i="2"/>
  <c r="C40" i="12"/>
  <c r="E40" i="12" s="1"/>
  <c r="O168" i="2"/>
  <c r="F20" i="11"/>
  <c r="O368" i="2"/>
  <c r="C60" i="12"/>
  <c r="E60" i="12" s="1"/>
  <c r="O169" i="2"/>
  <c r="F21" i="11"/>
  <c r="O61" i="2"/>
  <c r="J13" i="11"/>
  <c r="N245" i="6"/>
  <c r="N346" i="6"/>
  <c r="O117" i="2"/>
  <c r="D19" i="11"/>
  <c r="O119" i="2"/>
  <c r="D21" i="11"/>
  <c r="O291" i="2"/>
  <c r="M292" i="4" s="1"/>
  <c r="C25" i="12"/>
  <c r="E25" i="12" s="1"/>
  <c r="O107" i="2"/>
  <c r="D9" i="11"/>
  <c r="O9" i="2"/>
  <c r="B11" i="11"/>
  <c r="O116" i="2"/>
  <c r="D18" i="11"/>
  <c r="O109" i="2"/>
  <c r="M110" i="4" s="1"/>
  <c r="D11" i="11"/>
  <c r="Q4" i="4"/>
  <c r="V4" i="4" s="1"/>
  <c r="B34" i="11" s="1"/>
  <c r="S34" i="11" s="1"/>
  <c r="T122" i="6"/>
  <c r="Y122" i="6" s="1"/>
  <c r="D81" i="11" s="1"/>
  <c r="U81" i="11" s="1"/>
  <c r="T16" i="6"/>
  <c r="Y16" i="6" s="1"/>
  <c r="B75" i="11" s="1"/>
  <c r="S75" i="11" s="1"/>
  <c r="Q167" i="4"/>
  <c r="V167" i="4" s="1"/>
  <c r="F47" i="11" s="1"/>
  <c r="W47" i="11" s="1"/>
  <c r="Q271" i="4"/>
  <c r="V271" i="4" s="1"/>
  <c r="D50" i="19" s="1"/>
  <c r="Q247" i="4"/>
  <c r="V247" i="4" s="1"/>
  <c r="B51" i="19" s="1"/>
  <c r="Q359" i="4"/>
  <c r="V359" i="4" s="1"/>
  <c r="L38" i="19" s="1"/>
  <c r="Q240" i="4"/>
  <c r="V240" i="4" s="1"/>
  <c r="B44" i="19" s="1"/>
  <c r="Q188" i="4"/>
  <c r="V188" i="4" s="1"/>
  <c r="F42" i="18" s="1"/>
  <c r="U42" i="18" s="1"/>
  <c r="Q183" i="4"/>
  <c r="V183" i="4" s="1"/>
  <c r="F37" i="18" s="1"/>
  <c r="U37" i="18" s="1"/>
  <c r="Q310" i="4"/>
  <c r="V310" i="4" s="1"/>
  <c r="H39" i="19" s="1"/>
  <c r="Q371" i="4"/>
  <c r="V371" i="4" s="1"/>
  <c r="L50" i="19" s="1"/>
  <c r="Q184" i="4"/>
  <c r="V184" i="4" s="1"/>
  <c r="F38" i="18" s="1"/>
  <c r="U38" i="18" s="1"/>
  <c r="Q363" i="4"/>
  <c r="V363" i="4" s="1"/>
  <c r="L42" i="19" s="1"/>
  <c r="Q204" i="4"/>
  <c r="V204" i="4" s="1"/>
  <c r="H33" i="18" s="1"/>
  <c r="W33" i="18" s="1"/>
  <c r="Q263" i="4"/>
  <c r="V263" i="4" s="1"/>
  <c r="D42" i="19" s="1"/>
  <c r="Q196" i="4"/>
  <c r="V196" i="4" s="1"/>
  <c r="F50" i="18" s="1"/>
  <c r="U50" i="18" s="1"/>
  <c r="Q279" i="4"/>
  <c r="V279" i="4" s="1"/>
  <c r="F33" i="19" s="1"/>
  <c r="Q329" i="4"/>
  <c r="V329" i="4" s="1"/>
  <c r="J33" i="19" s="1"/>
  <c r="Q94" i="4"/>
  <c r="V94" i="4" s="1"/>
  <c r="B48" i="18" s="1"/>
  <c r="Q48" i="18" s="1"/>
  <c r="Q255" i="4"/>
  <c r="V255" i="4" s="1"/>
  <c r="D34" i="19" s="1"/>
  <c r="Q280" i="4"/>
  <c r="V280" i="4" s="1"/>
  <c r="F34" i="19" s="1"/>
  <c r="Q297" i="4"/>
  <c r="V297" i="4" s="1"/>
  <c r="F51" i="19" s="1"/>
  <c r="Q278" i="4"/>
  <c r="V278" i="4" s="1"/>
  <c r="F32" i="19" s="1"/>
  <c r="Q257" i="4"/>
  <c r="V257" i="4" s="1"/>
  <c r="D36" i="19" s="1"/>
  <c r="Q364" i="4"/>
  <c r="V364" i="4" s="1"/>
  <c r="L43" i="19" s="1"/>
  <c r="Q205" i="4"/>
  <c r="V205" i="4" s="1"/>
  <c r="H34" i="18" s="1"/>
  <c r="W34" i="18" s="1"/>
  <c r="Q85" i="4"/>
  <c r="V85" i="4" s="1"/>
  <c r="B39" i="18" s="1"/>
  <c r="Q39" i="18" s="1"/>
  <c r="Q86" i="4"/>
  <c r="V86" i="4" s="1"/>
  <c r="B40" i="18" s="1"/>
  <c r="Q40" i="18" s="1"/>
  <c r="Q193" i="4"/>
  <c r="V193" i="4" s="1"/>
  <c r="F47" i="18" s="1"/>
  <c r="U47" i="18" s="1"/>
  <c r="Q216" i="4"/>
  <c r="V216" i="4" s="1"/>
  <c r="H45" i="18" s="1"/>
  <c r="W45" i="18" s="1"/>
  <c r="Q144" i="4"/>
  <c r="V144" i="4" s="1"/>
  <c r="D48" i="18" s="1"/>
  <c r="S48" i="18" s="1"/>
  <c r="Q194" i="4"/>
  <c r="V194" i="4" s="1"/>
  <c r="F48" i="18" s="1"/>
  <c r="U48" i="18" s="1"/>
  <c r="Q221" i="4"/>
  <c r="V221" i="4" s="1"/>
  <c r="H50" i="18" s="1"/>
  <c r="W50" i="18" s="1"/>
  <c r="Q298" i="4"/>
  <c r="V298" i="4" s="1"/>
  <c r="F52" i="19" s="1"/>
  <c r="Q266" i="4"/>
  <c r="V266" i="4" s="1"/>
  <c r="D45" i="19" s="1"/>
  <c r="Q160" i="4"/>
  <c r="V160" i="4" s="1"/>
  <c r="F40" i="11" s="1"/>
  <c r="W40" i="11" s="1"/>
  <c r="Q212" i="4"/>
  <c r="V212" i="4" s="1"/>
  <c r="H41" i="18" s="1"/>
  <c r="W41" i="18" s="1"/>
  <c r="Q244" i="4"/>
  <c r="V244" i="4" s="1"/>
  <c r="B48" i="19" s="1"/>
  <c r="Q231" i="4"/>
  <c r="V231" i="4" s="1"/>
  <c r="B35" i="19" s="1"/>
  <c r="Q308" i="4"/>
  <c r="V308" i="4" s="1"/>
  <c r="H37" i="19" s="1"/>
  <c r="Q335" i="4"/>
  <c r="V335" i="4" s="1"/>
  <c r="J39" i="19" s="1"/>
  <c r="Q136" i="4"/>
  <c r="V136" i="4" s="1"/>
  <c r="D40" i="18" s="1"/>
  <c r="S40" i="18" s="1"/>
  <c r="Q286" i="4"/>
  <c r="V286" i="4" s="1"/>
  <c r="F40" i="19" s="1"/>
  <c r="Q232" i="4"/>
  <c r="V232" i="4" s="1"/>
  <c r="B36" i="19" s="1"/>
  <c r="Q105" i="4"/>
  <c r="V105" i="4" s="1"/>
  <c r="D35" i="11" s="1"/>
  <c r="U35" i="11" s="1"/>
  <c r="Q140" i="4"/>
  <c r="V140" i="4" s="1"/>
  <c r="D44" i="18" s="1"/>
  <c r="S44" i="18" s="1"/>
  <c r="Q135" i="4"/>
  <c r="V135" i="4" s="1"/>
  <c r="D39" i="18" s="1"/>
  <c r="S39" i="18" s="1"/>
  <c r="Q314" i="4"/>
  <c r="V314" i="4" s="1"/>
  <c r="H43" i="19" s="1"/>
  <c r="Q307" i="4"/>
  <c r="V307" i="4" s="1"/>
  <c r="H36" i="19" s="1"/>
  <c r="Q222" i="4"/>
  <c r="V222" i="4" s="1"/>
  <c r="H51" i="18" s="1"/>
  <c r="W51" i="18" s="1"/>
  <c r="Q303" i="4"/>
  <c r="V303" i="4" s="1"/>
  <c r="H32" i="19" s="1"/>
  <c r="Q229" i="4"/>
  <c r="V229" i="4" s="1"/>
  <c r="B33" i="19" s="1"/>
  <c r="Q356" i="4"/>
  <c r="V356" i="4" s="1"/>
  <c r="L35" i="19" s="1"/>
  <c r="Q138" i="4"/>
  <c r="V138" i="4" s="1"/>
  <c r="D42" i="18" s="1"/>
  <c r="S42" i="18" s="1"/>
  <c r="Q139" i="4"/>
  <c r="V139" i="4" s="1"/>
  <c r="D43" i="18" s="1"/>
  <c r="S43" i="18" s="1"/>
  <c r="Q191" i="4"/>
  <c r="V191" i="4" s="1"/>
  <c r="F45" i="18" s="1"/>
  <c r="U45" i="18" s="1"/>
  <c r="P164" i="2"/>
  <c r="P110" i="2"/>
  <c r="P322" i="2"/>
  <c r="M322" i="2"/>
  <c r="N322" i="2" s="1"/>
  <c r="P36" i="2"/>
  <c r="N37" i="20" s="1"/>
  <c r="M36" i="2"/>
  <c r="N36" i="2" s="1"/>
  <c r="P12" i="2"/>
  <c r="M12" i="2"/>
  <c r="N12" i="2" s="1"/>
  <c r="P27" i="2"/>
  <c r="N28" i="20" s="1"/>
  <c r="M27" i="2"/>
  <c r="N27" i="2" s="1"/>
  <c r="P63" i="2"/>
  <c r="P103" i="2"/>
  <c r="P134" i="2"/>
  <c r="P210" i="2"/>
  <c r="O211" i="6" s="1"/>
  <c r="P262" i="2"/>
  <c r="P313" i="2"/>
  <c r="P135" i="2"/>
  <c r="P211" i="2"/>
  <c r="P263" i="2"/>
  <c r="P84" i="2"/>
  <c r="P172" i="2"/>
  <c r="M172" i="2"/>
  <c r="N172" i="2" s="1"/>
  <c r="P228" i="2"/>
  <c r="P279" i="2"/>
  <c r="P355" i="2"/>
  <c r="P364" i="2"/>
  <c r="P97" i="2"/>
  <c r="M97" i="2"/>
  <c r="N97" i="2" s="1"/>
  <c r="P70" i="2"/>
  <c r="M70" i="2"/>
  <c r="N70" i="2" s="1"/>
  <c r="P328" i="2"/>
  <c r="P167" i="2"/>
  <c r="M167" i="2"/>
  <c r="N167" i="2" s="1"/>
  <c r="P81" i="2"/>
  <c r="P303" i="2"/>
  <c r="P141" i="2"/>
  <c r="M141" i="2"/>
  <c r="N141" i="2" s="1"/>
  <c r="P241" i="2"/>
  <c r="M241" i="2"/>
  <c r="N241" i="2" s="1"/>
  <c r="P19" i="2"/>
  <c r="M19" i="2"/>
  <c r="N19" i="2" s="1"/>
  <c r="P78" i="2"/>
  <c r="N77" i="20" s="1"/>
  <c r="P168" i="2"/>
  <c r="M168" i="2"/>
  <c r="N168" i="2" s="1"/>
  <c r="P283" i="2"/>
  <c r="P153" i="2"/>
  <c r="P147" i="2"/>
  <c r="M147" i="2"/>
  <c r="N147" i="2" s="1"/>
  <c r="P129" i="2"/>
  <c r="P316" i="2"/>
  <c r="M316" i="2"/>
  <c r="N316" i="2" s="1"/>
  <c r="P52" i="2"/>
  <c r="N52" i="20" s="1"/>
  <c r="P96" i="2"/>
  <c r="M96" i="2"/>
  <c r="N96" i="2" s="1"/>
  <c r="P69" i="2"/>
  <c r="M69" i="2"/>
  <c r="N69" i="2" s="1"/>
  <c r="P339" i="2"/>
  <c r="P207" i="2"/>
  <c r="P65" i="2"/>
  <c r="M65" i="2"/>
  <c r="N65" i="2" s="1"/>
  <c r="P309" i="2"/>
  <c r="P137" i="2"/>
  <c r="P122" i="2"/>
  <c r="M122" i="2"/>
  <c r="N122" i="2" s="1"/>
  <c r="P362" i="2"/>
  <c r="P206" i="2"/>
  <c r="P258" i="2"/>
  <c r="P305" i="2"/>
  <c r="P115" i="2"/>
  <c r="M115" i="2"/>
  <c r="N115" i="2" s="1"/>
  <c r="P145" i="2"/>
  <c r="M145" i="2"/>
  <c r="N145" i="2" s="1"/>
  <c r="P109" i="2"/>
  <c r="P281" i="2"/>
  <c r="P297" i="2"/>
  <c r="M297" i="2"/>
  <c r="N297" i="2" s="1"/>
  <c r="P142" i="2"/>
  <c r="M142" i="2"/>
  <c r="N142" i="2" s="1"/>
  <c r="P143" i="2"/>
  <c r="M143" i="2"/>
  <c r="N143" i="2" s="1"/>
  <c r="P271" i="2"/>
  <c r="M271" i="2"/>
  <c r="N271" i="2" s="1"/>
  <c r="P184" i="2"/>
  <c r="P236" i="2"/>
  <c r="P87" i="2"/>
  <c r="P239" i="2"/>
  <c r="P161" i="2"/>
  <c r="P34" i="2"/>
  <c r="N35" i="20" s="1"/>
  <c r="M34" i="2"/>
  <c r="N34" i="2" s="1"/>
  <c r="P253" i="2"/>
  <c r="P221" i="2"/>
  <c r="M221" i="2"/>
  <c r="N221" i="2" s="1"/>
  <c r="P46" i="2"/>
  <c r="N47" i="20" s="1"/>
  <c r="N46" i="2"/>
  <c r="P290" i="2"/>
  <c r="M290" i="2"/>
  <c r="N290" i="2" s="1"/>
  <c r="P205" i="2"/>
  <c r="P179" i="2"/>
  <c r="P336" i="2"/>
  <c r="P17" i="2"/>
  <c r="M17" i="2"/>
  <c r="N17" i="2" s="1"/>
  <c r="P152" i="2"/>
  <c r="P133" i="2"/>
  <c r="P338" i="2"/>
  <c r="P237" i="2"/>
  <c r="P157" i="2"/>
  <c r="P286" i="2"/>
  <c r="P302" i="2"/>
  <c r="P238" i="2"/>
  <c r="P357" i="2"/>
  <c r="P130" i="2"/>
  <c r="P247" i="2"/>
  <c r="M247" i="2"/>
  <c r="N247" i="2" s="1"/>
  <c r="P106" i="2"/>
  <c r="P102" i="2"/>
  <c r="P230" i="2"/>
  <c r="P56" i="2"/>
  <c r="N56" i="20" s="1"/>
  <c r="P37" i="2"/>
  <c r="N38" i="20" s="1"/>
  <c r="M37" i="2"/>
  <c r="N37" i="2" s="1"/>
  <c r="P218" i="2"/>
  <c r="M218" i="2"/>
  <c r="N218" i="2" s="1"/>
  <c r="P270" i="2"/>
  <c r="M270" i="2"/>
  <c r="N270" i="2" s="1"/>
  <c r="P321" i="2"/>
  <c r="M321" i="2"/>
  <c r="N321" i="2" s="1"/>
  <c r="P219" i="2"/>
  <c r="M219" i="2"/>
  <c r="N219" i="2" s="1"/>
  <c r="P104" i="2"/>
  <c r="P287" i="2"/>
  <c r="P363" i="2"/>
  <c r="P47" i="2"/>
  <c r="N48" i="20" s="1"/>
  <c r="M47" i="2"/>
  <c r="N47" i="2" s="1"/>
  <c r="P3" i="2"/>
  <c r="M3" i="2"/>
  <c r="N3" i="2" s="1"/>
  <c r="P62" i="2"/>
  <c r="P233" i="2"/>
  <c r="P72" i="2"/>
  <c r="M72" i="2"/>
  <c r="N72" i="2" s="1"/>
  <c r="P20" i="2"/>
  <c r="M20" i="2"/>
  <c r="N20" i="2" s="1"/>
  <c r="P35" i="2"/>
  <c r="N36" i="20" s="1"/>
  <c r="M35" i="2"/>
  <c r="N35" i="2" s="1"/>
  <c r="P71" i="2"/>
  <c r="M71" i="2"/>
  <c r="N71" i="2" s="1"/>
  <c r="P111" i="2"/>
  <c r="P57" i="2"/>
  <c r="N57" i="20" s="1"/>
  <c r="P154" i="2"/>
  <c r="P333" i="2"/>
  <c r="P155" i="2"/>
  <c r="P120" i="2"/>
  <c r="M120" i="2"/>
  <c r="N120" i="2" s="1"/>
  <c r="P192" i="2"/>
  <c r="M192" i="2"/>
  <c r="N192" i="2" s="1"/>
  <c r="P244" i="2"/>
  <c r="M244" i="2"/>
  <c r="N244" i="2" s="1"/>
  <c r="P295" i="2"/>
  <c r="M295" i="2"/>
  <c r="N295" i="2" s="1"/>
  <c r="P371" i="2"/>
  <c r="M371" i="2"/>
  <c r="N371" i="2" s="1"/>
  <c r="P30" i="2"/>
  <c r="N31" i="20" s="1"/>
  <c r="M30" i="2"/>
  <c r="N30" i="2" s="1"/>
  <c r="P10" i="2"/>
  <c r="M10" i="2"/>
  <c r="N10" i="2" s="1"/>
  <c r="P86" i="2"/>
  <c r="P117" i="2"/>
  <c r="M117" i="2"/>
  <c r="N117" i="2" s="1"/>
  <c r="P347" i="2"/>
  <c r="M347" i="2"/>
  <c r="N347" i="2" s="1"/>
  <c r="P189" i="2"/>
  <c r="P261" i="2"/>
  <c r="P177" i="2"/>
  <c r="P310" i="2"/>
  <c r="P114" i="2"/>
  <c r="P331" i="2"/>
  <c r="P197" i="2"/>
  <c r="M197" i="2"/>
  <c r="N197" i="2" s="1"/>
  <c r="P312" i="2"/>
  <c r="P356" i="2"/>
  <c r="P60" i="2"/>
  <c r="P116" i="2"/>
  <c r="M116" i="2"/>
  <c r="N116" i="2" s="1"/>
  <c r="P232" i="2"/>
  <c r="O233" i="6" s="1"/>
  <c r="P169" i="2"/>
  <c r="M169" i="2"/>
  <c r="N169" i="2" s="1"/>
  <c r="P159" i="2"/>
  <c r="P370" i="2"/>
  <c r="M370" i="2"/>
  <c r="N370" i="2" s="1"/>
  <c r="P266" i="2"/>
  <c r="M266" i="2"/>
  <c r="N266" i="2" s="1"/>
  <c r="P289" i="2"/>
  <c r="P85" i="2"/>
  <c r="P317" i="2"/>
  <c r="M317" i="2"/>
  <c r="N317" i="2" s="1"/>
  <c r="P146" i="2"/>
  <c r="M146" i="2"/>
  <c r="N146" i="2" s="1"/>
  <c r="P329" i="2"/>
  <c r="P194" i="2"/>
  <c r="M194" i="2"/>
  <c r="N194" i="2" s="1"/>
  <c r="P214" i="2"/>
  <c r="P307" i="2"/>
  <c r="P139" i="2"/>
  <c r="P330" i="2"/>
  <c r="P319" i="2"/>
  <c r="M319" i="2"/>
  <c r="N319" i="2" s="1"/>
  <c r="P259" i="2"/>
  <c r="P354" i="2"/>
  <c r="P131" i="2"/>
  <c r="P345" i="2"/>
  <c r="M345" i="2"/>
  <c r="N345" i="2" s="1"/>
  <c r="P22" i="2"/>
  <c r="M22" i="2"/>
  <c r="N22" i="2" s="1"/>
  <c r="P203" i="2"/>
  <c r="P79" i="2"/>
  <c r="P360" i="2"/>
  <c r="P296" i="2"/>
  <c r="M296" i="2"/>
  <c r="N296" i="2" s="1"/>
  <c r="P158" i="2"/>
  <c r="P318" i="2"/>
  <c r="M318" i="2"/>
  <c r="N318" i="2" s="1"/>
  <c r="P162" i="2"/>
  <c r="P341" i="2"/>
  <c r="M341" i="2"/>
  <c r="N341" i="2" s="1"/>
  <c r="P13" i="2"/>
  <c r="Q13" i="2" s="1"/>
  <c r="M13" i="2"/>
  <c r="N13" i="2" s="1"/>
  <c r="P256" i="2"/>
  <c r="P59" i="2"/>
  <c r="P269" i="2"/>
  <c r="M269" i="2"/>
  <c r="N269" i="2" s="1"/>
  <c r="P320" i="2"/>
  <c r="M320" i="2"/>
  <c r="N320" i="2" s="1"/>
  <c r="P80" i="2"/>
  <c r="P18" i="2"/>
  <c r="M18" i="2"/>
  <c r="N18" i="2" s="1"/>
  <c r="P208" i="2"/>
  <c r="P181" i="2"/>
  <c r="P332" i="2"/>
  <c r="P213" i="2"/>
  <c r="P282" i="2"/>
  <c r="P112" i="2"/>
  <c r="P43" i="2"/>
  <c r="N44" i="20" s="1"/>
  <c r="N43" i="2"/>
  <c r="P83" i="2"/>
  <c r="P119" i="2"/>
  <c r="M119" i="2"/>
  <c r="N119" i="2" s="1"/>
  <c r="P93" i="2"/>
  <c r="M93" i="2"/>
  <c r="N93" i="2" s="1"/>
  <c r="P170" i="2"/>
  <c r="M170" i="2"/>
  <c r="N170" i="2" s="1"/>
  <c r="P277" i="2"/>
  <c r="P353" i="2"/>
  <c r="P171" i="2"/>
  <c r="M171" i="2"/>
  <c r="N171" i="2" s="1"/>
  <c r="P227" i="2"/>
  <c r="P136" i="2"/>
  <c r="P212" i="2"/>
  <c r="P264" i="2"/>
  <c r="P315" i="2"/>
  <c r="M315" i="2"/>
  <c r="N315" i="2" s="1"/>
  <c r="P165" i="2"/>
  <c r="M165" i="2"/>
  <c r="N165" i="2" s="1"/>
  <c r="P33" i="2"/>
  <c r="N34" i="20" s="1"/>
  <c r="M33" i="2"/>
  <c r="N33" i="2" s="1"/>
  <c r="P180" i="2"/>
  <c r="P268" i="2"/>
  <c r="M268" i="2"/>
  <c r="N268" i="2" s="1"/>
  <c r="P193" i="2"/>
  <c r="M193" i="2"/>
  <c r="N193" i="2" s="1"/>
  <c r="P140" i="2"/>
  <c r="M140" i="2"/>
  <c r="N140" i="2" s="1"/>
  <c r="P11" i="2"/>
  <c r="M11" i="2"/>
  <c r="N11" i="2" s="1"/>
  <c r="P284" i="2"/>
  <c r="P346" i="2"/>
  <c r="M346" i="2"/>
  <c r="N346" i="2" s="1"/>
  <c r="P38" i="2"/>
  <c r="N39" i="20" s="1"/>
  <c r="M38" i="2"/>
  <c r="N38" i="2" s="1"/>
  <c r="P53" i="2"/>
  <c r="N53" i="20" s="1"/>
  <c r="P42" i="2"/>
  <c r="N43" i="20" s="1"/>
  <c r="N42" i="2"/>
  <c r="P368" i="2"/>
  <c r="M368" i="2"/>
  <c r="N368" i="2" s="1"/>
  <c r="P231" i="2"/>
  <c r="P9" i="2"/>
  <c r="M9" i="2"/>
  <c r="N9" i="2" s="1"/>
  <c r="P32" i="2"/>
  <c r="N33" i="20" s="1"/>
  <c r="M32" i="2"/>
  <c r="N32" i="2" s="1"/>
  <c r="P68" i="2"/>
  <c r="M68" i="2"/>
  <c r="N68" i="2" s="1"/>
  <c r="P160" i="2"/>
  <c r="P209" i="2"/>
  <c r="P304" i="2"/>
  <c r="P278" i="2"/>
  <c r="P66" i="2"/>
  <c r="M66" i="2"/>
  <c r="N66" i="2" s="1"/>
  <c r="P314" i="2"/>
  <c r="P121" i="2"/>
  <c r="M121" i="2"/>
  <c r="N121" i="2" s="1"/>
  <c r="P178" i="2"/>
  <c r="P14" i="2"/>
  <c r="M14" i="2"/>
  <c r="N14" i="2" s="1"/>
  <c r="P358" i="2"/>
  <c r="P246" i="2"/>
  <c r="M246" i="2"/>
  <c r="N246" i="2" s="1"/>
  <c r="P254" i="2"/>
  <c r="P64" i="2"/>
  <c r="P39" i="2"/>
  <c r="N40" i="20" s="1"/>
  <c r="M39" i="2"/>
  <c r="N39" i="2" s="1"/>
  <c r="P365" i="2"/>
  <c r="M365" i="2"/>
  <c r="N365" i="2" s="1"/>
  <c r="P92" i="2"/>
  <c r="M92" i="2"/>
  <c r="N92" i="2" s="1"/>
  <c r="P77" i="2"/>
  <c r="N76" i="20" s="1"/>
  <c r="P127" i="2"/>
  <c r="P267" i="2"/>
  <c r="M267" i="2"/>
  <c r="N267" i="2" s="1"/>
  <c r="P217" i="2"/>
  <c r="M217" i="2"/>
  <c r="N217" i="2" s="1"/>
  <c r="P359" i="2"/>
  <c r="P195" i="2"/>
  <c r="M195" i="2"/>
  <c r="N195" i="2" s="1"/>
  <c r="P113" i="2"/>
  <c r="P285" i="2"/>
  <c r="P28" i="2"/>
  <c r="N29" i="20" s="1"/>
  <c r="M28" i="2"/>
  <c r="N28" i="2" s="1"/>
  <c r="P220" i="2"/>
  <c r="M220" i="2"/>
  <c r="N220" i="2" s="1"/>
  <c r="P272" i="2"/>
  <c r="M272" i="2"/>
  <c r="N272" i="2" s="1"/>
  <c r="P16" i="2"/>
  <c r="M16" i="2"/>
  <c r="N16" i="2" s="1"/>
  <c r="P67" i="2"/>
  <c r="M67" i="2"/>
  <c r="N67" i="2" s="1"/>
  <c r="P187" i="2"/>
  <c r="P215" i="2"/>
  <c r="M215" i="2"/>
  <c r="N215" i="2" s="1"/>
  <c r="P366" i="2"/>
  <c r="M366" i="2"/>
  <c r="N366" i="2" s="1"/>
  <c r="P257" i="2"/>
  <c r="P108" i="2"/>
  <c r="P61" i="2"/>
  <c r="P367" i="2"/>
  <c r="M367" i="2"/>
  <c r="N367" i="2" s="1"/>
  <c r="P45" i="2"/>
  <c r="N46" i="20" s="1"/>
  <c r="N45" i="2"/>
  <c r="P306" i="2"/>
  <c r="P128" i="2"/>
  <c r="P342" i="2"/>
  <c r="M342" i="2"/>
  <c r="N342" i="2" s="1"/>
  <c r="P222" i="2"/>
  <c r="M222" i="2"/>
  <c r="N222" i="2" s="1"/>
  <c r="P185" i="2"/>
  <c r="P138" i="2"/>
  <c r="P186" i="2"/>
  <c r="P334" i="2"/>
  <c r="P202" i="2"/>
  <c r="P255" i="2"/>
  <c r="P343" i="2"/>
  <c r="M343" i="2"/>
  <c r="N343" i="2" s="1"/>
  <c r="P344" i="2"/>
  <c r="M344" i="2"/>
  <c r="N344" i="2" s="1"/>
  <c r="P245" i="2"/>
  <c r="M245" i="2"/>
  <c r="N245" i="2" s="1"/>
  <c r="P240" i="2"/>
  <c r="M240" i="2"/>
  <c r="N240" i="2" s="1"/>
  <c r="P105" i="2"/>
  <c r="P163" i="2"/>
  <c r="P204" i="2"/>
  <c r="P8" i="2"/>
  <c r="M8" i="2"/>
  <c r="N8" i="2" s="1"/>
  <c r="P95" i="2"/>
  <c r="M95" i="2"/>
  <c r="N95" i="2" s="1"/>
  <c r="P82" i="2"/>
  <c r="P132" i="2"/>
  <c r="P372" i="2"/>
  <c r="M372" i="2"/>
  <c r="N372" i="2" s="1"/>
  <c r="P5" i="2"/>
  <c r="M5" i="2"/>
  <c r="N5" i="2" s="1"/>
  <c r="P182" i="2"/>
  <c r="P234" i="2"/>
  <c r="P361" i="2"/>
  <c r="P183" i="2"/>
  <c r="P235" i="2"/>
  <c r="P144" i="2"/>
  <c r="M144" i="2"/>
  <c r="N144" i="2" s="1"/>
  <c r="P327" i="2"/>
  <c r="P31" i="2"/>
  <c r="N32" i="20" s="1"/>
  <c r="M31" i="2"/>
  <c r="N31" i="2" s="1"/>
  <c r="P107" i="2"/>
  <c r="P288" i="2"/>
  <c r="P118" i="2"/>
  <c r="M118" i="2"/>
  <c r="N118" i="2" s="1"/>
  <c r="P292" i="2"/>
  <c r="M292" i="2"/>
  <c r="N292" i="2" s="1"/>
  <c r="P21" i="2"/>
  <c r="M21" i="2"/>
  <c r="N21" i="2" s="1"/>
  <c r="P4" i="2"/>
  <c r="M4" i="2"/>
  <c r="N4" i="2" s="1"/>
  <c r="P55" i="2"/>
  <c r="N55" i="20" s="1"/>
  <c r="P91" i="2"/>
  <c r="M91" i="2"/>
  <c r="N91" i="2" s="1"/>
  <c r="P6" i="2"/>
  <c r="M6" i="2"/>
  <c r="N6" i="2" s="1"/>
  <c r="P190" i="2"/>
  <c r="M190" i="2"/>
  <c r="N190" i="2" s="1"/>
  <c r="P242" i="2"/>
  <c r="M242" i="2"/>
  <c r="N242" i="2" s="1"/>
  <c r="P293" i="2"/>
  <c r="M293" i="2"/>
  <c r="N293" i="2" s="1"/>
  <c r="P369" i="2"/>
  <c r="M369" i="2"/>
  <c r="N369" i="2" s="1"/>
  <c r="P191" i="2"/>
  <c r="M191" i="2"/>
  <c r="N191" i="2" s="1"/>
  <c r="P243" i="2"/>
  <c r="M243" i="2"/>
  <c r="N243" i="2" s="1"/>
  <c r="P44" i="2"/>
  <c r="N45" i="20" s="1"/>
  <c r="N44" i="2"/>
  <c r="P156" i="2"/>
  <c r="P335" i="2"/>
  <c r="P308" i="2"/>
  <c r="P89" i="2"/>
  <c r="P216" i="2"/>
  <c r="M216" i="2"/>
  <c r="N216" i="2" s="1"/>
  <c r="P311" i="2"/>
  <c r="P90" i="2"/>
  <c r="M90" i="2"/>
  <c r="N90" i="2" s="1"/>
  <c r="P94" i="2"/>
  <c r="M94" i="2"/>
  <c r="N94" i="2" s="1"/>
  <c r="P41" i="2"/>
  <c r="N42" i="20" s="1"/>
  <c r="N41" i="2"/>
  <c r="P196" i="2"/>
  <c r="M196" i="2"/>
  <c r="N196" i="2" s="1"/>
  <c r="P260" i="2"/>
  <c r="P352" i="2"/>
  <c r="P229" i="2"/>
  <c r="P7" i="2"/>
  <c r="M7" i="2"/>
  <c r="N7" i="2" s="1"/>
  <c r="P58" i="2"/>
  <c r="P252" i="2"/>
  <c r="P54" i="2"/>
  <c r="N54" i="20" s="1"/>
  <c r="P280" i="2"/>
  <c r="P40" i="2"/>
  <c r="N41" i="20" s="1"/>
  <c r="N40" i="2"/>
  <c r="P88" i="2"/>
  <c r="P188" i="2"/>
  <c r="P291" i="2"/>
  <c r="M291" i="2"/>
  <c r="N291" i="2" s="1"/>
  <c r="P340" i="2"/>
  <c r="M340" i="2"/>
  <c r="N340" i="2" s="1"/>
  <c r="P337" i="2"/>
  <c r="P265" i="2"/>
  <c r="M265" i="2"/>
  <c r="N265" i="2" s="1"/>
  <c r="P166" i="2"/>
  <c r="M166" i="2"/>
  <c r="N166" i="2" s="1"/>
  <c r="P294" i="2"/>
  <c r="M294" i="2"/>
  <c r="N294" i="2" s="1"/>
  <c r="P29" i="2"/>
  <c r="N30" i="20" s="1"/>
  <c r="M29" i="2"/>
  <c r="N29" i="2" s="1"/>
  <c r="T46" i="6"/>
  <c r="T57" i="6"/>
  <c r="T223" i="6"/>
  <c r="Y223" i="6" s="1"/>
  <c r="H81" i="18" s="1"/>
  <c r="W81" i="18" s="1"/>
  <c r="T192" i="6"/>
  <c r="Y192" i="6" s="1"/>
  <c r="F75" i="18" s="1"/>
  <c r="U75" i="18" s="1"/>
  <c r="N16" i="4"/>
  <c r="O16" i="6"/>
  <c r="M54" i="4"/>
  <c r="N54" i="6"/>
  <c r="T238" i="6"/>
  <c r="Y238" i="6" s="1"/>
  <c r="B70" i="19" s="1"/>
  <c r="T282" i="6"/>
  <c r="Y282" i="6" s="1"/>
  <c r="F64" i="19" s="1"/>
  <c r="T334" i="6"/>
  <c r="Y334" i="6" s="1"/>
  <c r="J66" i="19" s="1"/>
  <c r="N3" i="4"/>
  <c r="O3" i="6"/>
  <c r="T259" i="6"/>
  <c r="Y259" i="6" s="1"/>
  <c r="D66" i="19" s="1"/>
  <c r="T331" i="6"/>
  <c r="Y331" i="6" s="1"/>
  <c r="J63" i="19" s="1"/>
  <c r="T211" i="6"/>
  <c r="Y211" i="6" s="1"/>
  <c r="H69" i="18" s="1"/>
  <c r="W69" i="18" s="1"/>
  <c r="T146" i="6"/>
  <c r="Y146" i="6" s="1"/>
  <c r="D79" i="18" s="1"/>
  <c r="S79" i="18" s="1"/>
  <c r="T196" i="6"/>
  <c r="Y196" i="6" s="1"/>
  <c r="F79" i="18" s="1"/>
  <c r="U79" i="18" s="1"/>
  <c r="T329" i="6"/>
  <c r="Y329" i="6" s="1"/>
  <c r="J61" i="19" s="1"/>
  <c r="T147" i="6"/>
  <c r="Y147" i="6" s="1"/>
  <c r="D80" i="18" s="1"/>
  <c r="S80" i="18" s="1"/>
  <c r="T255" i="6"/>
  <c r="Y255" i="6" s="1"/>
  <c r="D62" i="19" s="1"/>
  <c r="T306" i="6"/>
  <c r="Y306" i="6" s="1"/>
  <c r="H63" i="19" s="1"/>
  <c r="T286" i="6"/>
  <c r="Y286" i="6" s="1"/>
  <c r="F68" i="19" s="1"/>
  <c r="T337" i="6"/>
  <c r="Y337" i="6" s="1"/>
  <c r="J69" i="19" s="1"/>
  <c r="T309" i="6"/>
  <c r="Y309" i="6" s="1"/>
  <c r="H66" i="19" s="1"/>
  <c r="T355" i="6"/>
  <c r="Y355" i="6" s="1"/>
  <c r="L62" i="19" s="1"/>
  <c r="M53" i="4"/>
  <c r="N53" i="6"/>
  <c r="T298" i="6"/>
  <c r="Y298" i="6" s="1"/>
  <c r="F80" i="19" s="1"/>
  <c r="T212" i="6"/>
  <c r="Y212" i="6" s="1"/>
  <c r="H70" i="18" s="1"/>
  <c r="W70" i="18" s="1"/>
  <c r="T158" i="6"/>
  <c r="Y158" i="6" s="1"/>
  <c r="F67" i="11" s="1"/>
  <c r="W67" i="11" s="1"/>
  <c r="T338" i="6"/>
  <c r="Y338" i="6" s="1"/>
  <c r="J70" i="19" s="1"/>
  <c r="T307" i="6"/>
  <c r="Y307" i="6" s="1"/>
  <c r="H64" i="19" s="1"/>
  <c r="T191" i="6"/>
  <c r="Y191" i="6" s="1"/>
  <c r="F74" i="18" s="1"/>
  <c r="U74" i="18" s="1"/>
  <c r="Y69" i="18" l="1"/>
  <c r="Y32" i="18"/>
  <c r="Y40" i="18"/>
  <c r="Y77" i="18"/>
  <c r="N13" i="19"/>
  <c r="Q13" i="19" s="1"/>
  <c r="N5" i="19"/>
  <c r="Q5" i="19" s="1"/>
  <c r="F2" i="12"/>
  <c r="F35" i="12"/>
  <c r="N10" i="19"/>
  <c r="Q10" i="19" s="1"/>
  <c r="F57" i="12"/>
  <c r="F24" i="12"/>
  <c r="F13" i="12"/>
  <c r="M360" i="4"/>
  <c r="Q360" i="4" s="1"/>
  <c r="V360" i="4" s="1"/>
  <c r="L39" i="19" s="1"/>
  <c r="N42" i="6"/>
  <c r="T42" i="6" s="1"/>
  <c r="N11" i="19"/>
  <c r="Q11" i="19" s="1"/>
  <c r="N9" i="19"/>
  <c r="Q9" i="19" s="1"/>
  <c r="F46" i="12"/>
  <c r="N12" i="19"/>
  <c r="Q12" i="19" s="1"/>
  <c r="N4" i="19"/>
  <c r="Q4" i="19" s="1"/>
  <c r="M131" i="4"/>
  <c r="Q131" i="4" s="1"/>
  <c r="V131" i="4" s="1"/>
  <c r="D35" i="18" s="1"/>
  <c r="S35" i="18" s="1"/>
  <c r="N9" i="6"/>
  <c r="T9" i="6" s="1"/>
  <c r="Y9" i="6" s="1"/>
  <c r="B68" i="11" s="1"/>
  <c r="S68" i="11" s="1"/>
  <c r="N110" i="6"/>
  <c r="T110" i="6" s="1"/>
  <c r="Y110" i="6" s="1"/>
  <c r="D69" i="11" s="1"/>
  <c r="U69" i="11" s="1"/>
  <c r="M13" i="4"/>
  <c r="Q13" i="4" s="1"/>
  <c r="V13" i="4" s="1"/>
  <c r="B43" i="11" s="1"/>
  <c r="S43" i="11" s="1"/>
  <c r="N305" i="6"/>
  <c r="T305" i="6" s="1"/>
  <c r="Y305" i="6" s="1"/>
  <c r="H62" i="19" s="1"/>
  <c r="N35" i="19"/>
  <c r="N43" i="19"/>
  <c r="N79" i="19"/>
  <c r="J77" i="18"/>
  <c r="J69" i="18"/>
  <c r="N234" i="6"/>
  <c r="T234" i="6" s="1"/>
  <c r="Y234" i="6" s="1"/>
  <c r="B66" i="19" s="1"/>
  <c r="Q23" i="4"/>
  <c r="V23" i="4" s="1"/>
  <c r="B53" i="11" s="1"/>
  <c r="S53" i="11" s="1"/>
  <c r="N61" i="6"/>
  <c r="T61" i="6" s="1"/>
  <c r="N292" i="6"/>
  <c r="T292" i="6" s="1"/>
  <c r="Y292" i="6" s="1"/>
  <c r="F74" i="19" s="1"/>
  <c r="M242" i="4"/>
  <c r="Q242" i="4" s="1"/>
  <c r="V242" i="4" s="1"/>
  <c r="B46" i="19" s="1"/>
  <c r="N181" i="6"/>
  <c r="T181" i="6" s="1"/>
  <c r="Y181" i="6" s="1"/>
  <c r="F64" i="18" s="1"/>
  <c r="U64" i="18" s="1"/>
  <c r="N82" i="6"/>
  <c r="T82" i="6" s="1"/>
  <c r="Y82" i="6" s="1"/>
  <c r="B65" i="18" s="1"/>
  <c r="Q65" i="18" s="1"/>
  <c r="W3" i="20"/>
  <c r="X3" i="20" s="1"/>
  <c r="Y3" i="20" s="1"/>
  <c r="S3" i="20"/>
  <c r="T3" i="20" s="1"/>
  <c r="Q29" i="2"/>
  <c r="R29" i="2" s="1"/>
  <c r="N29" i="22"/>
  <c r="R29" i="22" s="1"/>
  <c r="R30" i="20"/>
  <c r="Q280" i="2"/>
  <c r="R280" i="2" s="1"/>
  <c r="N272" i="22"/>
  <c r="N273" i="20"/>
  <c r="Q260" i="2"/>
  <c r="R260" i="2" s="1"/>
  <c r="N252" i="22"/>
  <c r="N253" i="20"/>
  <c r="Q90" i="2"/>
  <c r="R90" i="2" s="1"/>
  <c r="N88" i="22"/>
  <c r="R88" i="22" s="1"/>
  <c r="N89" i="20"/>
  <c r="R89" i="20" s="1"/>
  <c r="Q292" i="2"/>
  <c r="R292" i="2" s="1"/>
  <c r="N284" i="22"/>
  <c r="N285" i="20"/>
  <c r="Q5" i="2"/>
  <c r="R5" i="2" s="1"/>
  <c r="N6" i="22"/>
  <c r="R6" i="22" s="1"/>
  <c r="N6" i="20"/>
  <c r="R6" i="20" s="1"/>
  <c r="Q8" i="2"/>
  <c r="R8" i="2" s="1"/>
  <c r="N9" i="22"/>
  <c r="N9" i="20"/>
  <c r="Q138" i="2"/>
  <c r="R138" i="2" s="1"/>
  <c r="N134" i="22"/>
  <c r="R134" i="22" s="1"/>
  <c r="N135" i="20"/>
  <c r="R135" i="20" s="1"/>
  <c r="Q366" i="2"/>
  <c r="R366" i="2" s="1"/>
  <c r="N358" i="22"/>
  <c r="N359" i="20"/>
  <c r="Q77" i="2"/>
  <c r="R77" i="2" s="1"/>
  <c r="N75" i="22"/>
  <c r="R75" i="22" s="1"/>
  <c r="Q254" i="2"/>
  <c r="R254" i="2" s="1"/>
  <c r="N246" i="22"/>
  <c r="N247" i="20"/>
  <c r="Q121" i="2"/>
  <c r="R121" i="2" s="1"/>
  <c r="N118" i="22"/>
  <c r="R118" i="22" s="1"/>
  <c r="N119" i="20"/>
  <c r="R119" i="20" s="1"/>
  <c r="Q368" i="2"/>
  <c r="R368" i="2" s="1"/>
  <c r="N360" i="22"/>
  <c r="N361" i="20"/>
  <c r="Q284" i="2"/>
  <c r="R284" i="2" s="1"/>
  <c r="N276" i="22"/>
  <c r="N277" i="20"/>
  <c r="Q268" i="2"/>
  <c r="R268" i="2" s="1"/>
  <c r="N260" i="22"/>
  <c r="N261" i="20"/>
  <c r="Q264" i="2"/>
  <c r="R264" i="2" s="1"/>
  <c r="N256" i="22"/>
  <c r="N257" i="20"/>
  <c r="Q43" i="2"/>
  <c r="R43" i="2" s="1"/>
  <c r="N43" i="22"/>
  <c r="Q18" i="2"/>
  <c r="R18" i="2" s="1"/>
  <c r="N19" i="22"/>
  <c r="N19" i="20"/>
  <c r="Q345" i="2"/>
  <c r="R345" i="2" s="1"/>
  <c r="N337" i="22"/>
  <c r="N338" i="20"/>
  <c r="Q307" i="2"/>
  <c r="R307" i="2" s="1"/>
  <c r="N299" i="22"/>
  <c r="N300" i="20"/>
  <c r="Q317" i="2"/>
  <c r="R317" i="2" s="1"/>
  <c r="N309" i="22"/>
  <c r="N310" i="20"/>
  <c r="Q30" i="2"/>
  <c r="R30" i="2" s="1"/>
  <c r="N30" i="22"/>
  <c r="R30" i="22" s="1"/>
  <c r="R31" i="20"/>
  <c r="Q192" i="2"/>
  <c r="R192" i="2" s="1"/>
  <c r="N186" i="22"/>
  <c r="R186" i="22" s="1"/>
  <c r="N187" i="20"/>
  <c r="R187" i="20" s="1"/>
  <c r="Q233" i="2"/>
  <c r="R233" i="2" s="1"/>
  <c r="N225" i="22"/>
  <c r="N226" i="20"/>
  <c r="Q104" i="2"/>
  <c r="R104" i="2" s="1"/>
  <c r="N101" i="22"/>
  <c r="R101" i="22" s="1"/>
  <c r="N102" i="20"/>
  <c r="R102" i="20" s="1"/>
  <c r="Q218" i="2"/>
  <c r="R218" i="2" s="1"/>
  <c r="N211" i="22"/>
  <c r="R211" i="22" s="1"/>
  <c r="N212" i="20"/>
  <c r="R212" i="20" s="1"/>
  <c r="Q247" i="2"/>
  <c r="R247" i="2" s="1"/>
  <c r="N239" i="22"/>
  <c r="W239" i="22" s="1"/>
  <c r="N240" i="20"/>
  <c r="Q338" i="2"/>
  <c r="R338" i="2" s="1"/>
  <c r="N330" i="22"/>
  <c r="N331" i="20"/>
  <c r="Q34" i="2"/>
  <c r="R34" i="2" s="1"/>
  <c r="N34" i="22"/>
  <c r="R34" i="22" s="1"/>
  <c r="R35" i="20"/>
  <c r="Q19" i="2"/>
  <c r="R19" i="2" s="1"/>
  <c r="N20" i="22"/>
  <c r="R20" i="22" s="1"/>
  <c r="N20" i="20"/>
  <c r="R20" i="20" s="1"/>
  <c r="Q167" i="2"/>
  <c r="R167" i="2" s="1"/>
  <c r="N162" i="22"/>
  <c r="R162" i="22" s="1"/>
  <c r="N163" i="20"/>
  <c r="R163" i="20" s="1"/>
  <c r="Q279" i="2"/>
  <c r="R279" i="2" s="1"/>
  <c r="N271" i="22"/>
  <c r="N272" i="20"/>
  <c r="Q313" i="2"/>
  <c r="R313" i="2" s="1"/>
  <c r="N305" i="22"/>
  <c r="N306" i="20"/>
  <c r="T344" i="6"/>
  <c r="Y344" i="6" s="1"/>
  <c r="J76" i="19" s="1"/>
  <c r="M41" i="4"/>
  <c r="Q41" i="4" s="1"/>
  <c r="M40" i="22"/>
  <c r="M293" i="4"/>
  <c r="Q293" i="4" s="1"/>
  <c r="V293" i="4" s="1"/>
  <c r="F47" i="19" s="1"/>
  <c r="M284" i="22"/>
  <c r="M285" i="20"/>
  <c r="M70" i="4"/>
  <c r="Q70" i="4" s="1"/>
  <c r="M68" i="22"/>
  <c r="Q68" i="22" s="1"/>
  <c r="V68" i="22" s="1"/>
  <c r="M69" i="20"/>
  <c r="M270" i="4"/>
  <c r="Q270" i="4" s="1"/>
  <c r="V270" i="4" s="1"/>
  <c r="D49" i="19" s="1"/>
  <c r="M261" i="22"/>
  <c r="M262" i="20"/>
  <c r="M69" i="4"/>
  <c r="Q69" i="4" s="1"/>
  <c r="V69" i="4" s="1"/>
  <c r="J49" i="11" s="1"/>
  <c r="AA49" i="11" s="1"/>
  <c r="M67" i="22"/>
  <c r="M68" i="20"/>
  <c r="M68" i="4"/>
  <c r="Q68" i="4" s="1"/>
  <c r="M66" i="22"/>
  <c r="Q66" i="22" s="1"/>
  <c r="V66" i="22" s="1"/>
  <c r="M67" i="20"/>
  <c r="T47" i="6"/>
  <c r="Y47" i="6" s="1"/>
  <c r="H81" i="11" s="1"/>
  <c r="Y81" i="11" s="1"/>
  <c r="T343" i="6"/>
  <c r="Y343" i="6" s="1"/>
  <c r="J75" i="19" s="1"/>
  <c r="N261" i="6"/>
  <c r="T261" i="6" s="1"/>
  <c r="Y261" i="6" s="1"/>
  <c r="D68" i="19" s="1"/>
  <c r="M252" i="22"/>
  <c r="M253" i="20"/>
  <c r="M312" i="4"/>
  <c r="Q312" i="4" s="1"/>
  <c r="V312" i="4" s="1"/>
  <c r="H41" i="19" s="1"/>
  <c r="M303" i="22"/>
  <c r="M304" i="20"/>
  <c r="N262" i="6"/>
  <c r="T262" i="6" s="1"/>
  <c r="Y262" i="6" s="1"/>
  <c r="D69" i="19" s="1"/>
  <c r="M253" i="22"/>
  <c r="M254" i="20"/>
  <c r="M88" i="4"/>
  <c r="Q88" i="4" s="1"/>
  <c r="V88" i="4" s="1"/>
  <c r="B42" i="18" s="1"/>
  <c r="M85" i="22"/>
  <c r="M86" i="20"/>
  <c r="M296" i="22"/>
  <c r="M297" i="20"/>
  <c r="T206" i="6"/>
  <c r="Y206" i="6" s="1"/>
  <c r="H64" i="18" s="1"/>
  <c r="W64" i="18" s="1"/>
  <c r="N141" i="6"/>
  <c r="T141" i="6" s="1"/>
  <c r="Y141" i="6" s="1"/>
  <c r="D74" i="18" s="1"/>
  <c r="S74" i="18" s="1"/>
  <c r="M136" i="22"/>
  <c r="M137" i="20"/>
  <c r="M81" i="4"/>
  <c r="Q81" i="4" s="1"/>
  <c r="V81" i="4" s="1"/>
  <c r="B35" i="18" s="1"/>
  <c r="Q35" i="18" s="1"/>
  <c r="M78" i="22"/>
  <c r="M79" i="20"/>
  <c r="N332" i="6"/>
  <c r="T332" i="6" s="1"/>
  <c r="Y332" i="6" s="1"/>
  <c r="J64" i="19" s="1"/>
  <c r="N64" i="19" s="1"/>
  <c r="M323" i="22"/>
  <c r="M324" i="20"/>
  <c r="T129" i="6"/>
  <c r="Y129" i="6" s="1"/>
  <c r="D62" i="18" s="1"/>
  <c r="S62" i="18" s="1"/>
  <c r="N142" i="6"/>
  <c r="T142" i="6" s="1"/>
  <c r="Y142" i="6" s="1"/>
  <c r="D75" i="18" s="1"/>
  <c r="S75" i="18" s="1"/>
  <c r="M137" i="22"/>
  <c r="M138" i="20"/>
  <c r="N284" i="6"/>
  <c r="T284" i="6" s="1"/>
  <c r="Y284" i="6" s="1"/>
  <c r="F66" i="19" s="1"/>
  <c r="M275" i="22"/>
  <c r="M276" i="20"/>
  <c r="Q330" i="4"/>
  <c r="V330" i="4" s="1"/>
  <c r="J34" i="19" s="1"/>
  <c r="T295" i="6"/>
  <c r="Y295" i="6" s="1"/>
  <c r="F77" i="19" s="1"/>
  <c r="T370" i="6"/>
  <c r="Y370" i="6" s="1"/>
  <c r="L77" i="19" s="1"/>
  <c r="Q301" i="20"/>
  <c r="V301" i="20" s="1"/>
  <c r="Q132" i="20"/>
  <c r="V132" i="20" s="1"/>
  <c r="Q327" i="20"/>
  <c r="V327" i="20" s="1"/>
  <c r="Q357" i="20"/>
  <c r="V357" i="20" s="1"/>
  <c r="Q256" i="20"/>
  <c r="V256" i="20" s="1"/>
  <c r="Q354" i="22"/>
  <c r="V354" i="22" s="1"/>
  <c r="Q333" i="22"/>
  <c r="V333" i="22" s="1"/>
  <c r="Q160" i="20"/>
  <c r="V160" i="20" s="1"/>
  <c r="Q238" i="20"/>
  <c r="V238" i="20" s="1"/>
  <c r="Q310" i="22"/>
  <c r="V310" i="22" s="1"/>
  <c r="Q6" i="20"/>
  <c r="V6" i="20" s="1"/>
  <c r="Q330" i="22"/>
  <c r="V330" i="22" s="1"/>
  <c r="Q220" i="20"/>
  <c r="V220" i="20" s="1"/>
  <c r="Q15" i="20"/>
  <c r="V15" i="20" s="1"/>
  <c r="Q155" i="20"/>
  <c r="V155" i="20" s="1"/>
  <c r="Q252" i="20"/>
  <c r="V252" i="20" s="1"/>
  <c r="Q85" i="20"/>
  <c r="V85" i="20" s="1"/>
  <c r="Q186" i="20"/>
  <c r="V186" i="20" s="1"/>
  <c r="Q295" i="20"/>
  <c r="V295" i="20" s="1"/>
  <c r="Q300" i="20"/>
  <c r="V300" i="20" s="1"/>
  <c r="Q182" i="20"/>
  <c r="V182" i="20" s="1"/>
  <c r="Q234" i="22"/>
  <c r="V234" i="22" s="1"/>
  <c r="Q119" i="22"/>
  <c r="V119" i="22" s="1"/>
  <c r="Q4" i="20"/>
  <c r="V4" i="20" s="1"/>
  <c r="Q238" i="22"/>
  <c r="V238" i="22" s="1"/>
  <c r="Q154" i="20"/>
  <c r="V154" i="20" s="1"/>
  <c r="Q126" i="20"/>
  <c r="V126" i="20" s="1"/>
  <c r="Q216" i="20"/>
  <c r="V216" i="20" s="1"/>
  <c r="Q110" i="20"/>
  <c r="V110" i="20" s="1"/>
  <c r="Q228" i="20"/>
  <c r="V228" i="20" s="1"/>
  <c r="Q309" i="22"/>
  <c r="V309" i="22" s="1"/>
  <c r="Q288" i="22"/>
  <c r="V288" i="22" s="1"/>
  <c r="Q141" i="20"/>
  <c r="V141" i="20" s="1"/>
  <c r="Q186" i="22"/>
  <c r="V186" i="22" s="1"/>
  <c r="Q320" i="22"/>
  <c r="V320" i="22" s="1"/>
  <c r="Q213" i="22"/>
  <c r="V213" i="22" s="1"/>
  <c r="Q279" i="20"/>
  <c r="V279" i="20" s="1"/>
  <c r="Q357" i="22"/>
  <c r="V357" i="22" s="1"/>
  <c r="Q37" i="20"/>
  <c r="V37" i="20" s="1"/>
  <c r="Q167" i="22"/>
  <c r="V167" i="22" s="1"/>
  <c r="Q264" i="20"/>
  <c r="V264" i="20" s="1"/>
  <c r="Q336" i="22"/>
  <c r="V336" i="22" s="1"/>
  <c r="Q363" i="22"/>
  <c r="V363" i="22" s="1"/>
  <c r="Q340" i="2"/>
  <c r="R340" i="2" s="1"/>
  <c r="N332" i="22"/>
  <c r="N333" i="20"/>
  <c r="Q54" i="2"/>
  <c r="R54" i="2" s="1"/>
  <c r="N53" i="22"/>
  <c r="R53" i="22" s="1"/>
  <c r="R54" i="20"/>
  <c r="Q311" i="2"/>
  <c r="R311" i="2" s="1"/>
  <c r="N303" i="22"/>
  <c r="N304" i="20"/>
  <c r="Q44" i="2"/>
  <c r="R44" i="2" s="1"/>
  <c r="N44" i="22"/>
  <c r="R44" i="22" s="1"/>
  <c r="R45" i="20"/>
  <c r="Q293" i="2"/>
  <c r="R293" i="2" s="1"/>
  <c r="N285" i="22"/>
  <c r="N286" i="20"/>
  <c r="Q91" i="2"/>
  <c r="R91" i="2" s="1"/>
  <c r="N89" i="22"/>
  <c r="N90" i="20"/>
  <c r="Q144" i="2"/>
  <c r="R144" i="2" s="1"/>
  <c r="N140" i="22"/>
  <c r="R140" i="22" s="1"/>
  <c r="N141" i="20"/>
  <c r="R141" i="20" s="1"/>
  <c r="Q204" i="2"/>
  <c r="R204" i="2" s="1"/>
  <c r="N197" i="22"/>
  <c r="R197" i="22" s="1"/>
  <c r="N198" i="20"/>
  <c r="R198" i="20" s="1"/>
  <c r="Q344" i="2"/>
  <c r="R344" i="2" s="1"/>
  <c r="N336" i="22"/>
  <c r="N337" i="20"/>
  <c r="Q185" i="2"/>
  <c r="R185" i="2" s="1"/>
  <c r="N179" i="22"/>
  <c r="R179" i="22" s="1"/>
  <c r="N180" i="20"/>
  <c r="R180" i="20" s="1"/>
  <c r="Q45" i="2"/>
  <c r="R45" i="2" s="1"/>
  <c r="N45" i="22"/>
  <c r="R45" i="22" s="1"/>
  <c r="R46" i="20"/>
  <c r="Q272" i="2"/>
  <c r="R272" i="2" s="1"/>
  <c r="N264" i="22"/>
  <c r="N265" i="20"/>
  <c r="Q195" i="2"/>
  <c r="R195" i="2" s="1"/>
  <c r="N189" i="22"/>
  <c r="R189" i="22" s="1"/>
  <c r="N190" i="20"/>
  <c r="R190" i="20" s="1"/>
  <c r="Q314" i="2"/>
  <c r="R314" i="2" s="1"/>
  <c r="N306" i="22"/>
  <c r="N307" i="20"/>
  <c r="Q68" i="2"/>
  <c r="R68" i="2" s="1"/>
  <c r="N67" i="22"/>
  <c r="N68" i="20"/>
  <c r="Q180" i="2"/>
  <c r="R180" i="2" s="1"/>
  <c r="N174" i="22"/>
  <c r="N175" i="20"/>
  <c r="Q212" i="2"/>
  <c r="R212" i="2" s="1"/>
  <c r="N205" i="22"/>
  <c r="R205" i="22" s="1"/>
  <c r="N206" i="20"/>
  <c r="R206" i="20" s="1"/>
  <c r="Q170" i="2"/>
  <c r="R170" i="2" s="1"/>
  <c r="N165" i="22"/>
  <c r="R165" i="22" s="1"/>
  <c r="N166" i="20"/>
  <c r="R166" i="20" s="1"/>
  <c r="Q112" i="2"/>
  <c r="R112" i="2" s="1"/>
  <c r="N109" i="22"/>
  <c r="R109" i="22" s="1"/>
  <c r="N110" i="20"/>
  <c r="R110" i="20" s="1"/>
  <c r="Q80" i="2"/>
  <c r="R80" i="2" s="1"/>
  <c r="N78" i="22"/>
  <c r="N79" i="20"/>
  <c r="R13" i="2"/>
  <c r="N14" i="22"/>
  <c r="R14" i="22" s="1"/>
  <c r="N14" i="20"/>
  <c r="R14" i="20" s="1"/>
  <c r="Q296" i="2"/>
  <c r="R296" i="2" s="1"/>
  <c r="N288" i="22"/>
  <c r="N289" i="20"/>
  <c r="Q131" i="2"/>
  <c r="R131" i="2" s="1"/>
  <c r="N127" i="22"/>
  <c r="R127" i="22" s="1"/>
  <c r="N128" i="20"/>
  <c r="R128" i="20" s="1"/>
  <c r="Q214" i="2"/>
  <c r="R214" i="2" s="1"/>
  <c r="N207" i="22"/>
  <c r="R207" i="22" s="1"/>
  <c r="N208" i="20"/>
  <c r="R208" i="20" s="1"/>
  <c r="Q85" i="2"/>
  <c r="R85" i="2" s="1"/>
  <c r="N83" i="22"/>
  <c r="R83" i="22" s="1"/>
  <c r="N84" i="20"/>
  <c r="R84" i="20" s="1"/>
  <c r="Q169" i="2"/>
  <c r="R169" i="2" s="1"/>
  <c r="N164" i="22"/>
  <c r="N165" i="20"/>
  <c r="Q197" i="2"/>
  <c r="R197" i="2" s="1"/>
  <c r="N191" i="22"/>
  <c r="N192" i="20"/>
  <c r="Q347" i="2"/>
  <c r="R347" i="2" s="1"/>
  <c r="N339" i="22"/>
  <c r="N340" i="20"/>
  <c r="Q71" i="2"/>
  <c r="R71" i="2" s="1"/>
  <c r="N70" i="22"/>
  <c r="N71" i="20"/>
  <c r="Q62" i="2"/>
  <c r="R62" i="2" s="1"/>
  <c r="N61" i="22"/>
  <c r="N62" i="20"/>
  <c r="Q130" i="2"/>
  <c r="R130" i="2" s="1"/>
  <c r="N126" i="22"/>
  <c r="N127" i="20"/>
  <c r="Q133" i="2"/>
  <c r="R133" i="2" s="1"/>
  <c r="N129" i="22"/>
  <c r="N130" i="20"/>
  <c r="Q290" i="2"/>
  <c r="R290" i="2" s="1"/>
  <c r="N282" i="22"/>
  <c r="N283" i="20"/>
  <c r="Q161" i="2"/>
  <c r="R161" i="2" s="1"/>
  <c r="N156" i="22"/>
  <c r="N157" i="20"/>
  <c r="Q143" i="2"/>
  <c r="R143" i="2" s="1"/>
  <c r="N139" i="22"/>
  <c r="R139" i="22" s="1"/>
  <c r="N140" i="20"/>
  <c r="R140" i="20" s="1"/>
  <c r="Q145" i="2"/>
  <c r="R145" i="2" s="1"/>
  <c r="N141" i="22"/>
  <c r="R141" i="22" s="1"/>
  <c r="N142" i="20"/>
  <c r="R142" i="20" s="1"/>
  <c r="Q122" i="2"/>
  <c r="R122" i="2" s="1"/>
  <c r="N119" i="22"/>
  <c r="R119" i="22" s="1"/>
  <c r="N120" i="20"/>
  <c r="R120" i="20" s="1"/>
  <c r="Q69" i="2"/>
  <c r="R69" i="2" s="1"/>
  <c r="N68" i="22"/>
  <c r="N69" i="20"/>
  <c r="Q147" i="2"/>
  <c r="R147" i="2" s="1"/>
  <c r="N143" i="22"/>
  <c r="R143" i="22" s="1"/>
  <c r="N144" i="20"/>
  <c r="R144" i="20" s="1"/>
  <c r="Q328" i="2"/>
  <c r="R328" i="2" s="1"/>
  <c r="N320" i="22"/>
  <c r="N321" i="20"/>
  <c r="Q228" i="2"/>
  <c r="R228" i="2" s="1"/>
  <c r="N220" i="22"/>
  <c r="N221" i="20"/>
  <c r="Q262" i="2"/>
  <c r="R262" i="2" s="1"/>
  <c r="N254" i="22"/>
  <c r="N255" i="20"/>
  <c r="Q12" i="2"/>
  <c r="R12" i="2" s="1"/>
  <c r="N13" i="22"/>
  <c r="N13" i="20"/>
  <c r="N10" i="6"/>
  <c r="M10" i="22"/>
  <c r="M10" i="20"/>
  <c r="N118" i="6"/>
  <c r="T118" i="6" s="1"/>
  <c r="Y118" i="6" s="1"/>
  <c r="D77" i="11" s="1"/>
  <c r="U77" i="11" s="1"/>
  <c r="M114" i="22"/>
  <c r="Q114" i="22" s="1"/>
  <c r="V114" i="22" s="1"/>
  <c r="M115" i="20"/>
  <c r="M369" i="4"/>
  <c r="Q369" i="4" s="1"/>
  <c r="V369" i="4" s="1"/>
  <c r="L48" i="19" s="1"/>
  <c r="M360" i="22"/>
  <c r="M361" i="20"/>
  <c r="M64" i="4"/>
  <c r="Q64" i="4" s="1"/>
  <c r="V64" i="4" s="1"/>
  <c r="J44" i="11" s="1"/>
  <c r="AA44" i="11" s="1"/>
  <c r="M62" i="22"/>
  <c r="Q62" i="22" s="1"/>
  <c r="V62" i="22" s="1"/>
  <c r="M63" i="20"/>
  <c r="T55" i="6"/>
  <c r="Y55" i="6" s="1"/>
  <c r="J64" i="11" s="1"/>
  <c r="AA64" i="11" s="1"/>
  <c r="N19" i="6"/>
  <c r="T19" i="6" s="1"/>
  <c r="Y19" i="6" s="1"/>
  <c r="B78" i="11" s="1"/>
  <c r="S78" i="11" s="1"/>
  <c r="M19" i="22"/>
  <c r="M19" i="20"/>
  <c r="M44" i="4"/>
  <c r="Q44" i="4" s="1"/>
  <c r="V44" i="4" s="1"/>
  <c r="H49" i="11" s="1"/>
  <c r="Y49" i="11" s="1"/>
  <c r="M43" i="22"/>
  <c r="M59" i="4"/>
  <c r="Q59" i="4" s="1"/>
  <c r="M57" i="22"/>
  <c r="M58" i="20"/>
  <c r="N104" i="6"/>
  <c r="T104" i="6" s="1"/>
  <c r="Y104" i="6" s="1"/>
  <c r="D63" i="11" s="1"/>
  <c r="U63" i="11" s="1"/>
  <c r="M100" i="22"/>
  <c r="M101" i="20"/>
  <c r="Q101" i="20" s="1"/>
  <c r="V101" i="20" s="1"/>
  <c r="N269" i="6"/>
  <c r="T269" i="6" s="1"/>
  <c r="Y269" i="6" s="1"/>
  <c r="D76" i="19" s="1"/>
  <c r="M260" i="22"/>
  <c r="M261" i="20"/>
  <c r="N5" i="6"/>
  <c r="M5" i="22"/>
  <c r="M5" i="20"/>
  <c r="N112" i="6"/>
  <c r="T112" i="6" s="1"/>
  <c r="Y112" i="6" s="1"/>
  <c r="D71" i="11" s="1"/>
  <c r="U71" i="11" s="1"/>
  <c r="M108" i="22"/>
  <c r="M109" i="20"/>
  <c r="T246" i="6"/>
  <c r="Y246" i="6" s="1"/>
  <c r="B78" i="19" s="1"/>
  <c r="T30" i="6"/>
  <c r="Y30" i="6" s="1"/>
  <c r="H64" i="11" s="1"/>
  <c r="Y64" i="11" s="1"/>
  <c r="Q165" i="4"/>
  <c r="V165" i="4" s="1"/>
  <c r="F45" i="11" s="1"/>
  <c r="W45" i="11" s="1"/>
  <c r="T287" i="6"/>
  <c r="Y287" i="6" s="1"/>
  <c r="F69" i="19" s="1"/>
  <c r="Q358" i="4"/>
  <c r="V358" i="4" s="1"/>
  <c r="L37" i="19" s="1"/>
  <c r="T328" i="6"/>
  <c r="Y328" i="6" s="1"/>
  <c r="J60" i="19" s="1"/>
  <c r="Q215" i="4"/>
  <c r="V215" i="4" s="1"/>
  <c r="H44" i="18" s="1"/>
  <c r="W44" i="18" s="1"/>
  <c r="N210" i="6"/>
  <c r="T210" i="6" s="1"/>
  <c r="Y210" i="6" s="1"/>
  <c r="H68" i="18" s="1"/>
  <c r="W68" i="18" s="1"/>
  <c r="M202" i="22"/>
  <c r="M203" i="20"/>
  <c r="M225" i="22"/>
  <c r="M226" i="20"/>
  <c r="M96" i="4"/>
  <c r="Q96" i="4" s="1"/>
  <c r="V96" i="4" s="1"/>
  <c r="B50" i="18" s="1"/>
  <c r="M93" i="22"/>
  <c r="M94" i="20"/>
  <c r="T237" i="6"/>
  <c r="Y237" i="6" s="1"/>
  <c r="B69" i="19" s="1"/>
  <c r="T296" i="6"/>
  <c r="Y296" i="6" s="1"/>
  <c r="F78" i="19" s="1"/>
  <c r="T178" i="6"/>
  <c r="Y178" i="6" s="1"/>
  <c r="F61" i="18" s="1"/>
  <c r="U61" i="18" s="1"/>
  <c r="Q300" i="22"/>
  <c r="V300" i="22" s="1"/>
  <c r="Q131" i="22"/>
  <c r="V131" i="22" s="1"/>
  <c r="Q326" i="22"/>
  <c r="V326" i="22" s="1"/>
  <c r="Q356" i="22"/>
  <c r="V356" i="22" s="1"/>
  <c r="Q208" i="20"/>
  <c r="V208" i="20" s="1"/>
  <c r="Q255" i="22"/>
  <c r="V255" i="22" s="1"/>
  <c r="Q255" i="20"/>
  <c r="V255" i="20" s="1"/>
  <c r="Q163" i="20"/>
  <c r="V163" i="20" s="1"/>
  <c r="Q159" i="22"/>
  <c r="V159" i="22" s="1"/>
  <c r="Q159" i="20"/>
  <c r="V159" i="20" s="1"/>
  <c r="Q237" i="22"/>
  <c r="V237" i="22" s="1"/>
  <c r="Q265" i="20"/>
  <c r="V265" i="20" s="1"/>
  <c r="Q6" i="22"/>
  <c r="V6" i="22" s="1"/>
  <c r="Q322" i="20"/>
  <c r="V322" i="20" s="1"/>
  <c r="Q219" i="22"/>
  <c r="V219" i="22" s="1"/>
  <c r="Q15" i="22"/>
  <c r="V15" i="22" s="1"/>
  <c r="Q154" i="22"/>
  <c r="V154" i="22" s="1"/>
  <c r="Q251" i="22"/>
  <c r="V251" i="22" s="1"/>
  <c r="Q84" i="22"/>
  <c r="V84" i="22" s="1"/>
  <c r="Q189" i="20"/>
  <c r="V189" i="20" s="1"/>
  <c r="Q294" i="22"/>
  <c r="V294" i="22" s="1"/>
  <c r="Q299" i="22"/>
  <c r="V299" i="22" s="1"/>
  <c r="Q181" i="22"/>
  <c r="V181" i="22" s="1"/>
  <c r="Q181" i="20"/>
  <c r="V181" i="20" s="1"/>
  <c r="Q103" i="22"/>
  <c r="V103" i="22" s="1"/>
  <c r="Q7" i="20"/>
  <c r="V7" i="20" s="1"/>
  <c r="Q4" i="22"/>
  <c r="V4" i="22" s="1"/>
  <c r="Q45" i="20"/>
  <c r="V45" i="20" s="1"/>
  <c r="Q125" i="22"/>
  <c r="V125" i="22" s="1"/>
  <c r="Q89" i="20"/>
  <c r="V89" i="20" s="1"/>
  <c r="Q215" i="22"/>
  <c r="V215" i="22" s="1"/>
  <c r="Q109" i="22"/>
  <c r="V109" i="22" s="1"/>
  <c r="Q227" i="22"/>
  <c r="V227" i="22" s="1"/>
  <c r="Q280" i="20"/>
  <c r="V280" i="20" s="1"/>
  <c r="Q258" i="20"/>
  <c r="V258" i="20" s="1"/>
  <c r="Q365" i="20"/>
  <c r="V365" i="20" s="1"/>
  <c r="Q140" i="22"/>
  <c r="V140" i="22" s="1"/>
  <c r="T6" i="6"/>
  <c r="Y6" i="6" s="1"/>
  <c r="B65" i="11" s="1"/>
  <c r="S65" i="11" s="1"/>
  <c r="Q351" i="20"/>
  <c r="V351" i="20" s="1"/>
  <c r="Q142" i="20"/>
  <c r="V142" i="20" s="1"/>
  <c r="Q84" i="20"/>
  <c r="V84" i="20" s="1"/>
  <c r="Q136" i="20"/>
  <c r="V136" i="20" s="1"/>
  <c r="Q271" i="20"/>
  <c r="V271" i="20" s="1"/>
  <c r="Q188" i="20"/>
  <c r="V188" i="20" s="1"/>
  <c r="Q278" i="22"/>
  <c r="V278" i="22" s="1"/>
  <c r="Q260" i="20"/>
  <c r="V260" i="20" s="1"/>
  <c r="Q36" i="22"/>
  <c r="V36" i="22" s="1"/>
  <c r="Q240" i="20"/>
  <c r="V240" i="20" s="1"/>
  <c r="Q263" i="22"/>
  <c r="V263" i="22" s="1"/>
  <c r="Q339" i="20"/>
  <c r="V339" i="20" s="1"/>
  <c r="T13" i="6"/>
  <c r="Y13" i="6" s="1"/>
  <c r="B72" i="11" s="1"/>
  <c r="S72" i="11" s="1"/>
  <c r="Q294" i="2"/>
  <c r="R294" i="2" s="1"/>
  <c r="N286" i="22"/>
  <c r="N287" i="20"/>
  <c r="Q252" i="2"/>
  <c r="R252" i="2" s="1"/>
  <c r="N244" i="22"/>
  <c r="N245" i="20"/>
  <c r="Q196" i="2"/>
  <c r="R196" i="2" s="1"/>
  <c r="N190" i="22"/>
  <c r="N191" i="20"/>
  <c r="Q55" i="2"/>
  <c r="R55" i="2" s="1"/>
  <c r="N54" i="22"/>
  <c r="Q118" i="2"/>
  <c r="R118" i="2" s="1"/>
  <c r="N115" i="22"/>
  <c r="N116" i="20"/>
  <c r="Q235" i="2"/>
  <c r="R235" i="2" s="1"/>
  <c r="N227" i="22"/>
  <c r="N228" i="20"/>
  <c r="Q372" i="2"/>
  <c r="R372" i="2" s="1"/>
  <c r="N364" i="22"/>
  <c r="N365" i="20"/>
  <c r="Q163" i="2"/>
  <c r="R163" i="2" s="1"/>
  <c r="N158" i="22"/>
  <c r="R158" i="22" s="1"/>
  <c r="N159" i="20"/>
  <c r="R159" i="20" s="1"/>
  <c r="Q215" i="2"/>
  <c r="R215" i="2" s="1"/>
  <c r="N208" i="22"/>
  <c r="R208" i="22" s="1"/>
  <c r="N209" i="20"/>
  <c r="R209" i="20" s="1"/>
  <c r="Q359" i="2"/>
  <c r="R359" i="2" s="1"/>
  <c r="N351" i="22"/>
  <c r="N352" i="20"/>
  <c r="Q92" i="2"/>
  <c r="R92" i="2" s="1"/>
  <c r="N90" i="22"/>
  <c r="R90" i="22" s="1"/>
  <c r="N91" i="20"/>
  <c r="R91" i="20" s="1"/>
  <c r="Q246" i="2"/>
  <c r="R246" i="2" s="1"/>
  <c r="N238" i="22"/>
  <c r="N239" i="20"/>
  <c r="Q42" i="2"/>
  <c r="R42" i="2" s="1"/>
  <c r="N42" i="22"/>
  <c r="Q11" i="2"/>
  <c r="R11" i="2" s="1"/>
  <c r="N12" i="22"/>
  <c r="N12" i="20"/>
  <c r="Q136" i="2"/>
  <c r="R136" i="2" s="1"/>
  <c r="N132" i="22"/>
  <c r="R132" i="22" s="1"/>
  <c r="N133" i="20"/>
  <c r="R133" i="20" s="1"/>
  <c r="Q282" i="2"/>
  <c r="R282" i="2" s="1"/>
  <c r="N274" i="22"/>
  <c r="N275" i="20"/>
  <c r="Q360" i="2"/>
  <c r="R360" i="2" s="1"/>
  <c r="N352" i="22"/>
  <c r="N353" i="20"/>
  <c r="Q354" i="2"/>
  <c r="R354" i="2" s="1"/>
  <c r="N346" i="22"/>
  <c r="N347" i="20"/>
  <c r="Q289" i="2"/>
  <c r="R289" i="2" s="1"/>
  <c r="N281" i="22"/>
  <c r="N282" i="20"/>
  <c r="Q232" i="2"/>
  <c r="R232" i="2" s="1"/>
  <c r="N224" i="22"/>
  <c r="N225" i="20"/>
  <c r="Q331" i="2"/>
  <c r="R331" i="2" s="1"/>
  <c r="N323" i="22"/>
  <c r="N324" i="20"/>
  <c r="Q371" i="2"/>
  <c r="R371" i="2" s="1"/>
  <c r="N363" i="22"/>
  <c r="N364" i="20"/>
  <c r="Q120" i="2"/>
  <c r="R120" i="2" s="1"/>
  <c r="N117" i="22"/>
  <c r="R117" i="22" s="1"/>
  <c r="N118" i="20"/>
  <c r="R118" i="20" s="1"/>
  <c r="Q219" i="2"/>
  <c r="R219" i="2" s="1"/>
  <c r="N212" i="22"/>
  <c r="R212" i="22" s="1"/>
  <c r="N213" i="20"/>
  <c r="R213" i="20" s="1"/>
  <c r="Q37" i="2"/>
  <c r="R37" i="2" s="1"/>
  <c r="N37" i="22"/>
  <c r="R37" i="22" s="1"/>
  <c r="R38" i="20"/>
  <c r="Q357" i="2"/>
  <c r="R357" i="2" s="1"/>
  <c r="N349" i="22"/>
  <c r="N350" i="20"/>
  <c r="Q152" i="2"/>
  <c r="R152" i="2" s="1"/>
  <c r="N147" i="22"/>
  <c r="N148" i="20"/>
  <c r="Q239" i="2"/>
  <c r="R239" i="2" s="1"/>
  <c r="N231" i="22"/>
  <c r="N232" i="20"/>
  <c r="Q137" i="2"/>
  <c r="R137" i="2" s="1"/>
  <c r="N133" i="22"/>
  <c r="R133" i="22" s="1"/>
  <c r="N134" i="20"/>
  <c r="R134" i="20" s="1"/>
  <c r="Q153" i="2"/>
  <c r="R153" i="2" s="1"/>
  <c r="N148" i="22"/>
  <c r="N149" i="20"/>
  <c r="Q241" i="2"/>
  <c r="R241" i="2" s="1"/>
  <c r="N233" i="22"/>
  <c r="N234" i="20"/>
  <c r="Q210" i="2"/>
  <c r="R210" i="2" s="1"/>
  <c r="N203" i="22"/>
  <c r="R203" i="22" s="1"/>
  <c r="N204" i="20"/>
  <c r="R204" i="20" s="1"/>
  <c r="T346" i="6"/>
  <c r="Y346" i="6" s="1"/>
  <c r="J78" i="19" s="1"/>
  <c r="T366" i="6"/>
  <c r="Y366" i="6" s="1"/>
  <c r="L73" i="19" s="1"/>
  <c r="T248" i="6"/>
  <c r="Y248" i="6" s="1"/>
  <c r="B80" i="19" s="1"/>
  <c r="M39" i="4"/>
  <c r="Q39" i="4" s="1"/>
  <c r="M38" i="22"/>
  <c r="M48" i="4"/>
  <c r="M47" i="22"/>
  <c r="M33" i="4"/>
  <c r="Q33" i="4" s="1"/>
  <c r="M32" i="22"/>
  <c r="M116" i="4"/>
  <c r="Q116" i="4" s="1"/>
  <c r="V116" i="4" s="1"/>
  <c r="D46" i="11" s="1"/>
  <c r="U46" i="11" s="1"/>
  <c r="M112" i="22"/>
  <c r="M113" i="20"/>
  <c r="M115" i="4"/>
  <c r="Q115" i="4" s="1"/>
  <c r="V115" i="4" s="1"/>
  <c r="D45" i="11" s="1"/>
  <c r="U45" i="11" s="1"/>
  <c r="M111" i="22"/>
  <c r="M112" i="20"/>
  <c r="N36" i="6"/>
  <c r="T36" i="6" s="1"/>
  <c r="M35" i="22"/>
  <c r="T14" i="6"/>
  <c r="Y14" i="6" s="1"/>
  <c r="B73" i="11" s="1"/>
  <c r="S73" i="11" s="1"/>
  <c r="T156" i="6"/>
  <c r="Y156" i="6" s="1"/>
  <c r="F65" i="11" s="1"/>
  <c r="W65" i="11" s="1"/>
  <c r="Q58" i="4"/>
  <c r="V58" i="4" s="1"/>
  <c r="J38" i="11" s="1"/>
  <c r="AA38" i="11" s="1"/>
  <c r="M218" i="4"/>
  <c r="Q218" i="4" s="1"/>
  <c r="V218" i="4" s="1"/>
  <c r="H47" i="18" s="1"/>
  <c r="M210" i="22"/>
  <c r="Q210" i="22" s="1"/>
  <c r="V210" i="22" s="1"/>
  <c r="M211" i="20"/>
  <c r="N340" i="6"/>
  <c r="T340" i="6" s="1"/>
  <c r="Y340" i="6" s="1"/>
  <c r="J72" i="19" s="1"/>
  <c r="M331" i="22"/>
  <c r="M332" i="20"/>
  <c r="M197" i="4"/>
  <c r="Q197" i="4" s="1"/>
  <c r="V197" i="4" s="1"/>
  <c r="F51" i="18" s="1"/>
  <c r="U51" i="18" s="1"/>
  <c r="M190" i="22"/>
  <c r="M191" i="20"/>
  <c r="M79" i="4"/>
  <c r="Q79" i="4" s="1"/>
  <c r="V79" i="4" s="1"/>
  <c r="B33" i="18" s="1"/>
  <c r="M76" i="22"/>
  <c r="N95" i="6"/>
  <c r="T95" i="6" s="1"/>
  <c r="Y95" i="6" s="1"/>
  <c r="B78" i="18" s="1"/>
  <c r="Q78" i="18" s="1"/>
  <c r="Y78" i="18" s="1"/>
  <c r="M92" i="22"/>
  <c r="M93" i="20"/>
  <c r="M351" i="22"/>
  <c r="M352" i="20"/>
  <c r="N233" i="6"/>
  <c r="M224" i="22"/>
  <c r="M225" i="20"/>
  <c r="T128" i="6"/>
  <c r="Y128" i="6" s="1"/>
  <c r="D61" i="18" s="1"/>
  <c r="S61" i="18" s="1"/>
  <c r="T132" i="6"/>
  <c r="Y132" i="6" s="1"/>
  <c r="D65" i="18" s="1"/>
  <c r="S65" i="18" s="1"/>
  <c r="M79" i="22"/>
  <c r="Q79" i="22" s="1"/>
  <c r="V79" i="22" s="1"/>
  <c r="M80" i="20"/>
  <c r="T281" i="6"/>
  <c r="Y281" i="6" s="1"/>
  <c r="F63" i="19" s="1"/>
  <c r="Q178" i="20"/>
  <c r="V178" i="20" s="1"/>
  <c r="Q224" i="20"/>
  <c r="V224" i="20" s="1"/>
  <c r="Q299" i="20"/>
  <c r="V299" i="20" s="1"/>
  <c r="Q125" i="20"/>
  <c r="V125" i="20" s="1"/>
  <c r="Q207" i="22"/>
  <c r="V207" i="22" s="1"/>
  <c r="Q128" i="20"/>
  <c r="V128" i="20" s="1"/>
  <c r="Q254" i="22"/>
  <c r="V254" i="22" s="1"/>
  <c r="Q162" i="22"/>
  <c r="V162" i="22" s="1"/>
  <c r="Q151" i="20"/>
  <c r="V151" i="20" s="1"/>
  <c r="Q158" i="22"/>
  <c r="V158" i="22" s="1"/>
  <c r="V23" i="20"/>
  <c r="Q264" i="22"/>
  <c r="V264" i="22" s="1"/>
  <c r="Q166" i="20"/>
  <c r="V166" i="20" s="1"/>
  <c r="Q321" i="22"/>
  <c r="V321" i="22" s="1"/>
  <c r="Q231" i="20"/>
  <c r="V231" i="20" s="1"/>
  <c r="Q236" i="20"/>
  <c r="V236" i="20" s="1"/>
  <c r="Q363" i="20"/>
  <c r="V363" i="20" s="1"/>
  <c r="Q204" i="20"/>
  <c r="V204" i="20" s="1"/>
  <c r="Q188" i="22"/>
  <c r="V188" i="22" s="1"/>
  <c r="Q83" i="20"/>
  <c r="V83" i="20" s="1"/>
  <c r="Q247" i="20"/>
  <c r="V247" i="20" s="1"/>
  <c r="Q356" i="20"/>
  <c r="V356" i="20" s="1"/>
  <c r="Q251" i="20"/>
  <c r="V251" i="20" s="1"/>
  <c r="Q180" i="22"/>
  <c r="V180" i="22" s="1"/>
  <c r="Q35" i="20"/>
  <c r="V35" i="20" s="1"/>
  <c r="Q29" i="20"/>
  <c r="V29" i="20" s="1"/>
  <c r="T4" i="6"/>
  <c r="Y4" i="6" s="1"/>
  <c r="B63" i="11" s="1"/>
  <c r="S63" i="11" s="1"/>
  <c r="Q44" i="22"/>
  <c r="V44" i="22" s="1"/>
  <c r="Q288" i="20"/>
  <c r="V288" i="20" s="1"/>
  <c r="Q227" i="20"/>
  <c r="V227" i="20" s="1"/>
  <c r="Q88" i="22"/>
  <c r="V88" i="22" s="1"/>
  <c r="Q346" i="20"/>
  <c r="V346" i="20" s="1"/>
  <c r="Q162" i="20"/>
  <c r="V162" i="20" s="1"/>
  <c r="Q22" i="20"/>
  <c r="V22" i="20" s="1"/>
  <c r="Q279" i="22"/>
  <c r="V279" i="22" s="1"/>
  <c r="Q257" i="22"/>
  <c r="V257" i="22" s="1"/>
  <c r="Q364" i="22"/>
  <c r="V364" i="22" s="1"/>
  <c r="Q350" i="22"/>
  <c r="V350" i="22" s="1"/>
  <c r="Q141" i="22"/>
  <c r="V141" i="22" s="1"/>
  <c r="Q135" i="22"/>
  <c r="V135" i="22" s="1"/>
  <c r="Q270" i="22"/>
  <c r="V270" i="22" s="1"/>
  <c r="Q187" i="22"/>
  <c r="V187" i="22" s="1"/>
  <c r="Q144" i="20"/>
  <c r="V144" i="20" s="1"/>
  <c r="Q259" i="22"/>
  <c r="V259" i="22" s="1"/>
  <c r="Q161" i="20"/>
  <c r="V161" i="20" s="1"/>
  <c r="Q239" i="22"/>
  <c r="V239" i="22" s="1"/>
  <c r="Q46" i="20"/>
  <c r="V46" i="20" s="1"/>
  <c r="Q338" i="22"/>
  <c r="V338" i="22" s="1"/>
  <c r="Q237" i="20"/>
  <c r="V237" i="20" s="1"/>
  <c r="Q53" i="20"/>
  <c r="V53" i="20" s="1"/>
  <c r="Q291" i="2"/>
  <c r="R291" i="2" s="1"/>
  <c r="N283" i="22"/>
  <c r="N284" i="20"/>
  <c r="Q58" i="2"/>
  <c r="R58" i="2" s="1"/>
  <c r="N57" i="22"/>
  <c r="N58" i="20"/>
  <c r="Q216" i="2"/>
  <c r="R216" i="2" s="1"/>
  <c r="N209" i="22"/>
  <c r="N210" i="20"/>
  <c r="Q243" i="2"/>
  <c r="R243" i="2" s="1"/>
  <c r="N235" i="22"/>
  <c r="N236" i="20"/>
  <c r="Q242" i="2"/>
  <c r="R242" i="2" s="1"/>
  <c r="N234" i="22"/>
  <c r="N235" i="20"/>
  <c r="Q288" i="2"/>
  <c r="R288" i="2" s="1"/>
  <c r="N280" i="22"/>
  <c r="N281" i="20"/>
  <c r="Q183" i="2"/>
  <c r="R183" i="2" s="1"/>
  <c r="N177" i="22"/>
  <c r="R177" i="22" s="1"/>
  <c r="N178" i="20"/>
  <c r="R178" i="20" s="1"/>
  <c r="Q132" i="2"/>
  <c r="R132" i="2" s="1"/>
  <c r="N128" i="22"/>
  <c r="N129" i="20"/>
  <c r="Q105" i="2"/>
  <c r="R105" i="2" s="1"/>
  <c r="N102" i="22"/>
  <c r="R102" i="22" s="1"/>
  <c r="N103" i="20"/>
  <c r="R103" i="20" s="1"/>
  <c r="Q343" i="2"/>
  <c r="R343" i="2" s="1"/>
  <c r="N335" i="22"/>
  <c r="N336" i="20"/>
  <c r="Q222" i="2"/>
  <c r="R222" i="2" s="1"/>
  <c r="N215" i="22"/>
  <c r="R215" i="22" s="1"/>
  <c r="N216" i="20"/>
  <c r="R216" i="20" s="1"/>
  <c r="Q367" i="2"/>
  <c r="R367" i="2" s="1"/>
  <c r="N359" i="22"/>
  <c r="N360" i="20"/>
  <c r="Q187" i="2"/>
  <c r="R187" i="2" s="1"/>
  <c r="N181" i="22"/>
  <c r="R181" i="22" s="1"/>
  <c r="N182" i="20"/>
  <c r="R182" i="20" s="1"/>
  <c r="Q220" i="2"/>
  <c r="R220" i="2" s="1"/>
  <c r="N213" i="22"/>
  <c r="R213" i="22" s="1"/>
  <c r="N214" i="20"/>
  <c r="R214" i="20" s="1"/>
  <c r="Q358" i="2"/>
  <c r="R358" i="2" s="1"/>
  <c r="N350" i="22"/>
  <c r="N351" i="20"/>
  <c r="Q66" i="2"/>
  <c r="R66" i="2" s="1"/>
  <c r="N65" i="22"/>
  <c r="R65" i="22" s="1"/>
  <c r="N66" i="20"/>
  <c r="R66" i="20" s="1"/>
  <c r="Q32" i="2"/>
  <c r="R32" i="2" s="1"/>
  <c r="N32" i="22"/>
  <c r="Q53" i="2"/>
  <c r="R53" i="2" s="1"/>
  <c r="N52" i="22"/>
  <c r="R52" i="22" s="1"/>
  <c r="R53" i="20"/>
  <c r="Q33" i="2"/>
  <c r="R33" i="2" s="1"/>
  <c r="N33" i="22"/>
  <c r="Q227" i="2"/>
  <c r="R227" i="2" s="1"/>
  <c r="N219" i="22"/>
  <c r="N220" i="20"/>
  <c r="Q93" i="2"/>
  <c r="R93" i="2" s="1"/>
  <c r="N91" i="22"/>
  <c r="R91" i="22" s="1"/>
  <c r="N92" i="20"/>
  <c r="R92" i="20" s="1"/>
  <c r="Q213" i="2"/>
  <c r="R213" i="2" s="1"/>
  <c r="N206" i="22"/>
  <c r="R206" i="22" s="1"/>
  <c r="N207" i="20"/>
  <c r="R207" i="20" s="1"/>
  <c r="Q320" i="2"/>
  <c r="R320" i="2" s="1"/>
  <c r="N312" i="22"/>
  <c r="N313" i="20"/>
  <c r="Q341" i="2"/>
  <c r="R341" i="2" s="1"/>
  <c r="N333" i="22"/>
  <c r="N334" i="20"/>
  <c r="Q79" i="2"/>
  <c r="R79" i="2" s="1"/>
  <c r="N77" i="22"/>
  <c r="N78" i="20"/>
  <c r="Q259" i="2"/>
  <c r="R259" i="2" s="1"/>
  <c r="N251" i="22"/>
  <c r="N252" i="20"/>
  <c r="Q194" i="2"/>
  <c r="R194" i="2" s="1"/>
  <c r="N188" i="22"/>
  <c r="R188" i="22" s="1"/>
  <c r="N189" i="20"/>
  <c r="R189" i="20" s="1"/>
  <c r="Q114" i="2"/>
  <c r="R114" i="2" s="1"/>
  <c r="N111" i="22"/>
  <c r="N112" i="20"/>
  <c r="Q117" i="2"/>
  <c r="R117" i="2" s="1"/>
  <c r="N114" i="22"/>
  <c r="N115" i="20"/>
  <c r="Q155" i="2"/>
  <c r="R155" i="2" s="1"/>
  <c r="N150" i="22"/>
  <c r="R150" i="22" s="1"/>
  <c r="N151" i="20"/>
  <c r="R151" i="20" s="1"/>
  <c r="Q35" i="2"/>
  <c r="R35" i="2" s="1"/>
  <c r="N35" i="22"/>
  <c r="Q3" i="2"/>
  <c r="R3" i="2" s="1"/>
  <c r="N4" i="22"/>
  <c r="R4" i="22" s="1"/>
  <c r="N4" i="20"/>
  <c r="R4" i="20" s="1"/>
  <c r="Q56" i="2"/>
  <c r="R56" i="2" s="1"/>
  <c r="N55" i="22"/>
  <c r="R55" i="22" s="1"/>
  <c r="R56" i="20"/>
  <c r="Q238" i="2"/>
  <c r="R238" i="2" s="1"/>
  <c r="N230" i="22"/>
  <c r="N231" i="20"/>
  <c r="Q46" i="2"/>
  <c r="R46" i="2" s="1"/>
  <c r="N46" i="22"/>
  <c r="R46" i="22" s="1"/>
  <c r="R47" i="20"/>
  <c r="Q87" i="2"/>
  <c r="R87" i="2" s="1"/>
  <c r="N85" i="22"/>
  <c r="N86" i="20"/>
  <c r="Q142" i="2"/>
  <c r="R142" i="2" s="1"/>
  <c r="N138" i="22"/>
  <c r="R138" i="22" s="1"/>
  <c r="N139" i="20"/>
  <c r="R139" i="20" s="1"/>
  <c r="Q115" i="2"/>
  <c r="R115" i="2" s="1"/>
  <c r="N112" i="22"/>
  <c r="N113" i="20"/>
  <c r="Q309" i="2"/>
  <c r="R309" i="2" s="1"/>
  <c r="N301" i="22"/>
  <c r="N302" i="20"/>
  <c r="Q96" i="2"/>
  <c r="R96" i="2" s="1"/>
  <c r="N94" i="22"/>
  <c r="N95" i="20"/>
  <c r="Q283" i="2"/>
  <c r="R283" i="2" s="1"/>
  <c r="N275" i="22"/>
  <c r="N276" i="20"/>
  <c r="Q70" i="2"/>
  <c r="R70" i="2" s="1"/>
  <c r="N69" i="22"/>
  <c r="R69" i="22" s="1"/>
  <c r="N70" i="20"/>
  <c r="R70" i="20" s="1"/>
  <c r="Q172" i="2"/>
  <c r="R172" i="2" s="1"/>
  <c r="N167" i="22"/>
  <c r="R167" i="22" s="1"/>
  <c r="N168" i="20"/>
  <c r="R168" i="20" s="1"/>
  <c r="Q134" i="2"/>
  <c r="R134" i="2" s="1"/>
  <c r="N130" i="22"/>
  <c r="R130" i="22" s="1"/>
  <c r="N131" i="20"/>
  <c r="R131" i="20" s="1"/>
  <c r="Q36" i="2"/>
  <c r="R36" i="2" s="1"/>
  <c r="N36" i="22"/>
  <c r="R36" i="22" s="1"/>
  <c r="R37" i="20"/>
  <c r="M108" i="4"/>
  <c r="Q108" i="4" s="1"/>
  <c r="V108" i="4" s="1"/>
  <c r="D38" i="11" s="1"/>
  <c r="U38" i="11" s="1"/>
  <c r="M104" i="22"/>
  <c r="M105" i="20"/>
  <c r="Q105" i="20" s="1"/>
  <c r="V105" i="20" s="1"/>
  <c r="T245" i="6"/>
  <c r="Y245" i="6" s="1"/>
  <c r="B77" i="19" s="1"/>
  <c r="M169" i="4"/>
  <c r="Q169" i="4" s="1"/>
  <c r="V169" i="4" s="1"/>
  <c r="F49" i="11" s="1"/>
  <c r="W49" i="11" s="1"/>
  <c r="M163" i="22"/>
  <c r="M164" i="20"/>
  <c r="N119" i="6"/>
  <c r="T119" i="6" s="1"/>
  <c r="Y119" i="6" s="1"/>
  <c r="D78" i="11" s="1"/>
  <c r="U78" i="11" s="1"/>
  <c r="M115" i="22"/>
  <c r="M116" i="20"/>
  <c r="T173" i="6"/>
  <c r="Y173" i="6" s="1"/>
  <c r="F82" i="11" s="1"/>
  <c r="W82" i="11" s="1"/>
  <c r="M162" i="4"/>
  <c r="Q162" i="4" s="1"/>
  <c r="V162" i="4" s="1"/>
  <c r="F42" i="11" s="1"/>
  <c r="W42" i="11" s="1"/>
  <c r="M156" i="22"/>
  <c r="M157" i="20"/>
  <c r="M241" i="4"/>
  <c r="Q241" i="4" s="1"/>
  <c r="V241" i="4" s="1"/>
  <c r="B45" i="19" s="1"/>
  <c r="M232" i="22"/>
  <c r="M233" i="20"/>
  <c r="M63" i="4"/>
  <c r="Q63" i="4" s="1"/>
  <c r="V63" i="4" s="1"/>
  <c r="J43" i="11" s="1"/>
  <c r="AA43" i="11" s="1"/>
  <c r="M61" i="22"/>
  <c r="M62" i="20"/>
  <c r="M28" i="4"/>
  <c r="Q28" i="4" s="1"/>
  <c r="V28" i="4" s="1"/>
  <c r="H33" i="11" s="1"/>
  <c r="Y33" i="11" s="1"/>
  <c r="M27" i="22"/>
  <c r="M40" i="4"/>
  <c r="Q40" i="4" s="1"/>
  <c r="V40" i="4" s="1"/>
  <c r="H45" i="11" s="1"/>
  <c r="Y45" i="11" s="1"/>
  <c r="M39" i="22"/>
  <c r="M109" i="4"/>
  <c r="Q109" i="4" s="1"/>
  <c r="V109" i="4" s="1"/>
  <c r="D39" i="11" s="1"/>
  <c r="U39" i="11" s="1"/>
  <c r="M105" i="22"/>
  <c r="M106" i="20"/>
  <c r="Q111" i="4"/>
  <c r="V111" i="4" s="1"/>
  <c r="D41" i="11" s="1"/>
  <c r="U41" i="11" s="1"/>
  <c r="T319" i="6"/>
  <c r="Y319" i="6" s="1"/>
  <c r="H76" i="19" s="1"/>
  <c r="T342" i="6"/>
  <c r="Y342" i="6" s="1"/>
  <c r="J74" i="19" s="1"/>
  <c r="Q322" i="4"/>
  <c r="V322" i="4" s="1"/>
  <c r="H51" i="19" s="1"/>
  <c r="T256" i="6"/>
  <c r="Y256" i="6" s="1"/>
  <c r="D63" i="19" s="1"/>
  <c r="Q220" i="4"/>
  <c r="V220" i="4" s="1"/>
  <c r="H49" i="18" s="1"/>
  <c r="W49" i="18" s="1"/>
  <c r="M253" i="4"/>
  <c r="Q253" i="4" s="1"/>
  <c r="V253" i="4" s="1"/>
  <c r="D32" i="19" s="1"/>
  <c r="M244" i="22"/>
  <c r="M245" i="20"/>
  <c r="M217" i="4"/>
  <c r="Q217" i="4" s="1"/>
  <c r="V217" i="4" s="1"/>
  <c r="H46" i="18" s="1"/>
  <c r="W46" i="18" s="1"/>
  <c r="M209" i="22"/>
  <c r="M210" i="20"/>
  <c r="M126" i="22"/>
  <c r="M127" i="20"/>
  <c r="T258" i="6"/>
  <c r="Y258" i="6" s="1"/>
  <c r="D65" i="19" s="1"/>
  <c r="Q177" i="22"/>
  <c r="V177" i="22" s="1"/>
  <c r="Q223" i="22"/>
  <c r="V223" i="22" s="1"/>
  <c r="Q298" i="22"/>
  <c r="V298" i="22" s="1"/>
  <c r="Q124" i="22"/>
  <c r="V124" i="22" s="1"/>
  <c r="Q307" i="20"/>
  <c r="V307" i="20" s="1"/>
  <c r="Q127" i="22"/>
  <c r="V127" i="22" s="1"/>
  <c r="Q197" i="20"/>
  <c r="V197" i="20" s="1"/>
  <c r="Q196" i="20"/>
  <c r="V196" i="20" s="1"/>
  <c r="Q150" i="22"/>
  <c r="V150" i="22" s="1"/>
  <c r="Q30" i="20"/>
  <c r="V30" i="20" s="1"/>
  <c r="Q23" i="22"/>
  <c r="V23" i="22" s="1"/>
  <c r="Q66" i="20"/>
  <c r="V66" i="20" s="1"/>
  <c r="Q230" i="22"/>
  <c r="V230" i="22" s="1"/>
  <c r="Q303" i="20"/>
  <c r="V303" i="20" s="1"/>
  <c r="Q235" i="22"/>
  <c r="V235" i="22" s="1"/>
  <c r="Q362" i="22"/>
  <c r="V362" i="22" s="1"/>
  <c r="Q203" i="22"/>
  <c r="V203" i="22" s="1"/>
  <c r="Q190" i="20"/>
  <c r="V190" i="20" s="1"/>
  <c r="Q212" i="20"/>
  <c r="V212" i="20" s="1"/>
  <c r="Q82" i="22"/>
  <c r="V82" i="22" s="1"/>
  <c r="Q246" i="22"/>
  <c r="V246" i="22" s="1"/>
  <c r="Q355" i="22"/>
  <c r="V355" i="22" s="1"/>
  <c r="Q250" i="22"/>
  <c r="V250" i="22" s="1"/>
  <c r="Q34" i="22"/>
  <c r="V34" i="22" s="1"/>
  <c r="Q286" i="20"/>
  <c r="V286" i="20" s="1"/>
  <c r="T7" i="6"/>
  <c r="Y7" i="6" s="1"/>
  <c r="B66" i="11" s="1"/>
  <c r="S66" i="11" s="1"/>
  <c r="Q28" i="22"/>
  <c r="V28" i="22" s="1"/>
  <c r="Q315" i="20"/>
  <c r="V315" i="20" s="1"/>
  <c r="Q287" i="22"/>
  <c r="V287" i="22" s="1"/>
  <c r="Q20" i="20"/>
  <c r="V20" i="20" s="1"/>
  <c r="Q226" i="22"/>
  <c r="V226" i="22" s="1"/>
  <c r="Q349" i="20"/>
  <c r="V349" i="20" s="1"/>
  <c r="Q345" i="22"/>
  <c r="V345" i="22" s="1"/>
  <c r="Q22" i="22"/>
  <c r="V22" i="22" s="1"/>
  <c r="Q282" i="20"/>
  <c r="V282" i="20" s="1"/>
  <c r="Q103" i="20"/>
  <c r="V103" i="20" s="1"/>
  <c r="Q328" i="20"/>
  <c r="V328" i="20" s="1"/>
  <c r="Q326" i="20"/>
  <c r="V326" i="20" s="1"/>
  <c r="Q131" i="20"/>
  <c r="V131" i="20" s="1"/>
  <c r="Q323" i="20"/>
  <c r="V323" i="20" s="1"/>
  <c r="Q274" i="20"/>
  <c r="V274" i="20" s="1"/>
  <c r="Q221" i="20"/>
  <c r="V221" i="20" s="1"/>
  <c r="Q330" i="20"/>
  <c r="V330" i="20" s="1"/>
  <c r="Q143" i="22"/>
  <c r="V143" i="22" s="1"/>
  <c r="Q206" i="20"/>
  <c r="V206" i="20" s="1"/>
  <c r="Q160" i="22"/>
  <c r="V160" i="22" s="1"/>
  <c r="Q54" i="20"/>
  <c r="V54" i="20" s="1"/>
  <c r="Q45" i="22"/>
  <c r="V45" i="22" s="1"/>
  <c r="Q118" i="20"/>
  <c r="V118" i="20" s="1"/>
  <c r="Q236" i="22"/>
  <c r="V236" i="22" s="1"/>
  <c r="Q52" i="22"/>
  <c r="V52" i="22" s="1"/>
  <c r="Q166" i="2"/>
  <c r="R166" i="2" s="1"/>
  <c r="N161" i="22"/>
  <c r="R161" i="22" s="1"/>
  <c r="N162" i="20"/>
  <c r="R162" i="20" s="1"/>
  <c r="Q188" i="2"/>
  <c r="R188" i="2" s="1"/>
  <c r="N182" i="22"/>
  <c r="N183" i="20"/>
  <c r="Q41" i="2"/>
  <c r="R41" i="2" s="1"/>
  <c r="N41" i="22"/>
  <c r="Q89" i="2"/>
  <c r="R89" i="2" s="1"/>
  <c r="N87" i="22"/>
  <c r="N88" i="20"/>
  <c r="Q4" i="2"/>
  <c r="R4" i="2" s="1"/>
  <c r="N5" i="22"/>
  <c r="N5" i="20"/>
  <c r="Q107" i="2"/>
  <c r="R107" i="2" s="1"/>
  <c r="N104" i="22"/>
  <c r="N105" i="20"/>
  <c r="Q361" i="2"/>
  <c r="R361" i="2" s="1"/>
  <c r="N353" i="22"/>
  <c r="N354" i="20"/>
  <c r="Q82" i="2"/>
  <c r="R82" i="2" s="1"/>
  <c r="N80" i="22"/>
  <c r="N81" i="20"/>
  <c r="Q255" i="2"/>
  <c r="R255" i="2" s="1"/>
  <c r="N247" i="22"/>
  <c r="N248" i="20"/>
  <c r="Q61" i="2"/>
  <c r="R61" i="2" s="1"/>
  <c r="N60" i="22"/>
  <c r="N61" i="20"/>
  <c r="Q217" i="2"/>
  <c r="R217" i="2" s="1"/>
  <c r="N210" i="22"/>
  <c r="N211" i="20"/>
  <c r="Q365" i="2"/>
  <c r="R365" i="2" s="1"/>
  <c r="N357" i="22"/>
  <c r="N358" i="20"/>
  <c r="Q278" i="2"/>
  <c r="R278" i="2" s="1"/>
  <c r="N270" i="22"/>
  <c r="N271" i="20"/>
  <c r="Q140" i="2"/>
  <c r="R140" i="2" s="1"/>
  <c r="N136" i="22"/>
  <c r="N137" i="20"/>
  <c r="Q332" i="2"/>
  <c r="R332" i="2" s="1"/>
  <c r="N324" i="22"/>
  <c r="N325" i="20"/>
  <c r="Q162" i="2"/>
  <c r="R162" i="2" s="1"/>
  <c r="N157" i="22"/>
  <c r="R157" i="22" s="1"/>
  <c r="N158" i="20"/>
  <c r="R158" i="20" s="1"/>
  <c r="Q203" i="2"/>
  <c r="R203" i="2" s="1"/>
  <c r="N196" i="22"/>
  <c r="R196" i="22" s="1"/>
  <c r="N197" i="20"/>
  <c r="R197" i="20" s="1"/>
  <c r="Q329" i="2"/>
  <c r="R329" i="2" s="1"/>
  <c r="N321" i="22"/>
  <c r="N322" i="20"/>
  <c r="Q266" i="2"/>
  <c r="R266" i="2" s="1"/>
  <c r="N258" i="22"/>
  <c r="N259" i="20"/>
  <c r="Q116" i="2"/>
  <c r="R116" i="2" s="1"/>
  <c r="N113" i="22"/>
  <c r="N114" i="20"/>
  <c r="Q310" i="2"/>
  <c r="R310" i="2" s="1"/>
  <c r="N302" i="22"/>
  <c r="N303" i="20"/>
  <c r="Q86" i="2"/>
  <c r="R86" i="2" s="1"/>
  <c r="N84" i="22"/>
  <c r="R84" i="22" s="1"/>
  <c r="N85" i="20"/>
  <c r="R85" i="20" s="1"/>
  <c r="Q295" i="2"/>
  <c r="R295" i="2" s="1"/>
  <c r="N287" i="22"/>
  <c r="N288" i="20"/>
  <c r="Q333" i="2"/>
  <c r="R333" i="2" s="1"/>
  <c r="N325" i="22"/>
  <c r="N326" i="20"/>
  <c r="Q321" i="2"/>
  <c r="R321" i="2" s="1"/>
  <c r="N313" i="22"/>
  <c r="N314" i="20"/>
  <c r="Q230" i="2"/>
  <c r="R230" i="2" s="1"/>
  <c r="N222" i="22"/>
  <c r="N223" i="20"/>
  <c r="Q302" i="2"/>
  <c r="R302" i="2" s="1"/>
  <c r="N294" i="22"/>
  <c r="N295" i="20"/>
  <c r="Q17" i="2"/>
  <c r="R17" i="2" s="1"/>
  <c r="N18" i="22"/>
  <c r="N18" i="20"/>
  <c r="Q236" i="2"/>
  <c r="R236" i="2" s="1"/>
  <c r="N228" i="22"/>
  <c r="N229" i="20"/>
  <c r="Q305" i="2"/>
  <c r="R305" i="2" s="1"/>
  <c r="N297" i="22"/>
  <c r="N298" i="20"/>
  <c r="Q52" i="2"/>
  <c r="R52" i="2" s="1"/>
  <c r="N51" i="22"/>
  <c r="R51" i="22" s="1"/>
  <c r="R52" i="20"/>
  <c r="Q141" i="2"/>
  <c r="R141" i="2" s="1"/>
  <c r="N137" i="22"/>
  <c r="N138" i="20"/>
  <c r="Q84" i="2"/>
  <c r="R84" i="2" s="1"/>
  <c r="N82" i="22"/>
  <c r="R82" i="22" s="1"/>
  <c r="N83" i="20"/>
  <c r="R83" i="20" s="1"/>
  <c r="Q103" i="2"/>
  <c r="R103" i="2" s="1"/>
  <c r="N100" i="22"/>
  <c r="N101" i="20"/>
  <c r="T73" i="6"/>
  <c r="Y73" i="6" s="1"/>
  <c r="J82" i="11" s="1"/>
  <c r="AA82" i="11" s="1"/>
  <c r="Q46" i="4"/>
  <c r="V46" i="4" s="1"/>
  <c r="H51" i="11" s="1"/>
  <c r="Y51" i="11" s="1"/>
  <c r="N341" i="6"/>
  <c r="T341" i="6" s="1"/>
  <c r="Y341" i="6" s="1"/>
  <c r="J73" i="19" s="1"/>
  <c r="M332" i="22"/>
  <c r="M333" i="20"/>
  <c r="M12" i="4"/>
  <c r="M12" i="22"/>
  <c r="M12" i="20"/>
  <c r="M21" i="4"/>
  <c r="M21" i="22"/>
  <c r="M21" i="20"/>
  <c r="M8" i="4"/>
  <c r="M8" i="22"/>
  <c r="M8" i="20"/>
  <c r="M72" i="4"/>
  <c r="Q72" i="4" s="1"/>
  <c r="V72" i="4" s="1"/>
  <c r="J52" i="11" s="1"/>
  <c r="AA52" i="11" s="1"/>
  <c r="M70" i="22"/>
  <c r="M71" i="20"/>
  <c r="N154" i="6"/>
  <c r="T154" i="6" s="1"/>
  <c r="Y154" i="6" s="1"/>
  <c r="F63" i="11" s="1"/>
  <c r="W63" i="11" s="1"/>
  <c r="M148" i="22"/>
  <c r="M149" i="20"/>
  <c r="T273" i="6"/>
  <c r="Y273" i="6" s="1"/>
  <c r="D80" i="19" s="1"/>
  <c r="T66" i="6"/>
  <c r="Y66" i="6" s="1"/>
  <c r="J75" i="11" s="1"/>
  <c r="AA75" i="11" s="1"/>
  <c r="M174" i="22"/>
  <c r="M175" i="20"/>
  <c r="M89" i="4"/>
  <c r="Q89" i="4" s="1"/>
  <c r="V89" i="4" s="1"/>
  <c r="B43" i="18" s="1"/>
  <c r="Q43" i="18" s="1"/>
  <c r="M86" i="22"/>
  <c r="M87" i="20"/>
  <c r="M254" i="4"/>
  <c r="Q254" i="4" s="1"/>
  <c r="V254" i="4" s="1"/>
  <c r="D33" i="19" s="1"/>
  <c r="M245" i="22"/>
  <c r="M246" i="20"/>
  <c r="N133" i="6"/>
  <c r="T133" i="6" s="1"/>
  <c r="Y133" i="6" s="1"/>
  <c r="D66" i="18" s="1"/>
  <c r="S66" i="18" s="1"/>
  <c r="M128" i="22"/>
  <c r="M129" i="20"/>
  <c r="N84" i="6"/>
  <c r="T84" i="6" s="1"/>
  <c r="Y84" i="6" s="1"/>
  <c r="B67" i="18" s="1"/>
  <c r="Q67" i="18" s="1"/>
  <c r="M81" i="22"/>
  <c r="M82" i="20"/>
  <c r="T336" i="6"/>
  <c r="Y336" i="6" s="1"/>
  <c r="J68" i="19" s="1"/>
  <c r="N90" i="6"/>
  <c r="T90" i="6" s="1"/>
  <c r="Y90" i="6" s="1"/>
  <c r="B73" i="18" s="1"/>
  <c r="Q73" i="18" s="1"/>
  <c r="M87" i="22"/>
  <c r="Q87" i="22" s="1"/>
  <c r="V87" i="22" s="1"/>
  <c r="M88" i="20"/>
  <c r="M190" i="4"/>
  <c r="Q190" i="4" s="1"/>
  <c r="V190" i="4" s="1"/>
  <c r="F44" i="18" s="1"/>
  <c r="U44" i="18" s="1"/>
  <c r="M183" i="22"/>
  <c r="M184" i="20"/>
  <c r="T137" i="6"/>
  <c r="Y137" i="6" s="1"/>
  <c r="D70" i="18" s="1"/>
  <c r="S70" i="18" s="1"/>
  <c r="Y70" i="18" s="1"/>
  <c r="T143" i="6"/>
  <c r="Y143" i="6" s="1"/>
  <c r="D76" i="18" s="1"/>
  <c r="S76" i="18" s="1"/>
  <c r="N361" i="6"/>
  <c r="T361" i="6" s="1"/>
  <c r="Y361" i="6" s="1"/>
  <c r="L68" i="19" s="1"/>
  <c r="M352" i="22"/>
  <c r="M353" i="20"/>
  <c r="Q87" i="4"/>
  <c r="V87" i="4" s="1"/>
  <c r="B41" i="18" s="1"/>
  <c r="T91" i="6"/>
  <c r="Y91" i="6" s="1"/>
  <c r="B74" i="18" s="1"/>
  <c r="Q74" i="18" s="1"/>
  <c r="T180" i="6"/>
  <c r="Y180" i="6" s="1"/>
  <c r="F63" i="18" s="1"/>
  <c r="U63" i="18" s="1"/>
  <c r="Q20" i="4"/>
  <c r="V20" i="4" s="1"/>
  <c r="B50" i="11" s="1"/>
  <c r="S50" i="11" s="1"/>
  <c r="T290" i="6"/>
  <c r="Y290" i="6" s="1"/>
  <c r="F72" i="19" s="1"/>
  <c r="Q185" i="4"/>
  <c r="V185" i="4" s="1"/>
  <c r="F39" i="18" s="1"/>
  <c r="U39" i="18" s="1"/>
  <c r="Q278" i="20"/>
  <c r="V278" i="20" s="1"/>
  <c r="Q223" i="20"/>
  <c r="V223" i="20" s="1"/>
  <c r="Q248" i="20"/>
  <c r="V248" i="20" s="1"/>
  <c r="Q306" i="22"/>
  <c r="V306" i="22" s="1"/>
  <c r="Q124" i="20"/>
  <c r="V124" i="20" s="1"/>
  <c r="Q196" i="22"/>
  <c r="V196" i="22" s="1"/>
  <c r="Q195" i="22"/>
  <c r="V195" i="22" s="1"/>
  <c r="Q57" i="20"/>
  <c r="V57" i="20" s="1"/>
  <c r="Q29" i="22"/>
  <c r="V29" i="22" s="1"/>
  <c r="Q47" i="20"/>
  <c r="V47" i="20" s="1"/>
  <c r="Q65" i="22"/>
  <c r="V65" i="22" s="1"/>
  <c r="Q314" i="20"/>
  <c r="V314" i="20" s="1"/>
  <c r="Q52" i="20"/>
  <c r="V52" i="20" s="1"/>
  <c r="Q174" i="20"/>
  <c r="V174" i="20" s="1"/>
  <c r="Q302" i="22"/>
  <c r="V302" i="22" s="1"/>
  <c r="Q290" i="20"/>
  <c r="V290" i="20" s="1"/>
  <c r="Q211" i="22"/>
  <c r="V211" i="22" s="1"/>
  <c r="Q348" i="20"/>
  <c r="V348" i="20" s="1"/>
  <c r="Q140" i="20"/>
  <c r="V140" i="20" s="1"/>
  <c r="Q198" i="20"/>
  <c r="V198" i="20" s="1"/>
  <c r="Q306" i="20"/>
  <c r="V306" i="20" s="1"/>
  <c r="Q329" i="20"/>
  <c r="V329" i="20" s="1"/>
  <c r="Q362" i="20"/>
  <c r="V362" i="20" s="1"/>
  <c r="Q285" i="22"/>
  <c r="V285" i="22" s="1"/>
  <c r="Q283" i="20"/>
  <c r="V283" i="20" s="1"/>
  <c r="Q314" i="22"/>
  <c r="V314" i="22" s="1"/>
  <c r="Q152" i="20"/>
  <c r="V152" i="20" s="1"/>
  <c r="Q20" i="22"/>
  <c r="V20" i="22" s="1"/>
  <c r="Q348" i="22"/>
  <c r="V348" i="22" s="1"/>
  <c r="Q281" i="20"/>
  <c r="V281" i="20" s="1"/>
  <c r="Q56" i="20"/>
  <c r="V56" i="20" s="1"/>
  <c r="Q281" i="22"/>
  <c r="V281" i="22" s="1"/>
  <c r="Q179" i="20"/>
  <c r="V179" i="20" s="1"/>
  <c r="Q327" i="22"/>
  <c r="V327" i="22" s="1"/>
  <c r="Q263" i="20"/>
  <c r="V263" i="20" s="1"/>
  <c r="Q325" i="22"/>
  <c r="V325" i="22" s="1"/>
  <c r="Q130" i="22"/>
  <c r="V130" i="22" s="1"/>
  <c r="Q322" i="22"/>
  <c r="V322" i="22" s="1"/>
  <c r="Q273" i="22"/>
  <c r="V273" i="22" s="1"/>
  <c r="Q220" i="22"/>
  <c r="V220" i="22" s="1"/>
  <c r="Q329" i="22"/>
  <c r="V329" i="22" s="1"/>
  <c r="Q205" i="22"/>
  <c r="V205" i="22" s="1"/>
  <c r="Q108" i="20"/>
  <c r="V108" i="20" s="1"/>
  <c r="Q53" i="22"/>
  <c r="V53" i="22" s="1"/>
  <c r="Q72" i="20"/>
  <c r="V72" i="20" s="1"/>
  <c r="Q117" i="22"/>
  <c r="V117" i="22" s="1"/>
  <c r="Q338" i="20"/>
  <c r="V338" i="20" s="1"/>
  <c r="Q111" i="20"/>
  <c r="V111" i="20" s="1"/>
  <c r="Q9" i="4"/>
  <c r="V9" i="4" s="1"/>
  <c r="B39" i="11" s="1"/>
  <c r="S39" i="11" s="1"/>
  <c r="Q19" i="4"/>
  <c r="V19" i="4" s="1"/>
  <c r="B49" i="11" s="1"/>
  <c r="S49" i="11" s="1"/>
  <c r="T11" i="6"/>
  <c r="Y11" i="6" s="1"/>
  <c r="B70" i="11" s="1"/>
  <c r="S70" i="11" s="1"/>
  <c r="Q88" i="2"/>
  <c r="R88" i="2" s="1"/>
  <c r="N86" i="22"/>
  <c r="N87" i="20"/>
  <c r="Q7" i="2"/>
  <c r="R7" i="2" s="1"/>
  <c r="N8" i="22"/>
  <c r="N8" i="20"/>
  <c r="Q308" i="2"/>
  <c r="R308" i="2" s="1"/>
  <c r="N300" i="22"/>
  <c r="N301" i="20"/>
  <c r="Q191" i="2"/>
  <c r="R191" i="2" s="1"/>
  <c r="N185" i="22"/>
  <c r="R185" i="22" s="1"/>
  <c r="N186" i="20"/>
  <c r="R186" i="20" s="1"/>
  <c r="Q190" i="2"/>
  <c r="R190" i="2" s="1"/>
  <c r="N184" i="22"/>
  <c r="R184" i="22" s="1"/>
  <c r="N185" i="20"/>
  <c r="R185" i="20" s="1"/>
  <c r="Q234" i="2"/>
  <c r="R234" i="2" s="1"/>
  <c r="N226" i="22"/>
  <c r="N227" i="20"/>
  <c r="Q240" i="2"/>
  <c r="R240" i="2" s="1"/>
  <c r="N232" i="22"/>
  <c r="N233" i="20"/>
  <c r="Q202" i="2"/>
  <c r="R202" i="2" s="1"/>
  <c r="N195" i="22"/>
  <c r="R195" i="22" s="1"/>
  <c r="N196" i="20"/>
  <c r="R196" i="20" s="1"/>
  <c r="Q342" i="2"/>
  <c r="R342" i="2" s="1"/>
  <c r="N334" i="22"/>
  <c r="N335" i="20"/>
  <c r="Q108" i="2"/>
  <c r="R108" i="2" s="1"/>
  <c r="N105" i="22"/>
  <c r="N106" i="20"/>
  <c r="Q67" i="2"/>
  <c r="R67" i="2" s="1"/>
  <c r="N66" i="22"/>
  <c r="N67" i="20"/>
  <c r="Q28" i="2"/>
  <c r="R28" i="2" s="1"/>
  <c r="N28" i="22"/>
  <c r="R28" i="22" s="1"/>
  <c r="R29" i="20"/>
  <c r="Q14" i="2"/>
  <c r="R14" i="2" s="1"/>
  <c r="N15" i="22"/>
  <c r="R15" i="22" s="1"/>
  <c r="N15" i="20"/>
  <c r="R15" i="20" s="1"/>
  <c r="Q304" i="2"/>
  <c r="R304" i="2" s="1"/>
  <c r="N296" i="22"/>
  <c r="N297" i="20"/>
  <c r="Q9" i="2"/>
  <c r="R9" i="2" s="1"/>
  <c r="N10" i="22"/>
  <c r="N10" i="20"/>
  <c r="Q38" i="2"/>
  <c r="R38" i="2" s="1"/>
  <c r="N38" i="22"/>
  <c r="Q165" i="2"/>
  <c r="R165" i="2" s="1"/>
  <c r="N160" i="22"/>
  <c r="R160" i="22" s="1"/>
  <c r="N161" i="20"/>
  <c r="R161" i="20" s="1"/>
  <c r="Q171" i="2"/>
  <c r="R171" i="2" s="1"/>
  <c r="N166" i="22"/>
  <c r="R166" i="22" s="1"/>
  <c r="N167" i="20"/>
  <c r="R167" i="20" s="1"/>
  <c r="Q119" i="2"/>
  <c r="R119" i="2" s="1"/>
  <c r="N116" i="22"/>
  <c r="N117" i="20"/>
  <c r="Q181" i="2"/>
  <c r="R181" i="2" s="1"/>
  <c r="N175" i="22"/>
  <c r="N176" i="20"/>
  <c r="Q269" i="2"/>
  <c r="R269" i="2" s="1"/>
  <c r="N261" i="22"/>
  <c r="N262" i="20"/>
  <c r="Q319" i="2"/>
  <c r="R319" i="2" s="1"/>
  <c r="N311" i="22"/>
  <c r="N312" i="20"/>
  <c r="Q60" i="2"/>
  <c r="R60" i="2" s="1"/>
  <c r="N59" i="22"/>
  <c r="N60" i="20"/>
  <c r="Q177" i="2"/>
  <c r="R177" i="2" s="1"/>
  <c r="N171" i="22"/>
  <c r="R171" i="22" s="1"/>
  <c r="N172" i="20"/>
  <c r="R172" i="20" s="1"/>
  <c r="Q154" i="2"/>
  <c r="R154" i="2" s="1"/>
  <c r="N149" i="22"/>
  <c r="R149" i="22" s="1"/>
  <c r="N150" i="20"/>
  <c r="R150" i="20" s="1"/>
  <c r="Q20" i="2"/>
  <c r="R20" i="2" s="1"/>
  <c r="N21" i="22"/>
  <c r="N21" i="20"/>
  <c r="Q47" i="2"/>
  <c r="R47" i="2" s="1"/>
  <c r="N47" i="22"/>
  <c r="Q102" i="2"/>
  <c r="R102" i="2" s="1"/>
  <c r="N99" i="22"/>
  <c r="N100" i="20"/>
  <c r="Q286" i="2"/>
  <c r="R286" i="2" s="1"/>
  <c r="N278" i="22"/>
  <c r="N279" i="20"/>
  <c r="Q336" i="2"/>
  <c r="R336" i="2" s="1"/>
  <c r="N328" i="22"/>
  <c r="N329" i="20"/>
  <c r="Q221" i="2"/>
  <c r="R221" i="2" s="1"/>
  <c r="N214" i="22"/>
  <c r="R214" i="22" s="1"/>
  <c r="N215" i="20"/>
  <c r="R215" i="20" s="1"/>
  <c r="Q184" i="2"/>
  <c r="R184" i="2" s="1"/>
  <c r="N178" i="22"/>
  <c r="R178" i="22" s="1"/>
  <c r="N179" i="20"/>
  <c r="R179" i="20" s="1"/>
  <c r="Q297" i="2"/>
  <c r="R297" i="2" s="1"/>
  <c r="N289" i="22"/>
  <c r="N290" i="20"/>
  <c r="Q258" i="2"/>
  <c r="R258" i="2" s="1"/>
  <c r="N250" i="22"/>
  <c r="N251" i="20"/>
  <c r="Q65" i="2"/>
  <c r="R65" i="2" s="1"/>
  <c r="N64" i="22"/>
  <c r="R64" i="22" s="1"/>
  <c r="N65" i="20"/>
  <c r="R65" i="20" s="1"/>
  <c r="Q168" i="2"/>
  <c r="R168" i="2" s="1"/>
  <c r="N163" i="22"/>
  <c r="N164" i="20"/>
  <c r="Q303" i="2"/>
  <c r="R303" i="2" s="1"/>
  <c r="N295" i="22"/>
  <c r="N296" i="20"/>
  <c r="Q97" i="2"/>
  <c r="R97" i="2" s="1"/>
  <c r="N95" i="22"/>
  <c r="N96" i="20"/>
  <c r="Q263" i="2"/>
  <c r="R263" i="2" s="1"/>
  <c r="N255" i="22"/>
  <c r="N256" i="20"/>
  <c r="Q63" i="2"/>
  <c r="R63" i="2" s="1"/>
  <c r="N62" i="22"/>
  <c r="N63" i="20"/>
  <c r="Q322" i="2"/>
  <c r="R322" i="2" s="1"/>
  <c r="N314" i="22"/>
  <c r="N315" i="20"/>
  <c r="M106" i="22"/>
  <c r="Q106" i="22" s="1"/>
  <c r="V106" i="22" s="1"/>
  <c r="M107" i="20"/>
  <c r="M283" i="22"/>
  <c r="M284" i="20"/>
  <c r="M62" i="4"/>
  <c r="Q62" i="4" s="1"/>
  <c r="V62" i="4" s="1"/>
  <c r="J42" i="11" s="1"/>
  <c r="AA42" i="11" s="1"/>
  <c r="M60" i="22"/>
  <c r="M61" i="20"/>
  <c r="M321" i="4"/>
  <c r="Q321" i="4" s="1"/>
  <c r="V321" i="4" s="1"/>
  <c r="H50" i="19" s="1"/>
  <c r="N50" i="19" s="1"/>
  <c r="M312" i="22"/>
  <c r="M313" i="20"/>
  <c r="M59" i="22"/>
  <c r="M60" i="20"/>
  <c r="M9" i="22"/>
  <c r="M9" i="20"/>
  <c r="M18" i="4"/>
  <c r="M18" i="22"/>
  <c r="M18" i="20"/>
  <c r="Q18" i="20" s="1"/>
  <c r="V18" i="20" s="1"/>
  <c r="M11" i="4"/>
  <c r="M11" i="22"/>
  <c r="M11" i="20"/>
  <c r="M13" i="22"/>
  <c r="M13" i="20"/>
  <c r="M233" i="22"/>
  <c r="M234" i="20"/>
  <c r="T365" i="6"/>
  <c r="Y365" i="6" s="1"/>
  <c r="L72" i="19" s="1"/>
  <c r="Q219" i="4"/>
  <c r="V219" i="4" s="1"/>
  <c r="H48" i="18" s="1"/>
  <c r="M353" i="4"/>
  <c r="Q353" i="4" s="1"/>
  <c r="V353" i="4" s="1"/>
  <c r="L32" i="19" s="1"/>
  <c r="M344" i="22"/>
  <c r="M345" i="20"/>
  <c r="M134" i="4"/>
  <c r="Q134" i="4" s="1"/>
  <c r="V134" i="4" s="1"/>
  <c r="D38" i="18" s="1"/>
  <c r="S38" i="18" s="1"/>
  <c r="M129" i="22"/>
  <c r="M130" i="20"/>
  <c r="Q357" i="4"/>
  <c r="V357" i="4" s="1"/>
  <c r="L36" i="19" s="1"/>
  <c r="T339" i="6"/>
  <c r="Y339" i="6" s="1"/>
  <c r="J71" i="19" s="1"/>
  <c r="T283" i="6"/>
  <c r="Y283" i="6" s="1"/>
  <c r="F65" i="19" s="1"/>
  <c r="Q277" i="22"/>
  <c r="V277" i="22" s="1"/>
  <c r="Q222" i="22"/>
  <c r="V222" i="22" s="1"/>
  <c r="Q247" i="22"/>
  <c r="V247" i="22" s="1"/>
  <c r="Q201" i="20"/>
  <c r="V201" i="20" s="1"/>
  <c r="Q123" i="22"/>
  <c r="V123" i="22" s="1"/>
  <c r="Q320" i="20"/>
  <c r="V320" i="20" s="1"/>
  <c r="Q134" i="20"/>
  <c r="V134" i="20" s="1"/>
  <c r="Q56" i="22"/>
  <c r="V56" i="22" s="1"/>
  <c r="Q14" i="20"/>
  <c r="V14" i="20" s="1"/>
  <c r="Q46" i="22"/>
  <c r="V46" i="22" s="1"/>
  <c r="Q309" i="20"/>
  <c r="V309" i="20" s="1"/>
  <c r="Q313" i="22"/>
  <c r="V313" i="22" s="1"/>
  <c r="Q38" i="20"/>
  <c r="V38" i="20" s="1"/>
  <c r="Q273" i="20"/>
  <c r="V273" i="20" s="1"/>
  <c r="S16" i="20"/>
  <c r="T16" i="20" s="1"/>
  <c r="W16" i="20"/>
  <c r="X16" i="20" s="1"/>
  <c r="Y16" i="20" s="1"/>
  <c r="Q51" i="22"/>
  <c r="V51" i="22" s="1"/>
  <c r="Q173" i="22"/>
  <c r="V173" i="22" s="1"/>
  <c r="Q250" i="20"/>
  <c r="V250" i="20" s="1"/>
  <c r="Q289" i="22"/>
  <c r="V289" i="22" s="1"/>
  <c r="Q354" i="20"/>
  <c r="V354" i="20" s="1"/>
  <c r="Q91" i="20"/>
  <c r="V91" i="20" s="1"/>
  <c r="Q347" i="22"/>
  <c r="V347" i="22" s="1"/>
  <c r="Q139" i="22"/>
  <c r="V139" i="22" s="1"/>
  <c r="Q197" i="22"/>
  <c r="V197" i="22" s="1"/>
  <c r="Q305" i="22"/>
  <c r="V305" i="22" s="1"/>
  <c r="Q328" i="22"/>
  <c r="V328" i="22" s="1"/>
  <c r="Q361" i="22"/>
  <c r="V361" i="22" s="1"/>
  <c r="Q308" i="20"/>
  <c r="V308" i="20" s="1"/>
  <c r="Q282" i="22"/>
  <c r="V282" i="22" s="1"/>
  <c r="Q119" i="20"/>
  <c r="V119" i="20" s="1"/>
  <c r="Q151" i="22"/>
  <c r="V151" i="22" s="1"/>
  <c r="Q287" i="20"/>
  <c r="V287" i="20" s="1"/>
  <c r="Q200" i="20"/>
  <c r="V200" i="20" s="1"/>
  <c r="Q280" i="22"/>
  <c r="V280" i="22" s="1"/>
  <c r="Q172" i="20"/>
  <c r="V172" i="20" s="1"/>
  <c r="Q55" i="22"/>
  <c r="V55" i="22" s="1"/>
  <c r="Q178" i="22"/>
  <c r="V178" i="22" s="1"/>
  <c r="Q102" i="20"/>
  <c r="V102" i="20" s="1"/>
  <c r="Q262" i="22"/>
  <c r="V262" i="22" s="1"/>
  <c r="Q302" i="20"/>
  <c r="V302" i="20" s="1"/>
  <c r="Q249" i="20"/>
  <c r="V249" i="20" s="1"/>
  <c r="Q298" i="20"/>
  <c r="V298" i="20" s="1"/>
  <c r="Q272" i="20"/>
  <c r="V272" i="20" s="1"/>
  <c r="Q135" i="20"/>
  <c r="V135" i="20" s="1"/>
  <c r="Q270" i="20"/>
  <c r="V270" i="20" s="1"/>
  <c r="Q213" i="20"/>
  <c r="V213" i="20" s="1"/>
  <c r="Q107" i="22"/>
  <c r="V107" i="22" s="1"/>
  <c r="Q31" i="20"/>
  <c r="V31" i="20" s="1"/>
  <c r="Q71" i="22"/>
  <c r="V71" i="22" s="1"/>
  <c r="Q359" i="20"/>
  <c r="V359" i="20" s="1"/>
  <c r="Q337" i="22"/>
  <c r="V337" i="22" s="1"/>
  <c r="Q65" i="20"/>
  <c r="V65" i="20" s="1"/>
  <c r="Q265" i="2"/>
  <c r="R265" i="2" s="1"/>
  <c r="N257" i="22"/>
  <c r="N258" i="20"/>
  <c r="Q229" i="2"/>
  <c r="R229" i="2" s="1"/>
  <c r="N221" i="22"/>
  <c r="N222" i="20"/>
  <c r="Q94" i="2"/>
  <c r="R94" i="2" s="1"/>
  <c r="N92" i="22"/>
  <c r="N93" i="20"/>
  <c r="Q335" i="2"/>
  <c r="R335" i="2" s="1"/>
  <c r="N327" i="22"/>
  <c r="N328" i="20"/>
  <c r="Q21" i="2"/>
  <c r="R21" i="2" s="1"/>
  <c r="N22" i="22"/>
  <c r="R22" i="22" s="1"/>
  <c r="N22" i="20"/>
  <c r="R22" i="20" s="1"/>
  <c r="Q31" i="2"/>
  <c r="R31" i="2" s="1"/>
  <c r="N31" i="22"/>
  <c r="Q182" i="2"/>
  <c r="R182" i="2" s="1"/>
  <c r="N176" i="22"/>
  <c r="R176" i="22" s="1"/>
  <c r="N177" i="20"/>
  <c r="R177" i="20" s="1"/>
  <c r="Q95" i="2"/>
  <c r="R95" i="2" s="1"/>
  <c r="N93" i="22"/>
  <c r="N94" i="20"/>
  <c r="Q334" i="2"/>
  <c r="R334" i="2" s="1"/>
  <c r="N326" i="22"/>
  <c r="N327" i="20"/>
  <c r="Q128" i="2"/>
  <c r="R128" i="2" s="1"/>
  <c r="N124" i="22"/>
  <c r="R124" i="22" s="1"/>
  <c r="N125" i="20"/>
  <c r="R125" i="20" s="1"/>
  <c r="Q257" i="2"/>
  <c r="R257" i="2" s="1"/>
  <c r="N249" i="22"/>
  <c r="N250" i="20"/>
  <c r="Q285" i="2"/>
  <c r="R285" i="2" s="1"/>
  <c r="N277" i="22"/>
  <c r="N278" i="20"/>
  <c r="Q267" i="2"/>
  <c r="R267" i="2" s="1"/>
  <c r="N259" i="22"/>
  <c r="N260" i="20"/>
  <c r="Q39" i="2"/>
  <c r="R39" i="2" s="1"/>
  <c r="N39" i="22"/>
  <c r="Q178" i="2"/>
  <c r="R178" i="2" s="1"/>
  <c r="N172" i="22"/>
  <c r="R172" i="22" s="1"/>
  <c r="N173" i="20"/>
  <c r="R173" i="20" s="1"/>
  <c r="Q209" i="2"/>
  <c r="R209" i="2" s="1"/>
  <c r="N202" i="22"/>
  <c r="N203" i="20"/>
  <c r="Q231" i="2"/>
  <c r="R231" i="2" s="1"/>
  <c r="N223" i="22"/>
  <c r="N224" i="20"/>
  <c r="Q193" i="2"/>
  <c r="R193" i="2" s="1"/>
  <c r="N187" i="22"/>
  <c r="R187" i="22" s="1"/>
  <c r="N188" i="20"/>
  <c r="R188" i="20" s="1"/>
  <c r="Q353" i="2"/>
  <c r="R353" i="2" s="1"/>
  <c r="N345" i="22"/>
  <c r="N346" i="20"/>
  <c r="Q83" i="2"/>
  <c r="R83" i="2" s="1"/>
  <c r="N81" i="22"/>
  <c r="N82" i="20"/>
  <c r="Q208" i="2"/>
  <c r="R208" i="2" s="1"/>
  <c r="N201" i="22"/>
  <c r="N202" i="20"/>
  <c r="Q59" i="2"/>
  <c r="R59" i="2" s="1"/>
  <c r="N58" i="22"/>
  <c r="N59" i="20"/>
  <c r="Q318" i="2"/>
  <c r="R318" i="2" s="1"/>
  <c r="N310" i="22"/>
  <c r="N311" i="20"/>
  <c r="Q22" i="2"/>
  <c r="R22" i="2" s="1"/>
  <c r="N23" i="22"/>
  <c r="R23" i="22" s="1"/>
  <c r="N23" i="20"/>
  <c r="R23" i="20" s="1"/>
  <c r="Q330" i="2"/>
  <c r="R330" i="2" s="1"/>
  <c r="N322" i="22"/>
  <c r="N323" i="20"/>
  <c r="Q146" i="2"/>
  <c r="R146" i="2" s="1"/>
  <c r="N142" i="22"/>
  <c r="R142" i="22" s="1"/>
  <c r="N143" i="20"/>
  <c r="R143" i="20" s="1"/>
  <c r="Q370" i="2"/>
  <c r="R370" i="2" s="1"/>
  <c r="N362" i="22"/>
  <c r="N363" i="20"/>
  <c r="Q356" i="2"/>
  <c r="R356" i="2" s="1"/>
  <c r="N348" i="22"/>
  <c r="N349" i="20"/>
  <c r="Q261" i="2"/>
  <c r="R261" i="2" s="1"/>
  <c r="N253" i="22"/>
  <c r="N254" i="20"/>
  <c r="Q10" i="2"/>
  <c r="R10" i="2" s="1"/>
  <c r="N11" i="22"/>
  <c r="N11" i="20"/>
  <c r="Q244" i="2"/>
  <c r="R244" i="2" s="1"/>
  <c r="N236" i="22"/>
  <c r="N237" i="20"/>
  <c r="Q57" i="2"/>
  <c r="R57" i="2" s="1"/>
  <c r="N56" i="22"/>
  <c r="R56" i="22" s="1"/>
  <c r="R57" i="20"/>
  <c r="Q363" i="2"/>
  <c r="R363" i="2" s="1"/>
  <c r="N355" i="22"/>
  <c r="N356" i="20"/>
  <c r="Q270" i="2"/>
  <c r="R270" i="2" s="1"/>
  <c r="N262" i="22"/>
  <c r="N263" i="20"/>
  <c r="Q106" i="2"/>
  <c r="R106" i="2" s="1"/>
  <c r="N103" i="22"/>
  <c r="R103" i="22" s="1"/>
  <c r="N104" i="20"/>
  <c r="R104" i="20" s="1"/>
  <c r="Q157" i="2"/>
  <c r="R157" i="2" s="1"/>
  <c r="N152" i="22"/>
  <c r="R152" i="22" s="1"/>
  <c r="N153" i="20"/>
  <c r="R153" i="20" s="1"/>
  <c r="Q179" i="2"/>
  <c r="R179" i="2" s="1"/>
  <c r="N173" i="22"/>
  <c r="R173" i="22" s="1"/>
  <c r="N174" i="20"/>
  <c r="R174" i="20" s="1"/>
  <c r="Q253" i="2"/>
  <c r="R253" i="2" s="1"/>
  <c r="N245" i="22"/>
  <c r="N246" i="20"/>
  <c r="Q281" i="2"/>
  <c r="R281" i="2" s="1"/>
  <c r="N273" i="22"/>
  <c r="N274" i="20"/>
  <c r="Q206" i="2"/>
  <c r="R206" i="2" s="1"/>
  <c r="N199" i="22"/>
  <c r="R199" i="22" s="1"/>
  <c r="N200" i="20"/>
  <c r="R200" i="20" s="1"/>
  <c r="Q207" i="2"/>
  <c r="R207" i="2" s="1"/>
  <c r="N200" i="22"/>
  <c r="R200" i="22" s="1"/>
  <c r="N201" i="20"/>
  <c r="R201" i="20" s="1"/>
  <c r="Q316" i="2"/>
  <c r="R316" i="2" s="1"/>
  <c r="N308" i="22"/>
  <c r="N309" i="20"/>
  <c r="Q78" i="2"/>
  <c r="R78" i="2" s="1"/>
  <c r="N76" i="22"/>
  <c r="Q81" i="2"/>
  <c r="R81" i="2" s="1"/>
  <c r="N79" i="22"/>
  <c r="N80" i="20"/>
  <c r="Q364" i="2"/>
  <c r="R364" i="2" s="1"/>
  <c r="N356" i="22"/>
  <c r="N357" i="20"/>
  <c r="Q211" i="2"/>
  <c r="R211" i="2" s="1"/>
  <c r="N204" i="22"/>
  <c r="R204" i="22" s="1"/>
  <c r="N205" i="20"/>
  <c r="R205" i="20" s="1"/>
  <c r="Q110" i="2"/>
  <c r="R110" i="2" s="1"/>
  <c r="N107" i="22"/>
  <c r="R107" i="22" s="1"/>
  <c r="N108" i="20"/>
  <c r="R108" i="20" s="1"/>
  <c r="M161" i="4"/>
  <c r="Q161" i="4" s="1"/>
  <c r="V161" i="4" s="1"/>
  <c r="F41" i="11" s="1"/>
  <c r="W41" i="11" s="1"/>
  <c r="M155" i="22"/>
  <c r="M156" i="20"/>
  <c r="M42" i="4"/>
  <c r="Q42" i="4" s="1"/>
  <c r="V42" i="4" s="1"/>
  <c r="H47" i="11" s="1"/>
  <c r="Y47" i="11" s="1"/>
  <c r="M41" i="22"/>
  <c r="Q347" i="4"/>
  <c r="V347" i="4" s="1"/>
  <c r="J51" i="19" s="1"/>
  <c r="N348" i="6"/>
  <c r="T348" i="6" s="1"/>
  <c r="Y348" i="6" s="1"/>
  <c r="J80" i="19" s="1"/>
  <c r="M339" i="22"/>
  <c r="M340" i="20"/>
  <c r="N368" i="6"/>
  <c r="T368" i="6" s="1"/>
  <c r="Y368" i="6" s="1"/>
  <c r="L75" i="19" s="1"/>
  <c r="M359" i="22"/>
  <c r="M360" i="20"/>
  <c r="N34" i="6"/>
  <c r="T34" i="6" s="1"/>
  <c r="M33" i="22"/>
  <c r="Q67" i="4"/>
  <c r="V67" i="4" s="1"/>
  <c r="J47" i="11" s="1"/>
  <c r="AA47" i="11" s="1"/>
  <c r="N97" i="6"/>
  <c r="T97" i="6" s="1"/>
  <c r="Y97" i="6" s="1"/>
  <c r="B80" i="18" s="1"/>
  <c r="Q80" i="18" s="1"/>
  <c r="M94" i="22"/>
  <c r="M95" i="20"/>
  <c r="M209" i="4"/>
  <c r="Q209" i="4" s="1"/>
  <c r="V209" i="4" s="1"/>
  <c r="H38" i="18" s="1"/>
  <c r="W38" i="18" s="1"/>
  <c r="M201" i="22"/>
  <c r="M202" i="20"/>
  <c r="M313" i="4"/>
  <c r="Q313" i="4" s="1"/>
  <c r="V313" i="4" s="1"/>
  <c r="H42" i="19" s="1"/>
  <c r="N42" i="19" s="1"/>
  <c r="M304" i="22"/>
  <c r="M305" i="20"/>
  <c r="M98" i="4"/>
  <c r="Q98" i="4" s="1"/>
  <c r="V98" i="4" s="1"/>
  <c r="B52" i="18" s="1"/>
  <c r="Q52" i="18" s="1"/>
  <c r="M95" i="22"/>
  <c r="Q95" i="22" s="1"/>
  <c r="V95" i="22" s="1"/>
  <c r="M96" i="20"/>
  <c r="M92" i="4"/>
  <c r="Q92" i="4" s="1"/>
  <c r="V92" i="4" s="1"/>
  <c r="B46" i="18" s="1"/>
  <c r="Q46" i="18" s="1"/>
  <c r="M89" i="22"/>
  <c r="M90" i="20"/>
  <c r="M198" i="4"/>
  <c r="Q198" i="4" s="1"/>
  <c r="V198" i="4" s="1"/>
  <c r="F52" i="18" s="1"/>
  <c r="U52" i="18" s="1"/>
  <c r="M191" i="22"/>
  <c r="M192" i="20"/>
  <c r="M80" i="4"/>
  <c r="Q80" i="4" s="1"/>
  <c r="V80" i="4" s="1"/>
  <c r="B34" i="18" s="1"/>
  <c r="M77" i="22"/>
  <c r="M78" i="20"/>
  <c r="M83" i="4"/>
  <c r="Q83" i="4" s="1"/>
  <c r="V83" i="4" s="1"/>
  <c r="B37" i="18" s="1"/>
  <c r="Q37" i="18" s="1"/>
  <c r="M80" i="22"/>
  <c r="M81" i="20"/>
  <c r="M189" i="4"/>
  <c r="Q189" i="4" s="1"/>
  <c r="V189" i="4" s="1"/>
  <c r="F43" i="18" s="1"/>
  <c r="U43" i="18" s="1"/>
  <c r="M182" i="22"/>
  <c r="M183" i="20"/>
  <c r="N333" i="6"/>
  <c r="T333" i="6" s="1"/>
  <c r="Y333" i="6" s="1"/>
  <c r="J65" i="19" s="1"/>
  <c r="M324" i="22"/>
  <c r="M325" i="20"/>
  <c r="Q155" i="4"/>
  <c r="V155" i="4" s="1"/>
  <c r="F35" i="11" s="1"/>
  <c r="W35" i="11" s="1"/>
  <c r="Q205" i="20"/>
  <c r="V205" i="20" s="1"/>
  <c r="Q177" i="20"/>
  <c r="V177" i="20" s="1"/>
  <c r="Q200" i="22"/>
  <c r="V200" i="22" s="1"/>
  <c r="Q257" i="20"/>
  <c r="V257" i="20" s="1"/>
  <c r="Q319" i="22"/>
  <c r="V319" i="22" s="1"/>
  <c r="Q133" i="22"/>
  <c r="V133" i="22" s="1"/>
  <c r="Q92" i="20"/>
  <c r="V92" i="20" s="1"/>
  <c r="Q14" i="22"/>
  <c r="V14" i="22" s="1"/>
  <c r="Q335" i="20"/>
  <c r="V335" i="20" s="1"/>
  <c r="Q47" i="4"/>
  <c r="V47" i="4" s="1"/>
  <c r="H52" i="11" s="1"/>
  <c r="Y52" i="11" s="1"/>
  <c r="Q308" i="22"/>
  <c r="V308" i="22" s="1"/>
  <c r="Q259" i="20"/>
  <c r="V259" i="20" s="1"/>
  <c r="Q37" i="22"/>
  <c r="V37" i="22" s="1"/>
  <c r="Q22" i="4"/>
  <c r="V22" i="4" s="1"/>
  <c r="B52" i="11" s="1"/>
  <c r="S52" i="11" s="1"/>
  <c r="Q272" i="22"/>
  <c r="V272" i="22" s="1"/>
  <c r="Q180" i="20"/>
  <c r="V180" i="20" s="1"/>
  <c r="Q249" i="22"/>
  <c r="V249" i="22" s="1"/>
  <c r="Q143" i="20"/>
  <c r="V143" i="20" s="1"/>
  <c r="Q70" i="20"/>
  <c r="V70" i="20" s="1"/>
  <c r="Q353" i="22"/>
  <c r="V353" i="22" s="1"/>
  <c r="Q90" i="22"/>
  <c r="V90" i="22" s="1"/>
  <c r="Q139" i="20"/>
  <c r="V139" i="20" s="1"/>
  <c r="Q232" i="20"/>
  <c r="V232" i="20" s="1"/>
  <c r="Q347" i="20"/>
  <c r="V347" i="20" s="1"/>
  <c r="Q76" i="20"/>
  <c r="V76" i="20" s="1"/>
  <c r="R76" i="20"/>
  <c r="Q230" i="20"/>
  <c r="V230" i="20" s="1"/>
  <c r="Q229" i="20"/>
  <c r="V229" i="20" s="1"/>
  <c r="Q307" i="22"/>
  <c r="V307" i="22" s="1"/>
  <c r="Q150" i="20"/>
  <c r="V150" i="20" s="1"/>
  <c r="Q167" i="20"/>
  <c r="V167" i="20" s="1"/>
  <c r="Q286" i="22"/>
  <c r="V286" i="22" s="1"/>
  <c r="Q199" i="22"/>
  <c r="V199" i="22" s="1"/>
  <c r="Q222" i="20"/>
  <c r="V222" i="20" s="1"/>
  <c r="Q171" i="22"/>
  <c r="V171" i="22" s="1"/>
  <c r="Q153" i="20"/>
  <c r="V153" i="20" s="1"/>
  <c r="T244" i="6"/>
  <c r="Y244" i="6" s="1"/>
  <c r="B76" i="19" s="1"/>
  <c r="S3" i="22"/>
  <c r="T3" i="22" s="1"/>
  <c r="W3" i="22"/>
  <c r="X3" i="22" s="1"/>
  <c r="Y3" i="22" s="1"/>
  <c r="Q275" i="20"/>
  <c r="V275" i="20" s="1"/>
  <c r="Q101" i="22"/>
  <c r="V101" i="22" s="1"/>
  <c r="Q301" i="22"/>
  <c r="V301" i="22" s="1"/>
  <c r="Q248" i="22"/>
  <c r="V248" i="22" s="1"/>
  <c r="Q297" i="22"/>
  <c r="V297" i="22" s="1"/>
  <c r="Q271" i="22"/>
  <c r="V271" i="22" s="1"/>
  <c r="Q134" i="22"/>
  <c r="V134" i="22" s="1"/>
  <c r="Q269" i="22"/>
  <c r="V269" i="22" s="1"/>
  <c r="Q212" i="22"/>
  <c r="V212" i="22" s="1"/>
  <c r="Q133" i="20"/>
  <c r="V133" i="20" s="1"/>
  <c r="Q30" i="22"/>
  <c r="V30" i="22" s="1"/>
  <c r="Q64" i="20"/>
  <c r="V64" i="20" s="1"/>
  <c r="Q358" i="22"/>
  <c r="V358" i="22" s="1"/>
  <c r="Q336" i="20"/>
  <c r="V336" i="20" s="1"/>
  <c r="Q64" i="22"/>
  <c r="V64" i="22" s="1"/>
  <c r="W3" i="4"/>
  <c r="C33" i="11" s="1"/>
  <c r="T33" i="11" s="1"/>
  <c r="Q337" i="2"/>
  <c r="R337" i="2" s="1"/>
  <c r="N329" i="22"/>
  <c r="N330" i="20"/>
  <c r="Q40" i="2"/>
  <c r="R40" i="2" s="1"/>
  <c r="N40" i="22"/>
  <c r="Q352" i="2"/>
  <c r="R352" i="2" s="1"/>
  <c r="N344" i="22"/>
  <c r="N345" i="20"/>
  <c r="Q156" i="2"/>
  <c r="R156" i="2" s="1"/>
  <c r="N151" i="22"/>
  <c r="R151" i="22" s="1"/>
  <c r="N152" i="20"/>
  <c r="R152" i="20" s="1"/>
  <c r="Q369" i="2"/>
  <c r="R369" i="2" s="1"/>
  <c r="N361" i="22"/>
  <c r="N362" i="20"/>
  <c r="Q6" i="2"/>
  <c r="R6" i="2" s="1"/>
  <c r="N7" i="22"/>
  <c r="R7" i="22" s="1"/>
  <c r="N7" i="20"/>
  <c r="R7" i="20" s="1"/>
  <c r="Q327" i="2"/>
  <c r="R327" i="2" s="1"/>
  <c r="N319" i="22"/>
  <c r="N320" i="20"/>
  <c r="Q245" i="2"/>
  <c r="R245" i="2" s="1"/>
  <c r="N237" i="22"/>
  <c r="N238" i="20"/>
  <c r="Q186" i="2"/>
  <c r="R186" i="2" s="1"/>
  <c r="N180" i="22"/>
  <c r="R180" i="22" s="1"/>
  <c r="N181" i="20"/>
  <c r="R181" i="20" s="1"/>
  <c r="Q306" i="2"/>
  <c r="R306" i="2" s="1"/>
  <c r="N298" i="22"/>
  <c r="N299" i="20"/>
  <c r="Q16" i="2"/>
  <c r="R16" i="2" s="1"/>
  <c r="N17" i="22"/>
  <c r="N17" i="20"/>
  <c r="Q113" i="2"/>
  <c r="R113" i="2" s="1"/>
  <c r="N110" i="22"/>
  <c r="R110" i="22" s="1"/>
  <c r="N111" i="20"/>
  <c r="R111" i="20" s="1"/>
  <c r="Q127" i="2"/>
  <c r="R127" i="2" s="1"/>
  <c r="N123" i="22"/>
  <c r="R123" i="22" s="1"/>
  <c r="N124" i="20"/>
  <c r="R124" i="20" s="1"/>
  <c r="Q64" i="2"/>
  <c r="R64" i="2" s="1"/>
  <c r="N63" i="22"/>
  <c r="R63" i="22" s="1"/>
  <c r="N64" i="20"/>
  <c r="R64" i="20" s="1"/>
  <c r="Q160" i="2"/>
  <c r="R160" i="2" s="1"/>
  <c r="N155" i="22"/>
  <c r="N156" i="20"/>
  <c r="Q346" i="2"/>
  <c r="R346" i="2" s="1"/>
  <c r="N338" i="22"/>
  <c r="N339" i="20"/>
  <c r="Q315" i="2"/>
  <c r="R315" i="2" s="1"/>
  <c r="N307" i="22"/>
  <c r="N308" i="20"/>
  <c r="Q277" i="2"/>
  <c r="R277" i="2" s="1"/>
  <c r="N269" i="22"/>
  <c r="N270" i="20"/>
  <c r="Q256" i="2"/>
  <c r="R256" i="2" s="1"/>
  <c r="N248" i="22"/>
  <c r="N249" i="20"/>
  <c r="Q158" i="2"/>
  <c r="R158" i="2" s="1"/>
  <c r="N153" i="22"/>
  <c r="R153" i="22" s="1"/>
  <c r="N154" i="20"/>
  <c r="R154" i="20" s="1"/>
  <c r="Q139" i="2"/>
  <c r="R139" i="2" s="1"/>
  <c r="N135" i="22"/>
  <c r="R135" i="22" s="1"/>
  <c r="N136" i="20"/>
  <c r="R136" i="20" s="1"/>
  <c r="Q159" i="2"/>
  <c r="R159" i="2" s="1"/>
  <c r="N154" i="22"/>
  <c r="R154" i="22" s="1"/>
  <c r="N155" i="20"/>
  <c r="R155" i="20" s="1"/>
  <c r="Q312" i="2"/>
  <c r="R312" i="2" s="1"/>
  <c r="N304" i="22"/>
  <c r="N305" i="20"/>
  <c r="Q189" i="2"/>
  <c r="R189" i="2" s="1"/>
  <c r="N183" i="22"/>
  <c r="N184" i="20"/>
  <c r="Q111" i="2"/>
  <c r="R111" i="2" s="1"/>
  <c r="N108" i="22"/>
  <c r="N109" i="20"/>
  <c r="Q72" i="2"/>
  <c r="R72" i="2" s="1"/>
  <c r="N71" i="22"/>
  <c r="R71" i="22" s="1"/>
  <c r="N72" i="20"/>
  <c r="R72" i="20" s="1"/>
  <c r="Q287" i="2"/>
  <c r="R287" i="2" s="1"/>
  <c r="N279" i="22"/>
  <c r="N280" i="20"/>
  <c r="Q237" i="2"/>
  <c r="R237" i="2" s="1"/>
  <c r="N229" i="22"/>
  <c r="N230" i="20"/>
  <c r="Q205" i="2"/>
  <c r="R205" i="2" s="1"/>
  <c r="N198" i="22"/>
  <c r="R198" i="22" s="1"/>
  <c r="N199" i="20"/>
  <c r="R199" i="20" s="1"/>
  <c r="Q271" i="2"/>
  <c r="R271" i="2" s="1"/>
  <c r="N263" i="22"/>
  <c r="N264" i="20"/>
  <c r="Q109" i="2"/>
  <c r="R109" i="2" s="1"/>
  <c r="N106" i="22"/>
  <c r="N107" i="20"/>
  <c r="Q362" i="2"/>
  <c r="R362" i="2" s="1"/>
  <c r="N354" i="22"/>
  <c r="N355" i="20"/>
  <c r="Q339" i="2"/>
  <c r="R339" i="2" s="1"/>
  <c r="N331" i="22"/>
  <c r="N332" i="20"/>
  <c r="Q129" i="2"/>
  <c r="R129" i="2" s="1"/>
  <c r="N125" i="22"/>
  <c r="R125" i="22" s="1"/>
  <c r="N126" i="20"/>
  <c r="R126" i="20" s="1"/>
  <c r="Q355" i="2"/>
  <c r="R355" i="2" s="1"/>
  <c r="N347" i="22"/>
  <c r="N348" i="20"/>
  <c r="Q135" i="2"/>
  <c r="R135" i="2" s="1"/>
  <c r="N131" i="22"/>
  <c r="R131" i="22" s="1"/>
  <c r="N132" i="20"/>
  <c r="R132" i="20" s="1"/>
  <c r="Q27" i="2"/>
  <c r="R27" i="2" s="1"/>
  <c r="N27" i="22"/>
  <c r="Q164" i="2"/>
  <c r="R164" i="2" s="1"/>
  <c r="N159" i="22"/>
  <c r="R159" i="22" s="1"/>
  <c r="N160" i="20"/>
  <c r="R160" i="20" s="1"/>
  <c r="M117" i="4"/>
  <c r="Q117" i="4" s="1"/>
  <c r="V117" i="4" s="1"/>
  <c r="D47" i="11" s="1"/>
  <c r="U47" i="11" s="1"/>
  <c r="M113" i="22"/>
  <c r="M114" i="20"/>
  <c r="M120" i="4"/>
  <c r="Q120" i="4" s="1"/>
  <c r="V120" i="4" s="1"/>
  <c r="D50" i="11" s="1"/>
  <c r="U50" i="11" s="1"/>
  <c r="M116" i="22"/>
  <c r="M117" i="20"/>
  <c r="M170" i="4"/>
  <c r="Q170" i="4" s="1"/>
  <c r="V170" i="4" s="1"/>
  <c r="F50" i="11" s="1"/>
  <c r="W50" i="11" s="1"/>
  <c r="M164" i="22"/>
  <c r="M165" i="20"/>
  <c r="M17" i="4"/>
  <c r="Q17" i="4" s="1"/>
  <c r="V17" i="4" s="1"/>
  <c r="B47" i="11" s="1"/>
  <c r="S47" i="11" s="1"/>
  <c r="M17" i="22"/>
  <c r="M17" i="20"/>
  <c r="T31" i="6"/>
  <c r="Y31" i="6" s="1"/>
  <c r="H65" i="11" s="1"/>
  <c r="Y65" i="11" s="1"/>
  <c r="M103" i="4"/>
  <c r="Q103" i="4" s="1"/>
  <c r="V103" i="4" s="1"/>
  <c r="D33" i="11" s="1"/>
  <c r="U33" i="11" s="1"/>
  <c r="M99" i="22"/>
  <c r="M100" i="20"/>
  <c r="Q100" i="20" s="1"/>
  <c r="V100" i="20" s="1"/>
  <c r="M56" i="4"/>
  <c r="Q56" i="4" s="1"/>
  <c r="V56" i="4" s="1"/>
  <c r="J36" i="11" s="1"/>
  <c r="M54" i="22"/>
  <c r="Q54" i="22" s="1"/>
  <c r="V54" i="22" s="1"/>
  <c r="M43" i="4"/>
  <c r="Q43" i="4" s="1"/>
  <c r="M42" i="22"/>
  <c r="N60" i="6"/>
  <c r="T60" i="6" s="1"/>
  <c r="M58" i="22"/>
  <c r="Q58" i="22" s="1"/>
  <c r="V58" i="22" s="1"/>
  <c r="M59" i="20"/>
  <c r="N153" i="6"/>
  <c r="T153" i="6" s="1"/>
  <c r="M147" i="22"/>
  <c r="M148" i="20"/>
  <c r="N32" i="6"/>
  <c r="T32" i="6" s="1"/>
  <c r="M31" i="22"/>
  <c r="M320" i="4"/>
  <c r="Q320" i="4" s="1"/>
  <c r="V320" i="4" s="1"/>
  <c r="H49" i="19" s="1"/>
  <c r="M311" i="22"/>
  <c r="Q311" i="22" s="1"/>
  <c r="V311" i="22" s="1"/>
  <c r="M312" i="20"/>
  <c r="T268" i="6"/>
  <c r="Y268" i="6" s="1"/>
  <c r="D75" i="19" s="1"/>
  <c r="T317" i="6"/>
  <c r="Y317" i="6" s="1"/>
  <c r="H74" i="19" s="1"/>
  <c r="Q163" i="4"/>
  <c r="V163" i="4" s="1"/>
  <c r="F43" i="11" s="1"/>
  <c r="W43" i="11" s="1"/>
  <c r="T264" i="6"/>
  <c r="Y264" i="6" s="1"/>
  <c r="D71" i="19" s="1"/>
  <c r="M182" i="4"/>
  <c r="Q182" i="4" s="1"/>
  <c r="V182" i="4" s="1"/>
  <c r="F36" i="18" s="1"/>
  <c r="U36" i="18" s="1"/>
  <c r="M175" i="22"/>
  <c r="Q175" i="22" s="1"/>
  <c r="V175" i="22" s="1"/>
  <c r="M176" i="20"/>
  <c r="N304" i="6"/>
  <c r="T304" i="6" s="1"/>
  <c r="Y304" i="6" s="1"/>
  <c r="H61" i="19" s="1"/>
  <c r="M295" i="22"/>
  <c r="M296" i="20"/>
  <c r="M285" i="4"/>
  <c r="Q285" i="4" s="1"/>
  <c r="V285" i="4" s="1"/>
  <c r="F39" i="19" s="1"/>
  <c r="M276" i="22"/>
  <c r="M277" i="20"/>
  <c r="Q267" i="4"/>
  <c r="V267" i="4" s="1"/>
  <c r="D46" i="19" s="1"/>
  <c r="T45" i="6"/>
  <c r="Y45" i="6" s="1"/>
  <c r="H79" i="11" s="1"/>
  <c r="Y79" i="11" s="1"/>
  <c r="T230" i="6"/>
  <c r="Y230" i="6" s="1"/>
  <c r="B62" i="19" s="1"/>
  <c r="S16" i="22"/>
  <c r="T16" i="22" s="1"/>
  <c r="W16" i="22"/>
  <c r="X16" i="22" s="1"/>
  <c r="Y16" i="22" s="1"/>
  <c r="Q176" i="22"/>
  <c r="V176" i="22" s="1"/>
  <c r="Q199" i="20"/>
  <c r="V199" i="20" s="1"/>
  <c r="Q256" i="22"/>
  <c r="V256" i="22" s="1"/>
  <c r="Q350" i="20"/>
  <c r="V350" i="20" s="1"/>
  <c r="Q355" i="20"/>
  <c r="V355" i="20" s="1"/>
  <c r="Q334" i="20"/>
  <c r="V334" i="20" s="1"/>
  <c r="Q14" i="4"/>
  <c r="V14" i="4" s="1"/>
  <c r="B44" i="11" s="1"/>
  <c r="S44" i="11" s="1"/>
  <c r="Q334" i="22"/>
  <c r="V334" i="22" s="1"/>
  <c r="Q158" i="20"/>
  <c r="V158" i="20" s="1"/>
  <c r="Q258" i="22"/>
  <c r="V258" i="22" s="1"/>
  <c r="Q311" i="20"/>
  <c r="V311" i="20" s="1"/>
  <c r="Q179" i="22"/>
  <c r="V179" i="22" s="1"/>
  <c r="Q331" i="20"/>
  <c r="V331" i="20" s="1"/>
  <c r="Q69" i="22"/>
  <c r="V69" i="22" s="1"/>
  <c r="Q138" i="22"/>
  <c r="V138" i="22" s="1"/>
  <c r="Q231" i="22"/>
  <c r="V231" i="22" s="1"/>
  <c r="Q346" i="22"/>
  <c r="V346" i="22" s="1"/>
  <c r="Q229" i="22"/>
  <c r="V229" i="22" s="1"/>
  <c r="Q228" i="22"/>
  <c r="V228" i="22" s="1"/>
  <c r="Q235" i="20"/>
  <c r="V235" i="20" s="1"/>
  <c r="Q120" i="20"/>
  <c r="V120" i="20" s="1"/>
  <c r="Q166" i="22"/>
  <c r="V166" i="22" s="1"/>
  <c r="Q239" i="20"/>
  <c r="V239" i="20" s="1"/>
  <c r="Q221" i="22"/>
  <c r="V221" i="22" s="1"/>
  <c r="Q173" i="20"/>
  <c r="V173" i="20" s="1"/>
  <c r="Q152" i="22"/>
  <c r="V152" i="22" s="1"/>
  <c r="Q274" i="22"/>
  <c r="V274" i="22" s="1"/>
  <c r="Q310" i="20"/>
  <c r="V310" i="20" s="1"/>
  <c r="Q289" i="20"/>
  <c r="V289" i="20" s="1"/>
  <c r="Q215" i="20"/>
  <c r="V215" i="20" s="1"/>
  <c r="Q187" i="20"/>
  <c r="V187" i="20" s="1"/>
  <c r="Q209" i="20"/>
  <c r="V209" i="20" s="1"/>
  <c r="Q321" i="20"/>
  <c r="V321" i="20" s="1"/>
  <c r="Q214" i="20"/>
  <c r="V214" i="20" s="1"/>
  <c r="Q207" i="20"/>
  <c r="V207" i="20" s="1"/>
  <c r="Q132" i="22"/>
  <c r="V132" i="22" s="1"/>
  <c r="Q358" i="20"/>
  <c r="V358" i="20" s="1"/>
  <c r="Q63" i="22"/>
  <c r="V63" i="22" s="1"/>
  <c r="Q168" i="20"/>
  <c r="V168" i="20" s="1"/>
  <c r="Q335" i="22"/>
  <c r="V335" i="22" s="1"/>
  <c r="Q337" i="20"/>
  <c r="V337" i="20" s="1"/>
  <c r="Q364" i="20"/>
  <c r="V364" i="20" s="1"/>
  <c r="J40" i="18"/>
  <c r="J32" i="18"/>
  <c r="N98" i="6"/>
  <c r="T98" i="6" s="1"/>
  <c r="Y98" i="6" s="1"/>
  <c r="B81" i="18" s="1"/>
  <c r="Q81" i="18" s="1"/>
  <c r="N96" i="6"/>
  <c r="T96" i="6" s="1"/>
  <c r="Y96" i="6" s="1"/>
  <c r="B79" i="18" s="1"/>
  <c r="Q79" i="18" s="1"/>
  <c r="Y79" i="18" s="1"/>
  <c r="N68" i="6"/>
  <c r="T68" i="6" s="1"/>
  <c r="M261" i="4"/>
  <c r="Q261" i="4" s="1"/>
  <c r="V261" i="4" s="1"/>
  <c r="D40" i="19" s="1"/>
  <c r="O160" i="6"/>
  <c r="V160" i="6" s="1"/>
  <c r="W160" i="6" s="1"/>
  <c r="N209" i="6"/>
  <c r="T209" i="6" s="1"/>
  <c r="Y209" i="6" s="1"/>
  <c r="H67" i="18" s="1"/>
  <c r="W67" i="18" s="1"/>
  <c r="N43" i="6"/>
  <c r="T43" i="6" s="1"/>
  <c r="Y43" i="6" s="1"/>
  <c r="H77" i="11" s="1"/>
  <c r="Y77" i="11" s="1"/>
  <c r="M60" i="4"/>
  <c r="Q60" i="4" s="1"/>
  <c r="V60" i="4" s="1"/>
  <c r="J40" i="11" s="1"/>
  <c r="AA40" i="11" s="1"/>
  <c r="M233" i="4"/>
  <c r="Q233" i="4" s="1"/>
  <c r="V233" i="4" s="1"/>
  <c r="B37" i="19" s="1"/>
  <c r="O130" i="6"/>
  <c r="V130" i="6" s="1"/>
  <c r="W130" i="6" s="1"/>
  <c r="N217" i="6"/>
  <c r="T217" i="6" s="1"/>
  <c r="Y217" i="6" s="1"/>
  <c r="H75" i="18" s="1"/>
  <c r="W75" i="18" s="1"/>
  <c r="M32" i="4"/>
  <c r="Q32" i="4" s="1"/>
  <c r="V32" i="4" s="1"/>
  <c r="H37" i="11" s="1"/>
  <c r="M304" i="4"/>
  <c r="N56" i="6"/>
  <c r="T56" i="6" s="1"/>
  <c r="N103" i="6"/>
  <c r="N40" i="6"/>
  <c r="N89" i="6"/>
  <c r="M153" i="4"/>
  <c r="Q153" i="4" s="1"/>
  <c r="V153" i="4" s="1"/>
  <c r="F33" i="11" s="1"/>
  <c r="W33" i="11" s="1"/>
  <c r="M133" i="4"/>
  <c r="N182" i="6"/>
  <c r="T182" i="6" s="1"/>
  <c r="Y182" i="6" s="1"/>
  <c r="F65" i="18" s="1"/>
  <c r="U65" i="18" s="1"/>
  <c r="N81" i="6"/>
  <c r="T81" i="6" s="1"/>
  <c r="Y81" i="6" s="1"/>
  <c r="B64" i="18" s="1"/>
  <c r="Q64" i="18" s="1"/>
  <c r="M5" i="4"/>
  <c r="N254" i="6"/>
  <c r="M118" i="4"/>
  <c r="N130" i="4"/>
  <c r="W130" i="4" s="1"/>
  <c r="M341" i="4"/>
  <c r="N8" i="6"/>
  <c r="N198" i="6"/>
  <c r="N285" i="6"/>
  <c r="T285" i="6" s="1"/>
  <c r="Y285" i="6" s="1"/>
  <c r="F67" i="19" s="1"/>
  <c r="M84" i="4"/>
  <c r="Q84" i="4" s="1"/>
  <c r="V84" i="4" s="1"/>
  <c r="B38" i="18" s="1"/>
  <c r="Q38" i="18" s="1"/>
  <c r="M10" i="4"/>
  <c r="M104" i="4"/>
  <c r="N218" i="6"/>
  <c r="N206" i="4"/>
  <c r="N64" i="6"/>
  <c r="M112" i="4"/>
  <c r="Q112" i="4" s="1"/>
  <c r="V112" i="4" s="1"/>
  <c r="D42" i="11" s="1"/>
  <c r="U42" i="11" s="1"/>
  <c r="M361" i="4"/>
  <c r="Q361" i="4" s="1"/>
  <c r="V361" i="4" s="1"/>
  <c r="L40" i="19" s="1"/>
  <c r="N353" i="6"/>
  <c r="N369" i="6"/>
  <c r="T369" i="6" s="1"/>
  <c r="Y369" i="6" s="1"/>
  <c r="L76" i="19" s="1"/>
  <c r="O257" i="6"/>
  <c r="N72" i="6"/>
  <c r="M141" i="4"/>
  <c r="Q141" i="4" s="1"/>
  <c r="V141" i="4" s="1"/>
  <c r="D45" i="18" s="1"/>
  <c r="M340" i="4"/>
  <c r="O168" i="6"/>
  <c r="N280" i="4"/>
  <c r="N134" i="6"/>
  <c r="M97" i="4"/>
  <c r="N79" i="6"/>
  <c r="N190" i="6"/>
  <c r="T190" i="6" s="1"/>
  <c r="Y190" i="6" s="1"/>
  <c r="F73" i="18" s="1"/>
  <c r="U73" i="18" s="1"/>
  <c r="N197" i="6"/>
  <c r="T166" i="6"/>
  <c r="Y166" i="6" s="1"/>
  <c r="F75" i="11" s="1"/>
  <c r="W75" i="11" s="1"/>
  <c r="M36" i="4"/>
  <c r="N254" i="4"/>
  <c r="M348" i="4"/>
  <c r="Q348" i="4" s="1"/>
  <c r="V348" i="4" s="1"/>
  <c r="J52" i="19" s="1"/>
  <c r="N52" i="19" s="1"/>
  <c r="N161" i="6"/>
  <c r="M34" i="4"/>
  <c r="N33" i="6"/>
  <c r="N241" i="6"/>
  <c r="T241" i="6" s="1"/>
  <c r="Y241" i="6" s="1"/>
  <c r="B73" i="19" s="1"/>
  <c r="N63" i="6"/>
  <c r="N169" i="6"/>
  <c r="N109" i="6"/>
  <c r="N39" i="6"/>
  <c r="N185" i="4"/>
  <c r="N116" i="6"/>
  <c r="N115" i="6"/>
  <c r="N28" i="6"/>
  <c r="N48" i="6"/>
  <c r="T48" i="6" s="1"/>
  <c r="N270" i="6"/>
  <c r="N59" i="6"/>
  <c r="T59" i="6" s="1"/>
  <c r="O259" i="6"/>
  <c r="N70" i="6"/>
  <c r="T70" i="6" s="1"/>
  <c r="N293" i="6"/>
  <c r="N41" i="6"/>
  <c r="N108" i="6"/>
  <c r="N69" i="6"/>
  <c r="O354" i="6"/>
  <c r="O265" i="6"/>
  <c r="N170" i="6"/>
  <c r="O105" i="6"/>
  <c r="N17" i="6"/>
  <c r="N162" i="6"/>
  <c r="N18" i="6"/>
  <c r="O359" i="6"/>
  <c r="N120" i="6"/>
  <c r="N320" i="6"/>
  <c r="N21" i="6"/>
  <c r="N284" i="4"/>
  <c r="O262" i="6"/>
  <c r="N321" i="6"/>
  <c r="T321" i="6" s="1"/>
  <c r="M368" i="4"/>
  <c r="M119" i="4"/>
  <c r="N12" i="6"/>
  <c r="N44" i="6"/>
  <c r="N117" i="6"/>
  <c r="O115" i="6"/>
  <c r="N262" i="4"/>
  <c r="O97" i="6"/>
  <c r="N62" i="6"/>
  <c r="N257" i="4"/>
  <c r="N310" i="4"/>
  <c r="W310" i="4" s="1"/>
  <c r="N97" i="4"/>
  <c r="O330" i="6"/>
  <c r="Z330" i="6" s="1"/>
  <c r="N64" i="4"/>
  <c r="N65" i="4"/>
  <c r="O308" i="6"/>
  <c r="N305" i="4"/>
  <c r="N308" i="4"/>
  <c r="O231" i="6"/>
  <c r="N118" i="4"/>
  <c r="O143" i="6"/>
  <c r="O21" i="6"/>
  <c r="O48" i="6"/>
  <c r="Z3" i="6"/>
  <c r="O271" i="6"/>
  <c r="O196" i="6"/>
  <c r="O286" i="6"/>
  <c r="O305" i="6"/>
  <c r="N265" i="4"/>
  <c r="O209" i="6"/>
  <c r="O65" i="6"/>
  <c r="O43" i="6"/>
  <c r="O113" i="6"/>
  <c r="O260" i="6"/>
  <c r="O104" i="6"/>
  <c r="N79" i="4"/>
  <c r="N363" i="4"/>
  <c r="N11" i="4"/>
  <c r="O288" i="6"/>
  <c r="N369" i="4"/>
  <c r="O239" i="6"/>
  <c r="N78" i="4"/>
  <c r="O120" i="6"/>
  <c r="Q95" i="4"/>
  <c r="V95" i="4" s="1"/>
  <c r="B49" i="18" s="1"/>
  <c r="Q49" i="18" s="1"/>
  <c r="Q154" i="4"/>
  <c r="V154" i="4" s="1"/>
  <c r="F34" i="11" s="1"/>
  <c r="W34" i="11" s="1"/>
  <c r="Q262" i="4"/>
  <c r="V262" i="4" s="1"/>
  <c r="D41" i="19" s="1"/>
  <c r="Q210" i="4"/>
  <c r="V210" i="4" s="1"/>
  <c r="H39" i="18" s="1"/>
  <c r="W39" i="18" s="1"/>
  <c r="Q333" i="4"/>
  <c r="V333" i="4" s="1"/>
  <c r="J37" i="19" s="1"/>
  <c r="Q284" i="4"/>
  <c r="V284" i="4" s="1"/>
  <c r="F38" i="19" s="1"/>
  <c r="Q82" i="4"/>
  <c r="V82" i="4" s="1"/>
  <c r="B36" i="18" s="1"/>
  <c r="Q36" i="18" s="1"/>
  <c r="Q269" i="4"/>
  <c r="V269" i="4" s="1"/>
  <c r="D48" i="19" s="1"/>
  <c r="O173" i="6"/>
  <c r="O122" i="6"/>
  <c r="Q292" i="4"/>
  <c r="V292" i="4" s="1"/>
  <c r="F46" i="19" s="1"/>
  <c r="Q181" i="4"/>
  <c r="V181" i="4" s="1"/>
  <c r="F35" i="18" s="1"/>
  <c r="U35" i="18" s="1"/>
  <c r="Q234" i="4"/>
  <c r="V234" i="4" s="1"/>
  <c r="B38" i="19" s="1"/>
  <c r="Q142" i="4"/>
  <c r="V142" i="4" s="1"/>
  <c r="D46" i="18" s="1"/>
  <c r="S46" i="18" s="1"/>
  <c r="Q90" i="4"/>
  <c r="V90" i="4" s="1"/>
  <c r="B44" i="18" s="1"/>
  <c r="Q44" i="18" s="1"/>
  <c r="N170" i="4"/>
  <c r="N334" i="4"/>
  <c r="Q332" i="4"/>
  <c r="V332" i="4" s="1"/>
  <c r="J36" i="19" s="1"/>
  <c r="O222" i="6"/>
  <c r="N110" i="4"/>
  <c r="Q305" i="4"/>
  <c r="V305" i="4" s="1"/>
  <c r="H34" i="19" s="1"/>
  <c r="O318" i="6"/>
  <c r="O234" i="6"/>
  <c r="Q110" i="4"/>
  <c r="V110" i="4" s="1"/>
  <c r="D40" i="11" s="1"/>
  <c r="U40" i="11" s="1"/>
  <c r="O31" i="6"/>
  <c r="Q61" i="4"/>
  <c r="V61" i="4" s="1"/>
  <c r="J41" i="11" s="1"/>
  <c r="AA41" i="11" s="1"/>
  <c r="Q54" i="4"/>
  <c r="V54" i="4" s="1"/>
  <c r="J34" i="11" s="1"/>
  <c r="AA34" i="11" s="1"/>
  <c r="Q53" i="4"/>
  <c r="V53" i="4" s="1"/>
  <c r="J33" i="11" s="1"/>
  <c r="AA33" i="11" s="1"/>
  <c r="O269" i="6"/>
  <c r="N8" i="4"/>
  <c r="N333" i="4"/>
  <c r="N120" i="4"/>
  <c r="O71" i="6"/>
  <c r="N113" i="4"/>
  <c r="N269" i="4"/>
  <c r="N331" i="4"/>
  <c r="N35" i="4"/>
  <c r="N220" i="4"/>
  <c r="O141" i="6"/>
  <c r="N82" i="4"/>
  <c r="O263" i="6"/>
  <c r="N247" i="4"/>
  <c r="O107" i="6"/>
  <c r="O344" i="6"/>
  <c r="N213" i="4"/>
  <c r="O114" i="6"/>
  <c r="O355" i="6"/>
  <c r="O267" i="6"/>
  <c r="O332" i="6"/>
  <c r="O348" i="6"/>
  <c r="O121" i="6"/>
  <c r="O72" i="6"/>
  <c r="O81" i="6"/>
  <c r="O144" i="6"/>
  <c r="N141" i="4"/>
  <c r="O208" i="6"/>
  <c r="N263" i="4"/>
  <c r="O204" i="6"/>
  <c r="N33" i="4"/>
  <c r="O282" i="6"/>
  <c r="N107" i="4"/>
  <c r="N344" i="4"/>
  <c r="O133" i="6"/>
  <c r="N341" i="4"/>
  <c r="O223" i="6"/>
  <c r="N355" i="4"/>
  <c r="O117" i="6"/>
  <c r="N239" i="4"/>
  <c r="N92" i="4"/>
  <c r="N13" i="4"/>
  <c r="O33" i="6"/>
  <c r="N215" i="4"/>
  <c r="N267" i="4"/>
  <c r="N332" i="4"/>
  <c r="N348" i="4"/>
  <c r="O11" i="6"/>
  <c r="N121" i="4"/>
  <c r="N72" i="4"/>
  <c r="N81" i="4"/>
  <c r="N144" i="4"/>
  <c r="O363" i="6"/>
  <c r="N208" i="4"/>
  <c r="O79" i="6"/>
  <c r="N204" i="4"/>
  <c r="O369" i="6"/>
  <c r="O78" i="6"/>
  <c r="Z78" i="6" s="1"/>
  <c r="C61" i="18" s="1"/>
  <c r="R61" i="18" s="1"/>
  <c r="N282" i="4"/>
  <c r="O281" i="6"/>
  <c r="O157" i="6"/>
  <c r="O333" i="6"/>
  <c r="O156" i="6"/>
  <c r="O218" i="6"/>
  <c r="N117" i="4"/>
  <c r="O311" i="6"/>
  <c r="O296" i="6"/>
  <c r="N156" i="4"/>
  <c r="O47" i="6"/>
  <c r="O38" i="6"/>
  <c r="O242" i="6"/>
  <c r="N71" i="4"/>
  <c r="N285" i="4"/>
  <c r="N179" i="4"/>
  <c r="O236" i="6"/>
  <c r="O342" i="6"/>
  <c r="O179" i="6"/>
  <c r="N311" i="4"/>
  <c r="N296" i="4"/>
  <c r="O158" i="6"/>
  <c r="O337" i="6"/>
  <c r="N47" i="4"/>
  <c r="O4" i="6"/>
  <c r="N38" i="4"/>
  <c r="O54" i="6"/>
  <c r="O166" i="6"/>
  <c r="O138" i="6"/>
  <c r="N242" i="4"/>
  <c r="N106" i="4"/>
  <c r="O297" i="6"/>
  <c r="N217" i="4"/>
  <c r="N342" i="4"/>
  <c r="N288" i="4"/>
  <c r="O285" i="6"/>
  <c r="O68" i="6"/>
  <c r="O331" i="6"/>
  <c r="N158" i="4"/>
  <c r="N337" i="4"/>
  <c r="O35" i="6"/>
  <c r="N4" i="4"/>
  <c r="O220" i="6"/>
  <c r="N54" i="4"/>
  <c r="N166" i="4"/>
  <c r="N138" i="4"/>
  <c r="O82" i="6"/>
  <c r="O13" i="6"/>
  <c r="O247" i="6"/>
  <c r="O215" i="6"/>
  <c r="N297" i="4"/>
  <c r="O213" i="6"/>
  <c r="O56" i="6"/>
  <c r="O8" i="6"/>
  <c r="O95" i="6"/>
  <c r="N157" i="4"/>
  <c r="N119" i="4"/>
  <c r="N29" i="4"/>
  <c r="O341" i="6"/>
  <c r="O92" i="6"/>
  <c r="N223" i="4"/>
  <c r="N218" i="4"/>
  <c r="N281" i="4"/>
  <c r="N114" i="4"/>
  <c r="O62" i="6"/>
  <c r="O55" i="6"/>
  <c r="O205" i="6"/>
  <c r="N286" i="4"/>
  <c r="N203" i="4"/>
  <c r="O309" i="6"/>
  <c r="N139" i="4"/>
  <c r="N319" i="4"/>
  <c r="N309" i="4"/>
  <c r="O292" i="6"/>
  <c r="O353" i="6"/>
  <c r="N273" i="4"/>
  <c r="O80" i="6"/>
  <c r="O41" i="6"/>
  <c r="O197" i="6"/>
  <c r="O328" i="6"/>
  <c r="N84" i="4"/>
  <c r="N90" i="4"/>
  <c r="O163" i="6"/>
  <c r="N289" i="4"/>
  <c r="O42" i="6"/>
  <c r="O372" i="6"/>
  <c r="O119" i="6"/>
  <c r="N236" i="4"/>
  <c r="N190" i="4"/>
  <c r="O370" i="6"/>
  <c r="N68" i="4"/>
  <c r="O264" i="6"/>
  <c r="O32" i="6"/>
  <c r="N59" i="4"/>
  <c r="O165" i="6"/>
  <c r="N287" i="4"/>
  <c r="O135" i="6"/>
  <c r="N165" i="4"/>
  <c r="O112" i="6"/>
  <c r="O103" i="6"/>
  <c r="N42" i="4"/>
  <c r="N270" i="4"/>
  <c r="N132" i="4"/>
  <c r="N357" i="4"/>
  <c r="O73" i="6"/>
  <c r="N358" i="4"/>
  <c r="N291" i="4"/>
  <c r="O53" i="6"/>
  <c r="O314" i="6"/>
  <c r="N116" i="4"/>
  <c r="N133" i="4"/>
  <c r="N95" i="4"/>
  <c r="O192" i="6"/>
  <c r="N32" i="4"/>
  <c r="N134" i="4"/>
  <c r="N148" i="4"/>
  <c r="W148" i="4" s="1"/>
  <c r="E52" i="18" s="1"/>
  <c r="T52" i="18" s="1"/>
  <c r="O290" i="6"/>
  <c r="O291" i="6"/>
  <c r="O193" i="6"/>
  <c r="N15" i="4"/>
  <c r="N278" i="4"/>
  <c r="N339" i="4"/>
  <c r="N18" i="4"/>
  <c r="O360" i="6"/>
  <c r="N53" i="4"/>
  <c r="O329" i="6"/>
  <c r="O229" i="6"/>
  <c r="O28" i="6"/>
  <c r="N159" i="4"/>
  <c r="O167" i="6"/>
  <c r="O189" i="6"/>
  <c r="N192" i="4"/>
  <c r="O22" i="6"/>
  <c r="N272" i="4"/>
  <c r="N345" i="4"/>
  <c r="O364" i="6"/>
  <c r="O207" i="6"/>
  <c r="O340" i="6"/>
  <c r="N169" i="4"/>
  <c r="O365" i="6"/>
  <c r="N255" i="4"/>
  <c r="N167" i="4"/>
  <c r="N189" i="4"/>
  <c r="O336" i="6"/>
  <c r="N22" i="4"/>
  <c r="O335" i="6"/>
  <c r="O368" i="6"/>
  <c r="O183" i="6"/>
  <c r="N88" i="4"/>
  <c r="N20" i="4"/>
  <c r="N219" i="4"/>
  <c r="O123" i="6"/>
  <c r="N198" i="4"/>
  <c r="O66" i="6"/>
  <c r="N340" i="4"/>
  <c r="N365" i="4"/>
  <c r="N14" i="4"/>
  <c r="O106" i="6"/>
  <c r="O217" i="6"/>
  <c r="N336" i="4"/>
  <c r="N335" i="4"/>
  <c r="N368" i="4"/>
  <c r="O29" i="6"/>
  <c r="N183" i="4"/>
  <c r="N94" i="4"/>
  <c r="O132" i="6"/>
  <c r="O186" i="6"/>
  <c r="O235" i="6"/>
  <c r="O109" i="6"/>
  <c r="N235" i="4"/>
  <c r="O129" i="6"/>
  <c r="O188" i="6"/>
  <c r="O59" i="6"/>
  <c r="N87" i="4"/>
  <c r="N371" i="4"/>
  <c r="N61" i="4"/>
  <c r="O178" i="6"/>
  <c r="O153" i="6"/>
  <c r="N283" i="4"/>
  <c r="N142" i="4"/>
  <c r="N212" i="4"/>
  <c r="O37" i="6"/>
  <c r="N182" i="4"/>
  <c r="N241" i="4"/>
  <c r="O361" i="6"/>
  <c r="N40" i="4"/>
  <c r="N279" i="4"/>
  <c r="O89" i="6"/>
  <c r="N128" i="4"/>
  <c r="O187" i="6"/>
  <c r="N216" i="4"/>
  <c r="O17" i="6"/>
  <c r="N6" i="4"/>
  <c r="N181" i="4"/>
  <c r="O170" i="6"/>
  <c r="N178" i="4"/>
  <c r="O334" i="6"/>
  <c r="N153" i="4"/>
  <c r="N37" i="4"/>
  <c r="O110" i="6"/>
  <c r="N361" i="4"/>
  <c r="N89" i="4"/>
  <c r="O90" i="6"/>
  <c r="N187" i="4"/>
  <c r="O289" i="6"/>
  <c r="N17" i="4"/>
  <c r="O84" i="6"/>
  <c r="N318" i="4"/>
  <c r="O87" i="6"/>
  <c r="O36" i="6"/>
  <c r="N260" i="4"/>
  <c r="O238" i="6"/>
  <c r="O180" i="6"/>
  <c r="N222" i="4"/>
  <c r="N234" i="4"/>
  <c r="O322" i="6"/>
  <c r="N173" i="4"/>
  <c r="N104" i="4"/>
  <c r="N122" i="4"/>
  <c r="O10" i="6"/>
  <c r="O266" i="6"/>
  <c r="O91" i="6"/>
  <c r="N370" i="4"/>
  <c r="N56" i="4"/>
  <c r="O83" i="6"/>
  <c r="O307" i="6"/>
  <c r="N328" i="4"/>
  <c r="O184" i="6"/>
  <c r="N163" i="4"/>
  <c r="O245" i="6"/>
  <c r="N238" i="4"/>
  <c r="N180" i="4"/>
  <c r="O162" i="6"/>
  <c r="N322" i="4"/>
  <c r="O57" i="6"/>
  <c r="O154" i="6"/>
  <c r="O356" i="6"/>
  <c r="O256" i="6"/>
  <c r="O23" i="6"/>
  <c r="Z23" i="6" s="1"/>
  <c r="AA23" i="6" s="1"/>
  <c r="O140" i="6"/>
  <c r="N10" i="4"/>
  <c r="N266" i="4"/>
  <c r="O261" i="6"/>
  <c r="N91" i="4"/>
  <c r="N83" i="4"/>
  <c r="N307" i="4"/>
  <c r="N184" i="4"/>
  <c r="O195" i="6"/>
  <c r="N245" i="4"/>
  <c r="O303" i="6"/>
  <c r="N162" i="4"/>
  <c r="N57" i="4"/>
  <c r="O137" i="6"/>
  <c r="O70" i="6"/>
  <c r="O317" i="6"/>
  <c r="N154" i="4"/>
  <c r="N356" i="4"/>
  <c r="N256" i="4"/>
  <c r="N23" i="4"/>
  <c r="W23" i="4" s="1"/>
  <c r="X23" i="4" s="1"/>
  <c r="N140" i="4"/>
  <c r="O248" i="6"/>
  <c r="O306" i="6"/>
  <c r="O230" i="6"/>
  <c r="N261" i="4"/>
  <c r="O60" i="6"/>
  <c r="O268" i="6"/>
  <c r="N36" i="4"/>
  <c r="N195" i="4"/>
  <c r="O155" i="6"/>
  <c r="N303" i="4"/>
  <c r="O237" i="6"/>
  <c r="O161" i="6"/>
  <c r="N137" i="4"/>
  <c r="N70" i="4"/>
  <c r="N317" i="4"/>
  <c r="O39" i="6"/>
  <c r="O316" i="6"/>
  <c r="O93" i="6"/>
  <c r="N248" i="4"/>
  <c r="N306" i="4"/>
  <c r="O172" i="6"/>
  <c r="O253" i="6"/>
  <c r="N230" i="4"/>
  <c r="O45" i="6"/>
  <c r="O191" i="6"/>
  <c r="N60" i="4"/>
  <c r="O258" i="6"/>
  <c r="N268" i="4"/>
  <c r="O371" i="6"/>
  <c r="O61" i="6"/>
  <c r="N155" i="4"/>
  <c r="N237" i="4"/>
  <c r="N161" i="4"/>
  <c r="O283" i="6"/>
  <c r="O142" i="6"/>
  <c r="O212" i="6"/>
  <c r="N39" i="4"/>
  <c r="N316" i="4"/>
  <c r="O182" i="6"/>
  <c r="N93" i="4"/>
  <c r="O241" i="6"/>
  <c r="O40" i="6"/>
  <c r="O279" i="6"/>
  <c r="N172" i="4"/>
  <c r="N253" i="4"/>
  <c r="N45" i="4"/>
  <c r="N191" i="4"/>
  <c r="O128" i="6"/>
  <c r="N258" i="4"/>
  <c r="O216" i="6"/>
  <c r="O6" i="6"/>
  <c r="O181" i="6"/>
  <c r="O86" i="6"/>
  <c r="N160" i="4"/>
  <c r="O313" i="6"/>
  <c r="N115" i="4"/>
  <c r="N31" i="4"/>
  <c r="N105" i="4"/>
  <c r="N143" i="4"/>
  <c r="N354" i="4"/>
  <c r="N259" i="4"/>
  <c r="N231" i="4"/>
  <c r="O246" i="6"/>
  <c r="O338" i="6"/>
  <c r="N292" i="4"/>
  <c r="N41" i="4"/>
  <c r="N55" i="4"/>
  <c r="N353" i="4"/>
  <c r="N197" i="4"/>
  <c r="N294" i="4"/>
  <c r="N86" i="4"/>
  <c r="N313" i="4"/>
  <c r="O206" i="6"/>
  <c r="O254" i="6"/>
  <c r="O64" i="6"/>
  <c r="O203" i="6"/>
  <c r="N246" i="4"/>
  <c r="O273" i="6"/>
  <c r="N330" i="4"/>
  <c r="N233" i="4"/>
  <c r="O58" i="6"/>
  <c r="N21" i="4"/>
  <c r="O44" i="6"/>
  <c r="O240" i="6"/>
  <c r="N48" i="4"/>
  <c r="N271" i="4"/>
  <c r="N359" i="4"/>
  <c r="N209" i="4"/>
  <c r="O164" i="6"/>
  <c r="O304" i="6"/>
  <c r="N168" i="4"/>
  <c r="O98" i="6"/>
  <c r="O136" i="6"/>
  <c r="N211" i="4"/>
  <c r="O34" i="6"/>
  <c r="O171" i="6"/>
  <c r="O111" i="6"/>
  <c r="O146" i="6"/>
  <c r="N80" i="4"/>
  <c r="N43" i="4"/>
  <c r="N196" i="4"/>
  <c r="W196" i="4" s="1"/>
  <c r="X196" i="4" s="1"/>
  <c r="Z196" i="4" s="1"/>
  <c r="N244" i="4"/>
  <c r="O320" i="6"/>
  <c r="O321" i="6"/>
  <c r="O46" i="6"/>
  <c r="N62" i="4"/>
  <c r="N58" i="4"/>
  <c r="O232" i="6"/>
  <c r="N44" i="4"/>
  <c r="O63" i="6"/>
  <c r="N240" i="4"/>
  <c r="N164" i="4"/>
  <c r="N304" i="4"/>
  <c r="N98" i="4"/>
  <c r="O85" i="6"/>
  <c r="N136" i="4"/>
  <c r="N34" i="4"/>
  <c r="N171" i="4"/>
  <c r="O96" i="6"/>
  <c r="N111" i="4"/>
  <c r="N146" i="4"/>
  <c r="O12" i="6"/>
  <c r="N30" i="4"/>
  <c r="N320" i="4"/>
  <c r="N321" i="4"/>
  <c r="O343" i="6"/>
  <c r="N46" i="4"/>
  <c r="O315" i="6"/>
  <c r="O118" i="6"/>
  <c r="N232" i="4"/>
  <c r="N63" i="4"/>
  <c r="O185" i="6"/>
  <c r="O310" i="6"/>
  <c r="O284" i="6"/>
  <c r="O280" i="6"/>
  <c r="N85" i="4"/>
  <c r="N96" i="4"/>
  <c r="O319" i="6"/>
  <c r="N12" i="4"/>
  <c r="O139" i="6"/>
  <c r="N343" i="4"/>
  <c r="O362" i="6"/>
  <c r="N315" i="4"/>
  <c r="O69" i="6"/>
  <c r="N360" i="4"/>
  <c r="O255" i="6"/>
  <c r="O345" i="6"/>
  <c r="O94" i="6"/>
  <c r="N69" i="4"/>
  <c r="N290" i="4"/>
  <c r="N372" i="4"/>
  <c r="N193" i="4"/>
  <c r="N112" i="4"/>
  <c r="N73" i="4"/>
  <c r="N364" i="4"/>
  <c r="N329" i="4"/>
  <c r="N229" i="4"/>
  <c r="N264" i="4"/>
  <c r="N314" i="4"/>
  <c r="N135" i="4"/>
  <c r="N28" i="4"/>
  <c r="N103" i="4"/>
  <c r="O214" i="6"/>
  <c r="O30" i="6"/>
  <c r="O312" i="6"/>
  <c r="O244" i="6"/>
  <c r="O294" i="6"/>
  <c r="N186" i="4"/>
  <c r="N129" i="4"/>
  <c r="N109" i="4"/>
  <c r="N188" i="4"/>
  <c r="O221" i="6"/>
  <c r="N205" i="4"/>
  <c r="O15" i="6"/>
  <c r="O278" i="6"/>
  <c r="O88" i="6"/>
  <c r="O219" i="6"/>
  <c r="O67" i="6"/>
  <c r="O194" i="6"/>
  <c r="O228" i="6"/>
  <c r="O298" i="6"/>
  <c r="O323" i="6"/>
  <c r="O366" i="6"/>
  <c r="O131" i="6"/>
  <c r="N214" i="4"/>
  <c r="N312" i="4"/>
  <c r="O293" i="6"/>
  <c r="N221" i="4"/>
  <c r="N194" i="4"/>
  <c r="N228" i="4"/>
  <c r="N298" i="4"/>
  <c r="N323" i="4"/>
  <c r="N366" i="4"/>
  <c r="N131" i="4"/>
  <c r="O19" i="6"/>
  <c r="O295" i="6"/>
  <c r="O243" i="6"/>
  <c r="O7" i="6"/>
  <c r="O5" i="6"/>
  <c r="N293" i="4"/>
  <c r="O210" i="6"/>
  <c r="N67" i="4"/>
  <c r="O357" i="6"/>
  <c r="O198" i="6"/>
  <c r="O190" i="6"/>
  <c r="O270" i="6"/>
  <c r="O358" i="6"/>
  <c r="O287" i="6"/>
  <c r="O339" i="6"/>
  <c r="O134" i="6"/>
  <c r="O18" i="6"/>
  <c r="O272" i="6"/>
  <c r="N207" i="4"/>
  <c r="N123" i="4"/>
  <c r="N66" i="4"/>
  <c r="O169" i="6"/>
  <c r="O20" i="6"/>
  <c r="O14" i="6"/>
  <c r="O159" i="6"/>
  <c r="O116" i="6"/>
  <c r="N19" i="4"/>
  <c r="N295" i="4"/>
  <c r="N338" i="4"/>
  <c r="N243" i="4"/>
  <c r="N7" i="4"/>
  <c r="N5" i="4"/>
  <c r="O108" i="6"/>
  <c r="N362" i="4"/>
  <c r="N210" i="4"/>
  <c r="O9" i="6"/>
  <c r="N9" i="4"/>
  <c r="N108" i="4"/>
  <c r="O373" i="6"/>
  <c r="N373" i="4"/>
  <c r="O367" i="6"/>
  <c r="N367" i="4"/>
  <c r="O346" i="6"/>
  <c r="N346" i="4"/>
  <c r="O347" i="6"/>
  <c r="N347" i="4"/>
  <c r="O147" i="6"/>
  <c r="O148" i="6"/>
  <c r="O145" i="6"/>
  <c r="N147" i="4"/>
  <c r="N145" i="4"/>
  <c r="T54" i="6"/>
  <c r="T53" i="6"/>
  <c r="Z211" i="6"/>
  <c r="V211" i="6"/>
  <c r="W211" i="6" s="1"/>
  <c r="Z16" i="6"/>
  <c r="V16" i="6"/>
  <c r="W16" i="6" s="1"/>
  <c r="S3" i="4"/>
  <c r="W16" i="4"/>
  <c r="S16" i="4"/>
  <c r="Y57" i="6"/>
  <c r="J66" i="11" s="1"/>
  <c r="AA66" i="11" s="1"/>
  <c r="T253" i="6"/>
  <c r="Y253" i="6" s="1"/>
  <c r="D60" i="19" s="1"/>
  <c r="T131" i="6"/>
  <c r="Y131" i="6" s="1"/>
  <c r="D64" i="18" s="1"/>
  <c r="S64" i="18" s="1"/>
  <c r="T88" i="6"/>
  <c r="Y88" i="6" s="1"/>
  <c r="B71" i="18" s="1"/>
  <c r="Q71" i="18" s="1"/>
  <c r="Y71" i="18" s="1"/>
  <c r="T360" i="6"/>
  <c r="Y360" i="6" s="1"/>
  <c r="L67" i="19" s="1"/>
  <c r="T242" i="6"/>
  <c r="Y242" i="6" s="1"/>
  <c r="B74" i="19" s="1"/>
  <c r="T92" i="6"/>
  <c r="Y92" i="6" s="1"/>
  <c r="B75" i="18" s="1"/>
  <c r="Q75" i="18" s="1"/>
  <c r="T312" i="6"/>
  <c r="Y312" i="6" s="1"/>
  <c r="H69" i="19" s="1"/>
  <c r="Y38" i="6"/>
  <c r="H72" i="11" s="1"/>
  <c r="Y72" i="11" s="1"/>
  <c r="Y71" i="6"/>
  <c r="J80" i="11" s="1"/>
  <c r="AA80" i="11" s="1"/>
  <c r="Y67" i="6"/>
  <c r="J76" i="11" s="1"/>
  <c r="AA76" i="11" s="1"/>
  <c r="Y46" i="6"/>
  <c r="H80" i="11" s="1"/>
  <c r="Y80" i="11" s="1"/>
  <c r="T83" i="6"/>
  <c r="Y83" i="6" s="1"/>
  <c r="B66" i="18" s="1"/>
  <c r="Q66" i="18" s="1"/>
  <c r="T313" i="6"/>
  <c r="Y313" i="6" s="1"/>
  <c r="H70" i="19" s="1"/>
  <c r="N70" i="19" s="1"/>
  <c r="T80" i="6"/>
  <c r="Y80" i="6" s="1"/>
  <c r="B63" i="18" s="1"/>
  <c r="Q63" i="18" s="1"/>
  <c r="Y65" i="6"/>
  <c r="J74" i="11" s="1"/>
  <c r="AA74" i="11" s="1"/>
  <c r="Y58" i="6"/>
  <c r="J67" i="11" s="1"/>
  <c r="AA67" i="11" s="1"/>
  <c r="T189" i="6"/>
  <c r="Y189" i="6" s="1"/>
  <c r="F72" i="18" s="1"/>
  <c r="U72" i="18" s="1"/>
  <c r="Y65" i="18" l="1"/>
  <c r="Y39" i="18"/>
  <c r="Y73" i="18"/>
  <c r="Y35" i="18"/>
  <c r="Y63" i="18"/>
  <c r="AC45" i="11"/>
  <c r="Y36" i="18"/>
  <c r="Y52" i="18"/>
  <c r="Y43" i="18"/>
  <c r="Y74" i="18"/>
  <c r="Y75" i="18"/>
  <c r="Y68" i="18"/>
  <c r="Y44" i="18"/>
  <c r="Y61" i="18"/>
  <c r="Y49" i="18"/>
  <c r="Y66" i="18"/>
  <c r="Y64" i="18"/>
  <c r="Y38" i="18"/>
  <c r="Y46" i="18"/>
  <c r="AC43" i="11"/>
  <c r="L36" i="11"/>
  <c r="AA36" i="11"/>
  <c r="L37" i="11"/>
  <c r="Y37" i="11"/>
  <c r="AC33" i="11"/>
  <c r="AC47" i="11"/>
  <c r="AC52" i="11"/>
  <c r="J33" i="18"/>
  <c r="Q33" i="18"/>
  <c r="Y33" i="18" s="1"/>
  <c r="J79" i="18"/>
  <c r="J48" i="18"/>
  <c r="W48" i="18"/>
  <c r="Y48" i="18" s="1"/>
  <c r="J78" i="18"/>
  <c r="J41" i="18"/>
  <c r="Q41" i="18"/>
  <c r="Y41" i="18" s="1"/>
  <c r="J47" i="18"/>
  <c r="W47" i="18"/>
  <c r="Y47" i="18" s="1"/>
  <c r="J70" i="18"/>
  <c r="J34" i="18"/>
  <c r="Q34" i="18"/>
  <c r="Y34" i="18" s="1"/>
  <c r="J50" i="18"/>
  <c r="Q50" i="18"/>
  <c r="Y50" i="18" s="1"/>
  <c r="J71" i="18"/>
  <c r="J42" i="18"/>
  <c r="Q42" i="18"/>
  <c r="Y42" i="18" s="1"/>
  <c r="J45" i="18"/>
  <c r="S45" i="18"/>
  <c r="Y45" i="18" s="1"/>
  <c r="J68" i="18"/>
  <c r="V234" i="6"/>
  <c r="W234" i="6" s="1"/>
  <c r="Z181" i="6"/>
  <c r="Z23" i="4"/>
  <c r="V9" i="6"/>
  <c r="W9" i="6" s="1"/>
  <c r="S360" i="4"/>
  <c r="T360" i="4" s="1"/>
  <c r="Z110" i="6"/>
  <c r="W242" i="4"/>
  <c r="Z305" i="6"/>
  <c r="S131" i="4"/>
  <c r="V82" i="6"/>
  <c r="W82" i="6" s="1"/>
  <c r="N49" i="19"/>
  <c r="J73" i="18"/>
  <c r="N51" i="19"/>
  <c r="N39" i="19"/>
  <c r="N67" i="19"/>
  <c r="N80" i="19"/>
  <c r="N76" i="19"/>
  <c r="N38" i="19"/>
  <c r="N32" i="19"/>
  <c r="N62" i="19"/>
  <c r="N34" i="19"/>
  <c r="N63" i="19"/>
  <c r="N66" i="19"/>
  <c r="N71" i="19"/>
  <c r="N72" i="19"/>
  <c r="N68" i="19"/>
  <c r="N74" i="19"/>
  <c r="N46" i="19"/>
  <c r="N41" i="19"/>
  <c r="N73" i="19"/>
  <c r="N69" i="19"/>
  <c r="J74" i="18"/>
  <c r="N48" i="19"/>
  <c r="N40" i="19"/>
  <c r="N37" i="19"/>
  <c r="N36" i="19"/>
  <c r="Y153" i="6"/>
  <c r="F62" i="11" s="1"/>
  <c r="W62" i="11" s="1"/>
  <c r="J66" i="18"/>
  <c r="L43" i="11"/>
  <c r="L45" i="11"/>
  <c r="J61" i="18"/>
  <c r="AB23" i="6"/>
  <c r="AC23" i="6"/>
  <c r="J63" i="18"/>
  <c r="J65" i="18"/>
  <c r="L52" i="11"/>
  <c r="L47" i="11"/>
  <c r="J75" i="18"/>
  <c r="L33" i="11"/>
  <c r="J64" i="18"/>
  <c r="Z130" i="6"/>
  <c r="AA130" i="6" s="1"/>
  <c r="Z292" i="6"/>
  <c r="S130" i="4"/>
  <c r="T130" i="4" s="1"/>
  <c r="R101" i="20"/>
  <c r="W101" i="20" s="1"/>
  <c r="X101" i="20" s="1"/>
  <c r="Y101" i="20" s="1"/>
  <c r="X3" i="4"/>
  <c r="Z3" i="4" s="1"/>
  <c r="J49" i="18"/>
  <c r="R105" i="20"/>
  <c r="W105" i="20" s="1"/>
  <c r="X105" i="20" s="1"/>
  <c r="Y105" i="20" s="1"/>
  <c r="R79" i="22"/>
  <c r="S79" i="22" s="1"/>
  <c r="T79" i="22" s="1"/>
  <c r="R114" i="22"/>
  <c r="S114" i="22" s="1"/>
  <c r="T114" i="22" s="1"/>
  <c r="Z160" i="6"/>
  <c r="AA160" i="6" s="1"/>
  <c r="R62" i="22"/>
  <c r="S62" i="22" s="1"/>
  <c r="T62" i="22" s="1"/>
  <c r="R68" i="22"/>
  <c r="S68" i="22" s="1"/>
  <c r="T68" i="22" s="1"/>
  <c r="V330" i="6"/>
  <c r="W330" i="6" s="1"/>
  <c r="J36" i="18"/>
  <c r="R210" i="22"/>
  <c r="W210" i="22" s="1"/>
  <c r="X210" i="22" s="1"/>
  <c r="Y210" i="22" s="1"/>
  <c r="T233" i="6"/>
  <c r="Y233" i="6" s="1"/>
  <c r="B65" i="19" s="1"/>
  <c r="N65" i="19" s="1"/>
  <c r="R66" i="22"/>
  <c r="W66" i="22" s="1"/>
  <c r="X66" i="22" s="1"/>
  <c r="Y66" i="22" s="1"/>
  <c r="J39" i="18"/>
  <c r="R106" i="22"/>
  <c r="W106" i="22" s="1"/>
  <c r="X106" i="22" s="1"/>
  <c r="Y106" i="22" s="1"/>
  <c r="S310" i="4"/>
  <c r="T310" i="4" s="1"/>
  <c r="Z139" i="6"/>
  <c r="Z203" i="6"/>
  <c r="S7" i="4"/>
  <c r="T7" i="4" s="1"/>
  <c r="V339" i="6"/>
  <c r="W339" i="6" s="1"/>
  <c r="Z219" i="6"/>
  <c r="Z164" i="6"/>
  <c r="Z206" i="6"/>
  <c r="Z191" i="6"/>
  <c r="Z155" i="6"/>
  <c r="Z248" i="6"/>
  <c r="Z137" i="6"/>
  <c r="AA137" i="6" s="1"/>
  <c r="Z356" i="6"/>
  <c r="Z266" i="6"/>
  <c r="V180" i="6"/>
  <c r="W180" i="6" s="1"/>
  <c r="Z289" i="6"/>
  <c r="AA289" i="6" s="1"/>
  <c r="Z334" i="6"/>
  <c r="Z290" i="6"/>
  <c r="V314" i="6"/>
  <c r="W314" i="6" s="1"/>
  <c r="W166" i="4"/>
  <c r="Z138" i="6"/>
  <c r="V156" i="6"/>
  <c r="W156" i="6" s="1"/>
  <c r="Z288" i="6"/>
  <c r="AA288" i="6" s="1"/>
  <c r="Z143" i="6"/>
  <c r="T17" i="6"/>
  <c r="Y17" i="6" s="1"/>
  <c r="B76" i="11" s="1"/>
  <c r="S76" i="11" s="1"/>
  <c r="Z17" i="6"/>
  <c r="T293" i="6"/>
  <c r="Y293" i="6" s="1"/>
  <c r="F75" i="19" s="1"/>
  <c r="N75" i="19" s="1"/>
  <c r="Z293" i="6"/>
  <c r="T116" i="6"/>
  <c r="Y116" i="6" s="1"/>
  <c r="D75" i="11" s="1"/>
  <c r="U75" i="11" s="1"/>
  <c r="Z116" i="6"/>
  <c r="Z190" i="6"/>
  <c r="T72" i="6"/>
  <c r="Y72" i="6" s="1"/>
  <c r="J81" i="11" s="1"/>
  <c r="T218" i="6"/>
  <c r="Y218" i="6" s="1"/>
  <c r="H76" i="18" s="1"/>
  <c r="W76" i="18" s="1"/>
  <c r="Y76" i="18" s="1"/>
  <c r="Z218" i="6"/>
  <c r="W153" i="4"/>
  <c r="W358" i="20"/>
  <c r="X358" i="20" s="1"/>
  <c r="S358" i="20"/>
  <c r="T358" i="20" s="1"/>
  <c r="W239" i="20"/>
  <c r="X239" i="20" s="1"/>
  <c r="S239" i="20"/>
  <c r="T239" i="20" s="1"/>
  <c r="S235" i="20"/>
  <c r="T235" i="20" s="1"/>
  <c r="W235" i="20"/>
  <c r="X235" i="20" s="1"/>
  <c r="W14" i="4"/>
  <c r="S350" i="20"/>
  <c r="T350" i="20" s="1"/>
  <c r="W350" i="20"/>
  <c r="X350" i="20" s="1"/>
  <c r="W126" i="20"/>
  <c r="X126" i="20" s="1"/>
  <c r="Y126" i="20" s="1"/>
  <c r="S126" i="20"/>
  <c r="T126" i="20" s="1"/>
  <c r="S72" i="20"/>
  <c r="T72" i="20" s="1"/>
  <c r="W72" i="20"/>
  <c r="X72" i="20" s="1"/>
  <c r="Y72" i="20" s="1"/>
  <c r="W135" i="22"/>
  <c r="X135" i="22" s="1"/>
  <c r="Y135" i="22" s="1"/>
  <c r="S135" i="22"/>
  <c r="T135" i="22" s="1"/>
  <c r="S270" i="20"/>
  <c r="T270" i="20" s="1"/>
  <c r="W270" i="20"/>
  <c r="X270" i="20" s="1"/>
  <c r="S123" i="22"/>
  <c r="T123" i="22" s="1"/>
  <c r="W123" i="22"/>
  <c r="X123" i="22" s="1"/>
  <c r="Y123" i="22" s="1"/>
  <c r="S299" i="20"/>
  <c r="T299" i="20" s="1"/>
  <c r="W299" i="20"/>
  <c r="X299" i="20" s="1"/>
  <c r="S361" i="22"/>
  <c r="T361" i="22" s="1"/>
  <c r="W361" i="22"/>
  <c r="X361" i="22" s="1"/>
  <c r="S108" i="20"/>
  <c r="T108" i="20" s="1"/>
  <c r="W108" i="20"/>
  <c r="X108" i="20" s="1"/>
  <c r="Y108" i="20" s="1"/>
  <c r="S274" i="20"/>
  <c r="T274" i="20" s="1"/>
  <c r="W274" i="20"/>
  <c r="X274" i="20" s="1"/>
  <c r="W262" i="22"/>
  <c r="X262" i="22" s="1"/>
  <c r="S262" i="22"/>
  <c r="T262" i="22" s="1"/>
  <c r="W237" i="20"/>
  <c r="X237" i="20" s="1"/>
  <c r="S237" i="20"/>
  <c r="T237" i="20" s="1"/>
  <c r="S187" i="22"/>
  <c r="T187" i="22" s="1"/>
  <c r="W187" i="22"/>
  <c r="X187" i="22" s="1"/>
  <c r="Y187" i="22" s="1"/>
  <c r="W124" i="22"/>
  <c r="X124" i="22" s="1"/>
  <c r="Y124" i="22" s="1"/>
  <c r="S124" i="22"/>
  <c r="T124" i="22" s="1"/>
  <c r="W226" i="22"/>
  <c r="X226" i="22" s="1"/>
  <c r="S226" i="22"/>
  <c r="T226" i="22" s="1"/>
  <c r="W301" i="20"/>
  <c r="X301" i="20" s="1"/>
  <c r="S301" i="20"/>
  <c r="T301" i="20" s="1"/>
  <c r="S83" i="20"/>
  <c r="T83" i="20" s="1"/>
  <c r="W83" i="20"/>
  <c r="X83" i="20" s="1"/>
  <c r="Y83" i="20" s="1"/>
  <c r="S197" i="20"/>
  <c r="T197" i="20" s="1"/>
  <c r="W197" i="20"/>
  <c r="X197" i="20" s="1"/>
  <c r="Y197" i="20" s="1"/>
  <c r="S357" i="22"/>
  <c r="T357" i="22" s="1"/>
  <c r="W357" i="22"/>
  <c r="X357" i="22" s="1"/>
  <c r="S162" i="20"/>
  <c r="T162" i="20" s="1"/>
  <c r="W162" i="20"/>
  <c r="X162" i="20" s="1"/>
  <c r="Y162" i="20" s="1"/>
  <c r="S151" i="20"/>
  <c r="T151" i="20" s="1"/>
  <c r="W151" i="20"/>
  <c r="X151" i="20" s="1"/>
  <c r="Y151" i="20" s="1"/>
  <c r="Z184" i="6"/>
  <c r="Z188" i="6"/>
  <c r="Z183" i="6"/>
  <c r="V365" i="6"/>
  <c r="W365" i="6" s="1"/>
  <c r="V264" i="6"/>
  <c r="W264" i="6" s="1"/>
  <c r="W289" i="4"/>
  <c r="S286" i="4"/>
  <c r="T286" i="4" s="1"/>
  <c r="Z213" i="6"/>
  <c r="AA213" i="6" s="1"/>
  <c r="S311" i="4"/>
  <c r="T311" i="4" s="1"/>
  <c r="W355" i="4"/>
  <c r="Z204" i="6"/>
  <c r="S247" i="4"/>
  <c r="T247" i="4" s="1"/>
  <c r="W185" i="4"/>
  <c r="Q34" i="4"/>
  <c r="V34" i="4" s="1"/>
  <c r="H39" i="11" s="1"/>
  <c r="Y39" i="11" s="1"/>
  <c r="T79" i="6"/>
  <c r="Y79" i="6" s="1"/>
  <c r="B62" i="18" s="1"/>
  <c r="Q62" i="18" s="1"/>
  <c r="Z79" i="6"/>
  <c r="Z257" i="6"/>
  <c r="AA257" i="6" s="1"/>
  <c r="Q104" i="4"/>
  <c r="V104" i="4" s="1"/>
  <c r="D34" i="11" s="1"/>
  <c r="W104" i="4"/>
  <c r="W118" i="4"/>
  <c r="T89" i="6"/>
  <c r="Y89" i="6" s="1"/>
  <c r="B72" i="18" s="1"/>
  <c r="Q72" i="18" s="1"/>
  <c r="Z89" i="6"/>
  <c r="Z96" i="6"/>
  <c r="S335" i="22"/>
  <c r="T335" i="22" s="1"/>
  <c r="W335" i="22"/>
  <c r="X335" i="22" s="1"/>
  <c r="S132" i="22"/>
  <c r="T132" i="22" s="1"/>
  <c r="W132" i="22"/>
  <c r="X132" i="22" s="1"/>
  <c r="Y132" i="22" s="1"/>
  <c r="S321" i="20"/>
  <c r="T321" i="20" s="1"/>
  <c r="W321" i="20"/>
  <c r="X321" i="20" s="1"/>
  <c r="S289" i="20"/>
  <c r="T289" i="20" s="1"/>
  <c r="W289" i="20"/>
  <c r="X289" i="20" s="1"/>
  <c r="S173" i="20"/>
  <c r="T173" i="20" s="1"/>
  <c r="W173" i="20"/>
  <c r="X173" i="20" s="1"/>
  <c r="Y173" i="20" s="1"/>
  <c r="S311" i="20"/>
  <c r="T311" i="20" s="1"/>
  <c r="W311" i="20"/>
  <c r="X311" i="20" s="1"/>
  <c r="W125" i="22"/>
  <c r="X125" i="22" s="1"/>
  <c r="Y125" i="22" s="1"/>
  <c r="S125" i="22"/>
  <c r="T125" i="22" s="1"/>
  <c r="W71" i="22"/>
  <c r="X71" i="22" s="1"/>
  <c r="Y71" i="22" s="1"/>
  <c r="S71" i="22"/>
  <c r="T71" i="22" s="1"/>
  <c r="S269" i="22"/>
  <c r="T269" i="22" s="1"/>
  <c r="W269" i="22"/>
  <c r="X269" i="22" s="1"/>
  <c r="S298" i="22"/>
  <c r="T298" i="22" s="1"/>
  <c r="W298" i="22"/>
  <c r="X298" i="22" s="1"/>
  <c r="W320" i="20"/>
  <c r="X320" i="20" s="1"/>
  <c r="S320" i="20"/>
  <c r="T320" i="20" s="1"/>
  <c r="W107" i="22"/>
  <c r="X107" i="22" s="1"/>
  <c r="Y107" i="22" s="1"/>
  <c r="S107" i="22"/>
  <c r="T107" i="22" s="1"/>
  <c r="W273" i="22"/>
  <c r="X273" i="22" s="1"/>
  <c r="S273" i="22"/>
  <c r="T273" i="22" s="1"/>
  <c r="S236" i="22"/>
  <c r="T236" i="22" s="1"/>
  <c r="W236" i="22"/>
  <c r="X236" i="22" s="1"/>
  <c r="W349" i="20"/>
  <c r="X349" i="20" s="1"/>
  <c r="S349" i="20"/>
  <c r="T349" i="20" s="1"/>
  <c r="S310" i="22"/>
  <c r="T310" i="22" s="1"/>
  <c r="W310" i="22"/>
  <c r="X310" i="22" s="1"/>
  <c r="S278" i="20"/>
  <c r="T278" i="20" s="1"/>
  <c r="W278" i="20"/>
  <c r="X278" i="20" s="1"/>
  <c r="S328" i="20"/>
  <c r="T328" i="20" s="1"/>
  <c r="W328" i="20"/>
  <c r="X328" i="20" s="1"/>
  <c r="W179" i="20"/>
  <c r="X179" i="20" s="1"/>
  <c r="Y179" i="20" s="1"/>
  <c r="S179" i="20"/>
  <c r="T179" i="20" s="1"/>
  <c r="S196" i="20"/>
  <c r="T196" i="20" s="1"/>
  <c r="W196" i="20"/>
  <c r="X196" i="20" s="1"/>
  <c r="Y196" i="20" s="1"/>
  <c r="S300" i="22"/>
  <c r="T300" i="22" s="1"/>
  <c r="W300" i="22"/>
  <c r="X300" i="22" s="1"/>
  <c r="W82" i="22"/>
  <c r="X82" i="22" s="1"/>
  <c r="Y82" i="22" s="1"/>
  <c r="S82" i="22"/>
  <c r="T82" i="22" s="1"/>
  <c r="S85" i="20"/>
  <c r="T85" i="20" s="1"/>
  <c r="W85" i="20"/>
  <c r="X85" i="20" s="1"/>
  <c r="Y85" i="20" s="1"/>
  <c r="W189" i="20"/>
  <c r="X189" i="20" s="1"/>
  <c r="Y189" i="20" s="1"/>
  <c r="S189" i="20"/>
  <c r="T189" i="20" s="1"/>
  <c r="S213" i="22"/>
  <c r="T213" i="22" s="1"/>
  <c r="W213" i="22"/>
  <c r="X213" i="22" s="1"/>
  <c r="Y213" i="22" s="1"/>
  <c r="S216" i="20"/>
  <c r="T216" i="20" s="1"/>
  <c r="W216" i="20"/>
  <c r="X216" i="20" s="1"/>
  <c r="Y216" i="20" s="1"/>
  <c r="S243" i="4"/>
  <c r="T243" i="4" s="1"/>
  <c r="Z315" i="6"/>
  <c r="Z238" i="6"/>
  <c r="Z358" i="6"/>
  <c r="V366" i="6"/>
  <c r="W366" i="6" s="1"/>
  <c r="Z278" i="6"/>
  <c r="Z294" i="6"/>
  <c r="Z280" i="6"/>
  <c r="V246" i="6"/>
  <c r="W246" i="6" s="1"/>
  <c r="S279" i="4"/>
  <c r="T279" i="4" s="1"/>
  <c r="Z129" i="6"/>
  <c r="Z29" i="6"/>
  <c r="V163" i="6"/>
  <c r="W163" i="6" s="1"/>
  <c r="Z205" i="6"/>
  <c r="S288" i="4"/>
  <c r="T288" i="4" s="1"/>
  <c r="Z179" i="6"/>
  <c r="Z157" i="6"/>
  <c r="AA157" i="6" s="1"/>
  <c r="Z363" i="6"/>
  <c r="AA363" i="6" s="1"/>
  <c r="S267" i="4"/>
  <c r="T267" i="4" s="1"/>
  <c r="Z223" i="6"/>
  <c r="V263" i="6"/>
  <c r="W263" i="6" s="1"/>
  <c r="W334" i="4"/>
  <c r="V173" i="6"/>
  <c r="W173" i="6" s="1"/>
  <c r="W363" i="4"/>
  <c r="S265" i="4"/>
  <c r="T265" i="4" s="1"/>
  <c r="Z231" i="6"/>
  <c r="T117" i="6"/>
  <c r="Y117" i="6" s="1"/>
  <c r="D76" i="11" s="1"/>
  <c r="U76" i="11" s="1"/>
  <c r="V117" i="6"/>
  <c r="W117" i="6" s="1"/>
  <c r="T21" i="6"/>
  <c r="Y21" i="6" s="1"/>
  <c r="B80" i="11" s="1"/>
  <c r="Z21" i="6"/>
  <c r="T170" i="6"/>
  <c r="Y170" i="6" s="1"/>
  <c r="F79" i="11" s="1"/>
  <c r="W79" i="11" s="1"/>
  <c r="Z170" i="6"/>
  <c r="Z259" i="6"/>
  <c r="T39" i="6"/>
  <c r="Y39" i="6" s="1"/>
  <c r="H73" i="11" s="1"/>
  <c r="Y73" i="11" s="1"/>
  <c r="T161" i="6"/>
  <c r="Y161" i="6" s="1"/>
  <c r="F70" i="11" s="1"/>
  <c r="W70" i="11" s="1"/>
  <c r="Z161" i="6"/>
  <c r="Q97" i="4"/>
  <c r="V97" i="4" s="1"/>
  <c r="B51" i="18" s="1"/>
  <c r="W97" i="4"/>
  <c r="Z369" i="6"/>
  <c r="Q10" i="4"/>
  <c r="V10" i="4" s="1"/>
  <c r="B40" i="11" s="1"/>
  <c r="S10" i="4"/>
  <c r="T10" i="4" s="1"/>
  <c r="T254" i="6"/>
  <c r="Y254" i="6" s="1"/>
  <c r="D61" i="19" s="1"/>
  <c r="N61" i="19" s="1"/>
  <c r="V254" i="6"/>
  <c r="W254" i="6" s="1"/>
  <c r="T40" i="6"/>
  <c r="Y40" i="6" s="1"/>
  <c r="H74" i="11" s="1"/>
  <c r="Y74" i="11" s="1"/>
  <c r="W233" i="4"/>
  <c r="Z98" i="6"/>
  <c r="Z105" i="6"/>
  <c r="V367" i="6"/>
  <c r="W367" i="6" s="1"/>
  <c r="S209" i="20"/>
  <c r="T209" i="20" s="1"/>
  <c r="W209" i="20"/>
  <c r="X209" i="20" s="1"/>
  <c r="Y209" i="20" s="1"/>
  <c r="W166" i="22"/>
  <c r="X166" i="22" s="1"/>
  <c r="Y166" i="22" s="1"/>
  <c r="S166" i="22"/>
  <c r="T166" i="22" s="1"/>
  <c r="S179" i="22"/>
  <c r="T179" i="22" s="1"/>
  <c r="W179" i="22"/>
  <c r="X179" i="22" s="1"/>
  <c r="Y179" i="22" s="1"/>
  <c r="W258" i="22"/>
  <c r="X258" i="22" s="1"/>
  <c r="S258" i="22"/>
  <c r="T258" i="22" s="1"/>
  <c r="S132" i="20"/>
  <c r="T132" i="20" s="1"/>
  <c r="W132" i="20"/>
  <c r="X132" i="20" s="1"/>
  <c r="Y132" i="20" s="1"/>
  <c r="S230" i="20"/>
  <c r="T230" i="20" s="1"/>
  <c r="W230" i="20"/>
  <c r="X230" i="20" s="1"/>
  <c r="S154" i="20"/>
  <c r="T154" i="20" s="1"/>
  <c r="W154" i="20"/>
  <c r="X154" i="20" s="1"/>
  <c r="Y154" i="20" s="1"/>
  <c r="W111" i="20"/>
  <c r="X111" i="20" s="1"/>
  <c r="Y111" i="20" s="1"/>
  <c r="S111" i="20"/>
  <c r="T111" i="20" s="1"/>
  <c r="S319" i="22"/>
  <c r="T319" i="22" s="1"/>
  <c r="W319" i="22"/>
  <c r="X319" i="22" s="1"/>
  <c r="W152" i="20"/>
  <c r="X152" i="20" s="1"/>
  <c r="Y152" i="20" s="1"/>
  <c r="S152" i="20"/>
  <c r="T152" i="20" s="1"/>
  <c r="S201" i="20"/>
  <c r="T201" i="20" s="1"/>
  <c r="W201" i="20"/>
  <c r="X201" i="20" s="1"/>
  <c r="Y201" i="20" s="1"/>
  <c r="W356" i="20"/>
  <c r="X356" i="20" s="1"/>
  <c r="S356" i="20"/>
  <c r="T356" i="20" s="1"/>
  <c r="S348" i="22"/>
  <c r="T348" i="22" s="1"/>
  <c r="W348" i="22"/>
  <c r="X348" i="22" s="1"/>
  <c r="S323" i="20"/>
  <c r="T323" i="20" s="1"/>
  <c r="W323" i="20"/>
  <c r="X323" i="20" s="1"/>
  <c r="S224" i="20"/>
  <c r="T224" i="20" s="1"/>
  <c r="W224" i="20"/>
  <c r="X224" i="20" s="1"/>
  <c r="W277" i="22"/>
  <c r="X277" i="22" s="1"/>
  <c r="S277" i="22"/>
  <c r="T277" i="22" s="1"/>
  <c r="W327" i="20"/>
  <c r="X327" i="20" s="1"/>
  <c r="S327" i="20"/>
  <c r="T327" i="20" s="1"/>
  <c r="S327" i="22"/>
  <c r="T327" i="22" s="1"/>
  <c r="W327" i="22"/>
  <c r="X327" i="22" s="1"/>
  <c r="S258" i="20"/>
  <c r="T258" i="20" s="1"/>
  <c r="W258" i="20"/>
  <c r="X258" i="20" s="1"/>
  <c r="S279" i="20"/>
  <c r="T279" i="20" s="1"/>
  <c r="W279" i="20"/>
  <c r="X279" i="20" s="1"/>
  <c r="W15" i="20"/>
  <c r="X15" i="20" s="1"/>
  <c r="Y15" i="20" s="1"/>
  <c r="S15" i="20"/>
  <c r="T15" i="20" s="1"/>
  <c r="S195" i="22"/>
  <c r="T195" i="22" s="1"/>
  <c r="W195" i="22"/>
  <c r="X195" i="22" s="1"/>
  <c r="Y195" i="22" s="1"/>
  <c r="S295" i="20"/>
  <c r="T295" i="20" s="1"/>
  <c r="W295" i="20"/>
  <c r="X295" i="20" s="1"/>
  <c r="S84" i="22"/>
  <c r="T84" i="22" s="1"/>
  <c r="W84" i="22"/>
  <c r="X84" i="22" s="1"/>
  <c r="Y84" i="22" s="1"/>
  <c r="S167" i="22"/>
  <c r="T167" i="22" s="1"/>
  <c r="W167" i="22"/>
  <c r="X167" i="22" s="1"/>
  <c r="Y167" i="22" s="1"/>
  <c r="S4" i="20"/>
  <c r="T4" i="20" s="1"/>
  <c r="W4" i="20"/>
  <c r="X4" i="20" s="1"/>
  <c r="Y4" i="20" s="1"/>
  <c r="S188" i="22"/>
  <c r="T188" i="22" s="1"/>
  <c r="W188" i="22"/>
  <c r="X188" i="22" s="1"/>
  <c r="Y188" i="22" s="1"/>
  <c r="W215" i="22"/>
  <c r="X215" i="22" s="1"/>
  <c r="Y215" i="22" s="1"/>
  <c r="S215" i="22"/>
  <c r="T215" i="22" s="1"/>
  <c r="S365" i="20"/>
  <c r="T365" i="20" s="1"/>
  <c r="W365" i="20"/>
  <c r="X365" i="20" s="1"/>
  <c r="S336" i="22"/>
  <c r="T336" i="22" s="1"/>
  <c r="W336" i="22"/>
  <c r="X336" i="22" s="1"/>
  <c r="Z347" i="6"/>
  <c r="Z287" i="6"/>
  <c r="W187" i="4"/>
  <c r="Z323" i="6"/>
  <c r="AA323" i="6" s="1"/>
  <c r="V244" i="6"/>
  <c r="W244" i="6" s="1"/>
  <c r="Z362" i="6"/>
  <c r="V343" i="6"/>
  <c r="W343" i="6" s="1"/>
  <c r="W244" i="4"/>
  <c r="V273" i="6"/>
  <c r="W273" i="6" s="1"/>
  <c r="V268" i="6"/>
  <c r="W268" i="6" s="1"/>
  <c r="Z303" i="6"/>
  <c r="Z307" i="6"/>
  <c r="Z335" i="6"/>
  <c r="Z167" i="6"/>
  <c r="V370" i="6"/>
  <c r="W370" i="6" s="1"/>
  <c r="V215" i="6"/>
  <c r="W215" i="6" s="1"/>
  <c r="S4" i="4"/>
  <c r="T4" i="4" s="1"/>
  <c r="S342" i="4"/>
  <c r="T342" i="4" s="1"/>
  <c r="Z342" i="6"/>
  <c r="W156" i="4"/>
  <c r="X156" i="4" s="1"/>
  <c r="V281" i="6"/>
  <c r="W281" i="6" s="1"/>
  <c r="W215" i="4"/>
  <c r="Z208" i="6"/>
  <c r="Z267" i="6"/>
  <c r="S82" i="4"/>
  <c r="T82" i="4" s="1"/>
  <c r="W110" i="4"/>
  <c r="J35" i="18"/>
  <c r="W308" i="4"/>
  <c r="X308" i="4" s="1"/>
  <c r="T44" i="6"/>
  <c r="Y44" i="6" s="1"/>
  <c r="H78" i="11" s="1"/>
  <c r="Y78" i="11" s="1"/>
  <c r="T320" i="6"/>
  <c r="Y320" i="6" s="1"/>
  <c r="H77" i="19" s="1"/>
  <c r="Z320" i="6"/>
  <c r="Z265" i="6"/>
  <c r="T109" i="6"/>
  <c r="Y109" i="6" s="1"/>
  <c r="D68" i="11" s="1"/>
  <c r="U68" i="11" s="1"/>
  <c r="Z109" i="6"/>
  <c r="S348" i="4"/>
  <c r="T348" i="4" s="1"/>
  <c r="T134" i="6"/>
  <c r="Y134" i="6" s="1"/>
  <c r="D67" i="18" s="1"/>
  <c r="S67" i="18" s="1"/>
  <c r="Y67" i="18" s="1"/>
  <c r="Z134" i="6"/>
  <c r="T353" i="6"/>
  <c r="Y353" i="6" s="1"/>
  <c r="L60" i="19" s="1"/>
  <c r="N60" i="19" s="1"/>
  <c r="V353" i="6"/>
  <c r="W353" i="6" s="1"/>
  <c r="S84" i="4"/>
  <c r="T84" i="4" s="1"/>
  <c r="Q5" i="4"/>
  <c r="V5" i="4" s="1"/>
  <c r="B35" i="11" s="1"/>
  <c r="S5" i="4"/>
  <c r="T5" i="4" s="1"/>
  <c r="T103" i="6"/>
  <c r="Y103" i="6" s="1"/>
  <c r="D62" i="11" s="1"/>
  <c r="U62" i="11" s="1"/>
  <c r="Z103" i="6"/>
  <c r="S60" i="4"/>
  <c r="W168" i="20"/>
  <c r="X168" i="20" s="1"/>
  <c r="Y168" i="20" s="1"/>
  <c r="S168" i="20"/>
  <c r="T168" i="20" s="1"/>
  <c r="Z220" i="6"/>
  <c r="S310" i="20"/>
  <c r="T310" i="20" s="1"/>
  <c r="W310" i="20"/>
  <c r="X310" i="20" s="1"/>
  <c r="S131" i="22"/>
  <c r="T131" i="22" s="1"/>
  <c r="W131" i="22"/>
  <c r="X131" i="22" s="1"/>
  <c r="Y131" i="22" s="1"/>
  <c r="W308" i="20"/>
  <c r="X308" i="20" s="1"/>
  <c r="S308" i="20"/>
  <c r="T308" i="20" s="1"/>
  <c r="W181" i="20"/>
  <c r="X181" i="20" s="1"/>
  <c r="Y181" i="20" s="1"/>
  <c r="S181" i="20"/>
  <c r="T181" i="20" s="1"/>
  <c r="W151" i="22"/>
  <c r="X151" i="22" s="1"/>
  <c r="Y151" i="22" s="1"/>
  <c r="S151" i="22"/>
  <c r="T151" i="22" s="1"/>
  <c r="S330" i="20"/>
  <c r="T330" i="20" s="1"/>
  <c r="W330" i="20"/>
  <c r="X330" i="20" s="1"/>
  <c r="W355" i="22"/>
  <c r="X355" i="22" s="1"/>
  <c r="S355" i="22"/>
  <c r="T355" i="22" s="1"/>
  <c r="S322" i="22"/>
  <c r="T322" i="22" s="1"/>
  <c r="W322" i="22"/>
  <c r="X322" i="22" s="1"/>
  <c r="S223" i="22"/>
  <c r="T223" i="22" s="1"/>
  <c r="W223" i="22"/>
  <c r="X223" i="22" s="1"/>
  <c r="S326" i="22"/>
  <c r="T326" i="22" s="1"/>
  <c r="W326" i="22"/>
  <c r="X326" i="22" s="1"/>
  <c r="S257" i="22"/>
  <c r="T257" i="22" s="1"/>
  <c r="W257" i="22"/>
  <c r="X257" i="22" s="1"/>
  <c r="S251" i="20"/>
  <c r="T251" i="20" s="1"/>
  <c r="W251" i="20"/>
  <c r="X251" i="20" s="1"/>
  <c r="W278" i="22"/>
  <c r="X278" i="22" s="1"/>
  <c r="S278" i="22"/>
  <c r="T278" i="22" s="1"/>
  <c r="S15" i="22"/>
  <c r="T15" i="22" s="1"/>
  <c r="W15" i="22"/>
  <c r="X15" i="22" s="1"/>
  <c r="Y15" i="22" s="1"/>
  <c r="W294" i="22"/>
  <c r="X294" i="22" s="1"/>
  <c r="S294" i="22"/>
  <c r="T294" i="22" s="1"/>
  <c r="W326" i="20"/>
  <c r="X326" i="20" s="1"/>
  <c r="S326" i="20"/>
  <c r="T326" i="20" s="1"/>
  <c r="S37" i="20"/>
  <c r="T37" i="20" s="1"/>
  <c r="W37" i="20"/>
  <c r="X37" i="20" s="1"/>
  <c r="Y37" i="20" s="1"/>
  <c r="S4" i="22"/>
  <c r="T4" i="22" s="1"/>
  <c r="W4" i="22"/>
  <c r="X4" i="22" s="1"/>
  <c r="Y4" i="22" s="1"/>
  <c r="S333" i="22"/>
  <c r="T333" i="22" s="1"/>
  <c r="W333" i="22"/>
  <c r="X333" i="22" s="1"/>
  <c r="W182" i="20"/>
  <c r="X182" i="20" s="1"/>
  <c r="Y182" i="20" s="1"/>
  <c r="S182" i="20"/>
  <c r="T182" i="20" s="1"/>
  <c r="S288" i="22"/>
  <c r="T288" i="22" s="1"/>
  <c r="W288" i="22"/>
  <c r="X288" i="22" s="1"/>
  <c r="S110" i="20"/>
  <c r="T110" i="20" s="1"/>
  <c r="W110" i="20"/>
  <c r="X110" i="20" s="1"/>
  <c r="Y110" i="20" s="1"/>
  <c r="Z171" i="6"/>
  <c r="V338" i="6"/>
  <c r="W338" i="6" s="1"/>
  <c r="Z128" i="6"/>
  <c r="AA16" i="6"/>
  <c r="C75" i="11"/>
  <c r="T75" i="11" s="1"/>
  <c r="V346" i="6"/>
  <c r="W346" i="6" s="1"/>
  <c r="V243" i="6"/>
  <c r="W243" i="6" s="1"/>
  <c r="V298" i="6"/>
  <c r="W298" i="6" s="1"/>
  <c r="V310" i="6"/>
  <c r="W310" i="6" s="1"/>
  <c r="Z136" i="6"/>
  <c r="V86" i="6"/>
  <c r="W86" i="6" s="1"/>
  <c r="Z371" i="6"/>
  <c r="V172" i="6"/>
  <c r="W172" i="6" s="1"/>
  <c r="V87" i="6"/>
  <c r="W87" i="6" s="1"/>
  <c r="S6" i="4"/>
  <c r="T6" i="4" s="1"/>
  <c r="Z178" i="6"/>
  <c r="W22" i="4"/>
  <c r="Z207" i="6"/>
  <c r="V192" i="6"/>
  <c r="W192" i="6" s="1"/>
  <c r="Z135" i="6"/>
  <c r="W309" i="4"/>
  <c r="Z247" i="6"/>
  <c r="Z35" i="6"/>
  <c r="V236" i="6"/>
  <c r="W236" i="6" s="1"/>
  <c r="Z296" i="6"/>
  <c r="V355" i="6"/>
  <c r="W355" i="6" s="1"/>
  <c r="Z318" i="6"/>
  <c r="V286" i="6"/>
  <c r="W286" i="6" s="1"/>
  <c r="W305" i="4"/>
  <c r="S257" i="4"/>
  <c r="T257" i="4" s="1"/>
  <c r="T12" i="6"/>
  <c r="Y12" i="6" s="1"/>
  <c r="B71" i="11" s="1"/>
  <c r="S71" i="11" s="1"/>
  <c r="Z12" i="6"/>
  <c r="T120" i="6"/>
  <c r="Y120" i="6" s="1"/>
  <c r="D79" i="11" s="1"/>
  <c r="U79" i="11" s="1"/>
  <c r="Z120" i="6"/>
  <c r="Z354" i="6"/>
  <c r="T270" i="6"/>
  <c r="Y270" i="6" s="1"/>
  <c r="D77" i="19" s="1"/>
  <c r="V270" i="6"/>
  <c r="W270" i="6" s="1"/>
  <c r="T169" i="6"/>
  <c r="Y169" i="6" s="1"/>
  <c r="F78" i="11" s="1"/>
  <c r="W78" i="11" s="1"/>
  <c r="V169" i="6"/>
  <c r="W169" i="6" s="1"/>
  <c r="W280" i="4"/>
  <c r="W361" i="4"/>
  <c r="V285" i="6"/>
  <c r="W285" i="6" s="1"/>
  <c r="Z81" i="6"/>
  <c r="Z43" i="6"/>
  <c r="S364" i="20"/>
  <c r="T364" i="20" s="1"/>
  <c r="W364" i="20"/>
  <c r="X364" i="20" s="1"/>
  <c r="S207" i="20"/>
  <c r="T207" i="20" s="1"/>
  <c r="W207" i="20"/>
  <c r="X207" i="20" s="1"/>
  <c r="Y207" i="20" s="1"/>
  <c r="W187" i="20"/>
  <c r="X187" i="20" s="1"/>
  <c r="Y187" i="20" s="1"/>
  <c r="S187" i="20"/>
  <c r="T187" i="20" s="1"/>
  <c r="W274" i="22"/>
  <c r="X274" i="22" s="1"/>
  <c r="S274" i="22"/>
  <c r="T274" i="22" s="1"/>
  <c r="S221" i="22"/>
  <c r="T221" i="22" s="1"/>
  <c r="W221" i="22"/>
  <c r="X221" i="22" s="1"/>
  <c r="W229" i="22"/>
  <c r="X229" i="22" s="1"/>
  <c r="S229" i="22"/>
  <c r="T229" i="22" s="1"/>
  <c r="W158" i="20"/>
  <c r="X158" i="20" s="1"/>
  <c r="Y158" i="20" s="1"/>
  <c r="S158" i="20"/>
  <c r="T158" i="20" s="1"/>
  <c r="S160" i="20"/>
  <c r="T160" i="20" s="1"/>
  <c r="W160" i="20"/>
  <c r="X160" i="20" s="1"/>
  <c r="Y160" i="20" s="1"/>
  <c r="S264" i="20"/>
  <c r="T264" i="20" s="1"/>
  <c r="W264" i="20"/>
  <c r="X264" i="20" s="1"/>
  <c r="S155" i="20"/>
  <c r="T155" i="20" s="1"/>
  <c r="W155" i="20"/>
  <c r="X155" i="20" s="1"/>
  <c r="Y155" i="20" s="1"/>
  <c r="W307" i="22"/>
  <c r="X307" i="22" s="1"/>
  <c r="S307" i="22"/>
  <c r="T307" i="22" s="1"/>
  <c r="W64" i="20"/>
  <c r="X64" i="20" s="1"/>
  <c r="Y64" i="20" s="1"/>
  <c r="S64" i="20"/>
  <c r="T64" i="20" s="1"/>
  <c r="W180" i="22"/>
  <c r="X180" i="22" s="1"/>
  <c r="Y180" i="22" s="1"/>
  <c r="S180" i="22"/>
  <c r="T180" i="22" s="1"/>
  <c r="S7" i="20"/>
  <c r="T7" i="20" s="1"/>
  <c r="W7" i="20"/>
  <c r="X7" i="20" s="1"/>
  <c r="Y7" i="20" s="1"/>
  <c r="S329" i="22"/>
  <c r="T329" i="22" s="1"/>
  <c r="W329" i="22"/>
  <c r="X329" i="22" s="1"/>
  <c r="W363" i="20"/>
  <c r="X363" i="20" s="1"/>
  <c r="S363" i="20"/>
  <c r="T363" i="20" s="1"/>
  <c r="S346" i="20"/>
  <c r="T346" i="20" s="1"/>
  <c r="W346" i="20"/>
  <c r="X346" i="20" s="1"/>
  <c r="S250" i="20"/>
  <c r="T250" i="20" s="1"/>
  <c r="W250" i="20"/>
  <c r="X250" i="20" s="1"/>
  <c r="S256" i="20"/>
  <c r="T256" i="20" s="1"/>
  <c r="W256" i="20"/>
  <c r="X256" i="20" s="1"/>
  <c r="S250" i="22"/>
  <c r="T250" i="22" s="1"/>
  <c r="W250" i="22"/>
  <c r="X250" i="22" s="1"/>
  <c r="S303" i="20"/>
  <c r="T303" i="20" s="1"/>
  <c r="W303" i="20"/>
  <c r="X303" i="20" s="1"/>
  <c r="S271" i="20"/>
  <c r="T271" i="20" s="1"/>
  <c r="W271" i="20"/>
  <c r="X271" i="20" s="1"/>
  <c r="W36" i="22"/>
  <c r="X36" i="22" s="1"/>
  <c r="Y36" i="22" s="1"/>
  <c r="S36" i="22"/>
  <c r="T36" i="22" s="1"/>
  <c r="S231" i="20"/>
  <c r="T231" i="20" s="1"/>
  <c r="W231" i="20"/>
  <c r="X231" i="20" s="1"/>
  <c r="W252" i="20"/>
  <c r="X252" i="20" s="1"/>
  <c r="S252" i="20"/>
  <c r="T252" i="20" s="1"/>
  <c r="S53" i="20"/>
  <c r="T53" i="20" s="1"/>
  <c r="W53" i="20"/>
  <c r="X53" i="20" s="1"/>
  <c r="Y53" i="20" s="1"/>
  <c r="S181" i="22"/>
  <c r="T181" i="22" s="1"/>
  <c r="W181" i="22"/>
  <c r="X181" i="22" s="1"/>
  <c r="Y181" i="22" s="1"/>
  <c r="S234" i="22"/>
  <c r="T234" i="22" s="1"/>
  <c r="W234" i="22"/>
  <c r="X234" i="22" s="1"/>
  <c r="S238" i="22"/>
  <c r="T238" i="22" s="1"/>
  <c r="W238" i="22"/>
  <c r="X238" i="22" s="1"/>
  <c r="Z272" i="6"/>
  <c r="V228" i="6"/>
  <c r="W228" i="6" s="1"/>
  <c r="Z94" i="6"/>
  <c r="AA94" i="6" s="1"/>
  <c r="Z232" i="6"/>
  <c r="Z235" i="6"/>
  <c r="Z336" i="6"/>
  <c r="V364" i="6"/>
  <c r="W364" i="6" s="1"/>
  <c r="W15" i="4"/>
  <c r="Z328" i="6"/>
  <c r="S319" i="4"/>
  <c r="T319" i="4" s="1"/>
  <c r="Z297" i="6"/>
  <c r="V311" i="6"/>
  <c r="W311" i="6" s="1"/>
  <c r="W13" i="4"/>
  <c r="W344" i="4"/>
  <c r="Z144" i="6"/>
  <c r="AA144" i="6" s="1"/>
  <c r="W220" i="4"/>
  <c r="W78" i="4"/>
  <c r="V260" i="6"/>
  <c r="W260" i="6" s="1"/>
  <c r="V196" i="6"/>
  <c r="W196" i="6" s="1"/>
  <c r="Z308" i="6"/>
  <c r="T62" i="6"/>
  <c r="Y62" i="6" s="1"/>
  <c r="J71" i="11" s="1"/>
  <c r="AA71" i="11" s="1"/>
  <c r="Q119" i="4"/>
  <c r="V119" i="4" s="1"/>
  <c r="D49" i="11" s="1"/>
  <c r="W119" i="4"/>
  <c r="Z359" i="6"/>
  <c r="T69" i="6"/>
  <c r="Y69" i="6" s="1"/>
  <c r="J78" i="11" s="1"/>
  <c r="AA78" i="11" s="1"/>
  <c r="T63" i="6"/>
  <c r="Y63" i="6" s="1"/>
  <c r="J72" i="11" s="1"/>
  <c r="S36" i="4"/>
  <c r="V168" i="6"/>
  <c r="W168" i="6" s="1"/>
  <c r="W112" i="4"/>
  <c r="T198" i="6"/>
  <c r="Y198" i="6" s="1"/>
  <c r="F81" i="18" s="1"/>
  <c r="U81" i="18" s="1"/>
  <c r="V198" i="6"/>
  <c r="W198" i="6" s="1"/>
  <c r="Q304" i="4"/>
  <c r="V304" i="4" s="1"/>
  <c r="H33" i="19" s="1"/>
  <c r="N33" i="19" s="1"/>
  <c r="S304" i="4"/>
  <c r="Z209" i="6"/>
  <c r="W159" i="22"/>
  <c r="X159" i="22" s="1"/>
  <c r="Y159" i="22" s="1"/>
  <c r="S159" i="22"/>
  <c r="T159" i="22" s="1"/>
  <c r="S348" i="20"/>
  <c r="T348" i="20" s="1"/>
  <c r="W348" i="20"/>
  <c r="X348" i="20" s="1"/>
  <c r="S263" i="22"/>
  <c r="T263" i="22" s="1"/>
  <c r="W263" i="22"/>
  <c r="X263" i="22" s="1"/>
  <c r="W280" i="20"/>
  <c r="X280" i="20" s="1"/>
  <c r="S280" i="20"/>
  <c r="T280" i="20" s="1"/>
  <c r="S154" i="22"/>
  <c r="T154" i="22" s="1"/>
  <c r="W154" i="22"/>
  <c r="X154" i="22" s="1"/>
  <c r="Y154" i="22" s="1"/>
  <c r="W249" i="20"/>
  <c r="X249" i="20" s="1"/>
  <c r="S249" i="20"/>
  <c r="T249" i="20" s="1"/>
  <c r="S200" i="20"/>
  <c r="T200" i="20" s="1"/>
  <c r="W200" i="20"/>
  <c r="X200" i="20" s="1"/>
  <c r="Y200" i="20" s="1"/>
  <c r="W103" i="22"/>
  <c r="X103" i="22" s="1"/>
  <c r="Y103" i="22" s="1"/>
  <c r="S103" i="22"/>
  <c r="T103" i="22" s="1"/>
  <c r="W57" i="20"/>
  <c r="X57" i="20" s="1"/>
  <c r="Y57" i="20" s="1"/>
  <c r="S57" i="20"/>
  <c r="T57" i="20" s="1"/>
  <c r="W362" i="22"/>
  <c r="X362" i="22" s="1"/>
  <c r="S362" i="22"/>
  <c r="T362" i="22" s="1"/>
  <c r="W23" i="20"/>
  <c r="X23" i="20" s="1"/>
  <c r="Y23" i="20" s="1"/>
  <c r="S23" i="20"/>
  <c r="T23" i="20" s="1"/>
  <c r="S345" i="22"/>
  <c r="T345" i="22" s="1"/>
  <c r="W345" i="22"/>
  <c r="X345" i="22" s="1"/>
  <c r="S255" i="22"/>
  <c r="T255" i="22" s="1"/>
  <c r="W255" i="22"/>
  <c r="X255" i="22" s="1"/>
  <c r="S29" i="20"/>
  <c r="T29" i="20" s="1"/>
  <c r="W29" i="20"/>
  <c r="X29" i="20" s="1"/>
  <c r="Y29" i="20" s="1"/>
  <c r="W186" i="20"/>
  <c r="X186" i="20" s="1"/>
  <c r="Y186" i="20" s="1"/>
  <c r="S186" i="20"/>
  <c r="T186" i="20" s="1"/>
  <c r="S322" i="20"/>
  <c r="T322" i="20" s="1"/>
  <c r="W322" i="20"/>
  <c r="X322" i="20" s="1"/>
  <c r="W270" i="22"/>
  <c r="X270" i="22" s="1"/>
  <c r="S270" i="22"/>
  <c r="T270" i="22" s="1"/>
  <c r="S251" i="22"/>
  <c r="T251" i="22" s="1"/>
  <c r="W251" i="22"/>
  <c r="X251" i="22" s="1"/>
  <c r="S351" i="20"/>
  <c r="T351" i="20" s="1"/>
  <c r="W351" i="20"/>
  <c r="X351" i="20" s="1"/>
  <c r="S178" i="20"/>
  <c r="T178" i="20" s="1"/>
  <c r="W178" i="20"/>
  <c r="X178" i="20" s="1"/>
  <c r="Y178" i="20" s="1"/>
  <c r="S228" i="20"/>
  <c r="T228" i="20" s="1"/>
  <c r="W228" i="20"/>
  <c r="X228" i="20" s="1"/>
  <c r="S320" i="22"/>
  <c r="T320" i="22" s="1"/>
  <c r="W320" i="22"/>
  <c r="X320" i="22" s="1"/>
  <c r="V221" i="6"/>
  <c r="W221" i="6" s="1"/>
  <c r="Z240" i="6"/>
  <c r="Z195" i="6"/>
  <c r="AA195" i="6" s="1"/>
  <c r="W318" i="4"/>
  <c r="Z148" i="6"/>
  <c r="Z159" i="6"/>
  <c r="V357" i="6"/>
  <c r="W357" i="6" s="1"/>
  <c r="Z194" i="6"/>
  <c r="Z214" i="6"/>
  <c r="Z345" i="6"/>
  <c r="Z85" i="6"/>
  <c r="Z279" i="6"/>
  <c r="V258" i="6"/>
  <c r="W258" i="6" s="1"/>
  <c r="V237" i="6"/>
  <c r="W237" i="6" s="1"/>
  <c r="Z230" i="6"/>
  <c r="Z317" i="6"/>
  <c r="S370" i="4"/>
  <c r="T370" i="4" s="1"/>
  <c r="W371" i="4"/>
  <c r="Z186" i="6"/>
  <c r="Z229" i="6"/>
  <c r="Z193" i="6"/>
  <c r="Z165" i="6"/>
  <c r="W281" i="4"/>
  <c r="G35" i="19" s="1"/>
  <c r="W158" i="4"/>
  <c r="Z337" i="6"/>
  <c r="W107" i="4"/>
  <c r="Z222" i="6"/>
  <c r="AA222" i="6" s="1"/>
  <c r="Q118" i="4"/>
  <c r="V118" i="4" s="1"/>
  <c r="D48" i="11" s="1"/>
  <c r="U48" i="11" s="1"/>
  <c r="Z239" i="6"/>
  <c r="Z271" i="6"/>
  <c r="S65" i="4"/>
  <c r="T65" i="4" s="1"/>
  <c r="Q368" i="4"/>
  <c r="V368" i="4" s="1"/>
  <c r="L47" i="19" s="1"/>
  <c r="N47" i="19" s="1"/>
  <c r="S368" i="4"/>
  <c r="T368" i="4" s="1"/>
  <c r="T18" i="6"/>
  <c r="Y18" i="6" s="1"/>
  <c r="B77" i="11" s="1"/>
  <c r="S77" i="11" s="1"/>
  <c r="Z18" i="6"/>
  <c r="T108" i="6"/>
  <c r="Y108" i="6" s="1"/>
  <c r="D67" i="11" s="1"/>
  <c r="U67" i="11" s="1"/>
  <c r="Z108" i="6"/>
  <c r="T28" i="6"/>
  <c r="Y28" i="6" s="1"/>
  <c r="H62" i="11" s="1"/>
  <c r="Y62" i="11" s="1"/>
  <c r="V241" i="6"/>
  <c r="W241" i="6" s="1"/>
  <c r="Q340" i="4"/>
  <c r="V340" i="4" s="1"/>
  <c r="J44" i="19" s="1"/>
  <c r="N44" i="19" s="1"/>
  <c r="S340" i="4"/>
  <c r="T340" i="4" s="1"/>
  <c r="T64" i="6"/>
  <c r="Y64" i="6" s="1"/>
  <c r="J73" i="11" s="1"/>
  <c r="AA73" i="11" s="1"/>
  <c r="T8" i="6"/>
  <c r="Y8" i="6" s="1"/>
  <c r="B67" i="11" s="1"/>
  <c r="S67" i="11" s="1"/>
  <c r="Z8" i="6"/>
  <c r="Z182" i="6"/>
  <c r="W32" i="4"/>
  <c r="W63" i="22"/>
  <c r="X63" i="22" s="1"/>
  <c r="Y63" i="22" s="1"/>
  <c r="S63" i="22"/>
  <c r="T63" i="22" s="1"/>
  <c r="Z316" i="6"/>
  <c r="S69" i="22"/>
  <c r="T69" i="22" s="1"/>
  <c r="W69" i="22"/>
  <c r="X69" i="22" s="1"/>
  <c r="Y69" i="22" s="1"/>
  <c r="S347" i="22"/>
  <c r="T347" i="22" s="1"/>
  <c r="W347" i="22"/>
  <c r="X347" i="22" s="1"/>
  <c r="W279" i="22"/>
  <c r="X279" i="22" s="1"/>
  <c r="S279" i="22"/>
  <c r="T279" i="22" s="1"/>
  <c r="S248" i="22"/>
  <c r="T248" i="22" s="1"/>
  <c r="W248" i="22"/>
  <c r="X248" i="22" s="1"/>
  <c r="S339" i="20"/>
  <c r="T339" i="20" s="1"/>
  <c r="W339" i="20"/>
  <c r="X339" i="20" s="1"/>
  <c r="W238" i="20"/>
  <c r="X238" i="20" s="1"/>
  <c r="S238" i="20"/>
  <c r="T238" i="20" s="1"/>
  <c r="S357" i="20"/>
  <c r="T357" i="20" s="1"/>
  <c r="W357" i="20"/>
  <c r="X357" i="20" s="1"/>
  <c r="S174" i="20"/>
  <c r="T174" i="20" s="1"/>
  <c r="W174" i="20"/>
  <c r="X174" i="20" s="1"/>
  <c r="Y174" i="20" s="1"/>
  <c r="W56" i="22"/>
  <c r="X56" i="22" s="1"/>
  <c r="Y56" i="22" s="1"/>
  <c r="S56" i="22"/>
  <c r="T56" i="22" s="1"/>
  <c r="S23" i="22"/>
  <c r="T23" i="22" s="1"/>
  <c r="W23" i="22"/>
  <c r="X23" i="22" s="1"/>
  <c r="Y23" i="22" s="1"/>
  <c r="W260" i="20"/>
  <c r="X260" i="20" s="1"/>
  <c r="S260" i="20"/>
  <c r="T260" i="20" s="1"/>
  <c r="S22" i="20"/>
  <c r="T22" i="20" s="1"/>
  <c r="W22" i="20"/>
  <c r="X22" i="20" s="1"/>
  <c r="Y22" i="20" s="1"/>
  <c r="S315" i="20"/>
  <c r="T315" i="20" s="1"/>
  <c r="W315" i="20"/>
  <c r="X315" i="20" s="1"/>
  <c r="W290" i="20"/>
  <c r="X290" i="20" s="1"/>
  <c r="S290" i="20"/>
  <c r="T290" i="20" s="1"/>
  <c r="S161" i="20"/>
  <c r="T161" i="20" s="1"/>
  <c r="W161" i="20"/>
  <c r="X161" i="20" s="1"/>
  <c r="Y161" i="20" s="1"/>
  <c r="S28" i="22"/>
  <c r="T28" i="22" s="1"/>
  <c r="W28" i="22"/>
  <c r="X28" i="22" s="1"/>
  <c r="Y28" i="22" s="1"/>
  <c r="W288" i="20"/>
  <c r="X288" i="20" s="1"/>
  <c r="S288" i="20"/>
  <c r="T288" i="20" s="1"/>
  <c r="S321" i="22"/>
  <c r="T321" i="22" s="1"/>
  <c r="W321" i="22"/>
  <c r="X321" i="22" s="1"/>
  <c r="S220" i="20"/>
  <c r="T220" i="20" s="1"/>
  <c r="W220" i="20"/>
  <c r="X220" i="20" s="1"/>
  <c r="S350" i="22"/>
  <c r="T350" i="22" s="1"/>
  <c r="W350" i="22"/>
  <c r="X350" i="22" s="1"/>
  <c r="W236" i="20"/>
  <c r="X236" i="20" s="1"/>
  <c r="S236" i="20"/>
  <c r="T236" i="20" s="1"/>
  <c r="S363" i="22"/>
  <c r="T363" i="22" s="1"/>
  <c r="W363" i="22"/>
  <c r="X363" i="22" s="1"/>
  <c r="W227" i="22"/>
  <c r="X227" i="22" s="1"/>
  <c r="S227" i="22"/>
  <c r="T227" i="22" s="1"/>
  <c r="S119" i="22"/>
  <c r="T119" i="22" s="1"/>
  <c r="W119" i="22"/>
  <c r="X119" i="22" s="1"/>
  <c r="Y119" i="22" s="1"/>
  <c r="Z145" i="6"/>
  <c r="Z295" i="6"/>
  <c r="Z185" i="6"/>
  <c r="Z212" i="6"/>
  <c r="Z140" i="6"/>
  <c r="V322" i="6"/>
  <c r="W322" i="6" s="1"/>
  <c r="Z147" i="6"/>
  <c r="V373" i="6"/>
  <c r="W373" i="6" s="1"/>
  <c r="Z255" i="6"/>
  <c r="V319" i="6"/>
  <c r="W319" i="6" s="1"/>
  <c r="Z146" i="6"/>
  <c r="Z216" i="6"/>
  <c r="V283" i="6"/>
  <c r="W283" i="6" s="1"/>
  <c r="Z93" i="6"/>
  <c r="AA93" i="6" s="1"/>
  <c r="Z306" i="6"/>
  <c r="AA306" i="6" s="1"/>
  <c r="Z256" i="6"/>
  <c r="Z245" i="6"/>
  <c r="Z91" i="6"/>
  <c r="Z187" i="6"/>
  <c r="Z37" i="6"/>
  <c r="V132" i="6"/>
  <c r="W132" i="6" s="1"/>
  <c r="W20" i="4"/>
  <c r="Z329" i="6"/>
  <c r="Z291" i="6"/>
  <c r="Z372" i="6"/>
  <c r="Z309" i="6"/>
  <c r="W138" i="4"/>
  <c r="V331" i="6"/>
  <c r="W331" i="6" s="1"/>
  <c r="Z158" i="6"/>
  <c r="S239" i="4"/>
  <c r="T239" i="4" s="1"/>
  <c r="Z282" i="6"/>
  <c r="Z344" i="6"/>
  <c r="Q36" i="4"/>
  <c r="V36" i="4" s="1"/>
  <c r="H41" i="11" s="1"/>
  <c r="Y41" i="11" s="1"/>
  <c r="AA3" i="6"/>
  <c r="C62" i="11"/>
  <c r="T62" i="11" s="1"/>
  <c r="S262" i="4"/>
  <c r="T262" i="4" s="1"/>
  <c r="Y321" i="6"/>
  <c r="H78" i="19" s="1"/>
  <c r="N78" i="19" s="1"/>
  <c r="Z321" i="6"/>
  <c r="T162" i="6"/>
  <c r="Y162" i="6" s="1"/>
  <c r="F71" i="11" s="1"/>
  <c r="W71" i="11" s="1"/>
  <c r="Z162" i="6"/>
  <c r="T41" i="6"/>
  <c r="Y41" i="6" s="1"/>
  <c r="H75" i="11" s="1"/>
  <c r="Y75" i="11" s="1"/>
  <c r="T115" i="6"/>
  <c r="Y115" i="6" s="1"/>
  <c r="D74" i="11" s="1"/>
  <c r="U74" i="11" s="1"/>
  <c r="V115" i="6"/>
  <c r="W115" i="6" s="1"/>
  <c r="T33" i="6"/>
  <c r="Y33" i="6" s="1"/>
  <c r="H67" i="11" s="1"/>
  <c r="Y67" i="11" s="1"/>
  <c r="T197" i="6"/>
  <c r="Y197" i="6" s="1"/>
  <c r="F80" i="18" s="1"/>
  <c r="U80" i="18" s="1"/>
  <c r="V197" i="6"/>
  <c r="W197" i="6" s="1"/>
  <c r="W141" i="4"/>
  <c r="S206" i="4"/>
  <c r="T206" i="4" s="1"/>
  <c r="Q341" i="4"/>
  <c r="V341" i="4" s="1"/>
  <c r="J45" i="19" s="1"/>
  <c r="N45" i="19" s="1"/>
  <c r="S341" i="4"/>
  <c r="T341" i="4" s="1"/>
  <c r="Q133" i="4"/>
  <c r="V133" i="4" s="1"/>
  <c r="D37" i="18" s="1"/>
  <c r="W133" i="4"/>
  <c r="V217" i="6"/>
  <c r="W217" i="6" s="1"/>
  <c r="S261" i="4"/>
  <c r="T261" i="4" s="1"/>
  <c r="S214" i="20"/>
  <c r="T214" i="20" s="1"/>
  <c r="W214" i="20"/>
  <c r="X214" i="20" s="1"/>
  <c r="Y214" i="20" s="1"/>
  <c r="S152" i="22"/>
  <c r="T152" i="22" s="1"/>
  <c r="W152" i="22"/>
  <c r="X152" i="22" s="1"/>
  <c r="Y152" i="22" s="1"/>
  <c r="W231" i="22"/>
  <c r="X231" i="22" s="1"/>
  <c r="S231" i="22"/>
  <c r="T231" i="22" s="1"/>
  <c r="S354" i="22"/>
  <c r="T354" i="22" s="1"/>
  <c r="W354" i="22"/>
  <c r="X354" i="22" s="1"/>
  <c r="S136" i="20"/>
  <c r="T136" i="20" s="1"/>
  <c r="W136" i="20"/>
  <c r="X136" i="20" s="1"/>
  <c r="Y136" i="20" s="1"/>
  <c r="S338" i="22"/>
  <c r="T338" i="22" s="1"/>
  <c r="W338" i="22"/>
  <c r="X338" i="22" s="1"/>
  <c r="W124" i="20"/>
  <c r="X124" i="20" s="1"/>
  <c r="Y124" i="20" s="1"/>
  <c r="S124" i="20"/>
  <c r="T124" i="20" s="1"/>
  <c r="S237" i="22"/>
  <c r="T237" i="22" s="1"/>
  <c r="W237" i="22"/>
  <c r="X237" i="22" s="1"/>
  <c r="W362" i="20"/>
  <c r="X362" i="20" s="1"/>
  <c r="S362" i="20"/>
  <c r="T362" i="20" s="1"/>
  <c r="S356" i="22"/>
  <c r="T356" i="22" s="1"/>
  <c r="W356" i="22"/>
  <c r="X356" i="22" s="1"/>
  <c r="S309" i="20"/>
  <c r="T309" i="20" s="1"/>
  <c r="W309" i="20"/>
  <c r="X309" i="20" s="1"/>
  <c r="S173" i="22"/>
  <c r="T173" i="22" s="1"/>
  <c r="W173" i="22"/>
  <c r="X173" i="22" s="1"/>
  <c r="Y173" i="22" s="1"/>
  <c r="S263" i="20"/>
  <c r="T263" i="20" s="1"/>
  <c r="W263" i="20"/>
  <c r="X263" i="20" s="1"/>
  <c r="S188" i="20"/>
  <c r="T188" i="20" s="1"/>
  <c r="W188" i="20"/>
  <c r="X188" i="20" s="1"/>
  <c r="Y188" i="20" s="1"/>
  <c r="S259" i="22"/>
  <c r="T259" i="22" s="1"/>
  <c r="W259" i="22"/>
  <c r="X259" i="22" s="1"/>
  <c r="W125" i="20"/>
  <c r="X125" i="20" s="1"/>
  <c r="Y125" i="20" s="1"/>
  <c r="S125" i="20"/>
  <c r="T125" i="20" s="1"/>
  <c r="W22" i="22"/>
  <c r="X22" i="22" s="1"/>
  <c r="Y22" i="22" s="1"/>
  <c r="S22" i="22"/>
  <c r="T22" i="22" s="1"/>
  <c r="S314" i="22"/>
  <c r="T314" i="22" s="1"/>
  <c r="W314" i="22"/>
  <c r="X314" i="22" s="1"/>
  <c r="S329" i="20"/>
  <c r="T329" i="20" s="1"/>
  <c r="W329" i="20"/>
  <c r="X329" i="20" s="1"/>
  <c r="S160" i="22"/>
  <c r="T160" i="22" s="1"/>
  <c r="W160" i="22"/>
  <c r="X160" i="22" s="1"/>
  <c r="Y160" i="22" s="1"/>
  <c r="S227" i="20"/>
  <c r="T227" i="20" s="1"/>
  <c r="W227" i="20"/>
  <c r="X227" i="20" s="1"/>
  <c r="S287" i="22"/>
  <c r="T287" i="22" s="1"/>
  <c r="W287" i="22"/>
  <c r="X287" i="22" s="1"/>
  <c r="S219" i="22"/>
  <c r="T219" i="22" s="1"/>
  <c r="W219" i="22"/>
  <c r="X219" i="22" s="1"/>
  <c r="S159" i="20"/>
  <c r="T159" i="20" s="1"/>
  <c r="W159" i="20"/>
  <c r="X159" i="20" s="1"/>
  <c r="Y159" i="20" s="1"/>
  <c r="S141" i="20"/>
  <c r="T141" i="20" s="1"/>
  <c r="W141" i="20"/>
  <c r="X141" i="20" s="1"/>
  <c r="Y141" i="20" s="1"/>
  <c r="Q276" i="22"/>
  <c r="V276" i="22" s="1"/>
  <c r="Q147" i="22"/>
  <c r="V147" i="22" s="1"/>
  <c r="R147" i="22"/>
  <c r="R55" i="20"/>
  <c r="Q55" i="20"/>
  <c r="V55" i="20" s="1"/>
  <c r="Q17" i="20"/>
  <c r="V17" i="20" s="1"/>
  <c r="R17" i="20"/>
  <c r="S120" i="4"/>
  <c r="S198" i="22"/>
  <c r="T198" i="22" s="1"/>
  <c r="W198" i="22"/>
  <c r="X198" i="22" s="1"/>
  <c r="Y198" i="22" s="1"/>
  <c r="S275" i="20"/>
  <c r="T275" i="20" s="1"/>
  <c r="W275" i="20"/>
  <c r="X275" i="20" s="1"/>
  <c r="S171" i="22"/>
  <c r="T171" i="22" s="1"/>
  <c r="W171" i="22"/>
  <c r="X171" i="22" s="1"/>
  <c r="Y171" i="22" s="1"/>
  <c r="S286" i="22"/>
  <c r="T286" i="22" s="1"/>
  <c r="W286" i="22"/>
  <c r="X286" i="22" s="1"/>
  <c r="W353" i="22"/>
  <c r="X353" i="22" s="1"/>
  <c r="S353" i="22"/>
  <c r="T353" i="22" s="1"/>
  <c r="W37" i="22"/>
  <c r="X37" i="22" s="1"/>
  <c r="Y37" i="22" s="1"/>
  <c r="S37" i="22"/>
  <c r="T37" i="22" s="1"/>
  <c r="R183" i="20"/>
  <c r="Q183" i="20"/>
  <c r="V183" i="20" s="1"/>
  <c r="Q77" i="22"/>
  <c r="V77" i="22" s="1"/>
  <c r="R77" i="22"/>
  <c r="W92" i="4"/>
  <c r="R201" i="22"/>
  <c r="Q201" i="22"/>
  <c r="V201" i="22" s="1"/>
  <c r="Q340" i="20"/>
  <c r="V340" i="20" s="1"/>
  <c r="Q156" i="20"/>
  <c r="V156" i="20" s="1"/>
  <c r="R156" i="20"/>
  <c r="S204" i="22"/>
  <c r="T204" i="22" s="1"/>
  <c r="W204" i="22"/>
  <c r="X204" i="22" s="1"/>
  <c r="Y204" i="22" s="1"/>
  <c r="W104" i="20"/>
  <c r="X104" i="20" s="1"/>
  <c r="Y104" i="20" s="1"/>
  <c r="S104" i="20"/>
  <c r="T104" i="20" s="1"/>
  <c r="R58" i="22"/>
  <c r="S31" i="20"/>
  <c r="T31" i="20" s="1"/>
  <c r="W31" i="20"/>
  <c r="X31" i="20" s="1"/>
  <c r="Y31" i="20" s="1"/>
  <c r="S280" i="22"/>
  <c r="T280" i="22" s="1"/>
  <c r="W280" i="22"/>
  <c r="X280" i="22" s="1"/>
  <c r="W197" i="22"/>
  <c r="X197" i="22" s="1"/>
  <c r="Y197" i="22" s="1"/>
  <c r="S197" i="22"/>
  <c r="T197" i="22" s="1"/>
  <c r="W38" i="20"/>
  <c r="X38" i="20" s="1"/>
  <c r="Y38" i="20" s="1"/>
  <c r="S38" i="20"/>
  <c r="T38" i="20" s="1"/>
  <c r="W46" i="22"/>
  <c r="X46" i="22" s="1"/>
  <c r="Y46" i="22" s="1"/>
  <c r="S46" i="22"/>
  <c r="T46" i="22" s="1"/>
  <c r="R130" i="20"/>
  <c r="Q130" i="20"/>
  <c r="V130" i="20" s="1"/>
  <c r="Q233" i="22"/>
  <c r="V233" i="22" s="1"/>
  <c r="R18" i="22"/>
  <c r="Q18" i="22"/>
  <c r="V18" i="22" s="1"/>
  <c r="Q312" i="22"/>
  <c r="V312" i="22" s="1"/>
  <c r="W214" i="22"/>
  <c r="X214" i="22" s="1"/>
  <c r="Y214" i="22" s="1"/>
  <c r="S214" i="22"/>
  <c r="T214" i="22" s="1"/>
  <c r="R100" i="20"/>
  <c r="W338" i="20"/>
  <c r="X338" i="20" s="1"/>
  <c r="S338" i="20"/>
  <c r="T338" i="20" s="1"/>
  <c r="W220" i="22"/>
  <c r="X220" i="22" s="1"/>
  <c r="S220" i="22"/>
  <c r="T220" i="22" s="1"/>
  <c r="S281" i="22"/>
  <c r="T281" i="22" s="1"/>
  <c r="W281" i="22"/>
  <c r="X281" i="22" s="1"/>
  <c r="S140" i="20"/>
  <c r="T140" i="20" s="1"/>
  <c r="W140" i="20"/>
  <c r="X140" i="20" s="1"/>
  <c r="Y140" i="20" s="1"/>
  <c r="Q128" i="22"/>
  <c r="V128" i="22" s="1"/>
  <c r="R128" i="22"/>
  <c r="R175" i="20"/>
  <c r="Q175" i="20"/>
  <c r="V175" i="20" s="1"/>
  <c r="Q149" i="20"/>
  <c r="V149" i="20" s="1"/>
  <c r="R149" i="20"/>
  <c r="Q8" i="4"/>
  <c r="V8" i="4" s="1"/>
  <c r="B38" i="11" s="1"/>
  <c r="S38" i="11" s="1"/>
  <c r="W8" i="4"/>
  <c r="Q332" i="22"/>
  <c r="V332" i="22" s="1"/>
  <c r="R18" i="20"/>
  <c r="S52" i="22"/>
  <c r="T52" i="22" s="1"/>
  <c r="W52" i="22"/>
  <c r="X52" i="22" s="1"/>
  <c r="Y52" i="22" s="1"/>
  <c r="W45" i="22"/>
  <c r="X45" i="22" s="1"/>
  <c r="Y45" i="22" s="1"/>
  <c r="S45" i="22"/>
  <c r="T45" i="22" s="1"/>
  <c r="W206" i="20"/>
  <c r="X206" i="20" s="1"/>
  <c r="Y206" i="20" s="1"/>
  <c r="S206" i="20"/>
  <c r="T206" i="20" s="1"/>
  <c r="R209" i="22"/>
  <c r="Q209" i="22"/>
  <c r="V209" i="22" s="1"/>
  <c r="S40" i="4"/>
  <c r="Q232" i="22"/>
  <c r="V232" i="22" s="1"/>
  <c r="R115" i="22"/>
  <c r="Q115" i="22"/>
  <c r="V115" i="22" s="1"/>
  <c r="Q104" i="22"/>
  <c r="V104" i="22" s="1"/>
  <c r="R104" i="22"/>
  <c r="S206" i="22"/>
  <c r="T206" i="22" s="1"/>
  <c r="W206" i="22"/>
  <c r="X206" i="22" s="1"/>
  <c r="Y206" i="22" s="1"/>
  <c r="W166" i="20"/>
  <c r="X166" i="20" s="1"/>
  <c r="Y166" i="20" s="1"/>
  <c r="S166" i="20"/>
  <c r="T166" i="20" s="1"/>
  <c r="S158" i="22"/>
  <c r="T158" i="22" s="1"/>
  <c r="W158" i="22"/>
  <c r="X158" i="22" s="1"/>
  <c r="Y158" i="22" s="1"/>
  <c r="Q351" i="22"/>
  <c r="V351" i="22" s="1"/>
  <c r="R191" i="20"/>
  <c r="Q191" i="20"/>
  <c r="V191" i="20" s="1"/>
  <c r="W218" i="4"/>
  <c r="Q35" i="22"/>
  <c r="V35" i="22" s="1"/>
  <c r="R35" i="22"/>
  <c r="Q33" i="20"/>
  <c r="V33" i="20" s="1"/>
  <c r="R33" i="20"/>
  <c r="W39" i="4"/>
  <c r="S163" i="20"/>
  <c r="T163" i="20" s="1"/>
  <c r="W163" i="20"/>
  <c r="X163" i="20" s="1"/>
  <c r="Y163" i="20" s="1"/>
  <c r="W208" i="20"/>
  <c r="X208" i="20" s="1"/>
  <c r="Y208" i="20" s="1"/>
  <c r="S208" i="20"/>
  <c r="T208" i="20" s="1"/>
  <c r="Q203" i="20"/>
  <c r="V203" i="20" s="1"/>
  <c r="R203" i="20"/>
  <c r="Q260" i="22"/>
  <c r="V260" i="22" s="1"/>
  <c r="Q44" i="20"/>
  <c r="V44" i="20" s="1"/>
  <c r="R44" i="20"/>
  <c r="Q63" i="20"/>
  <c r="V63" i="20" s="1"/>
  <c r="R63" i="20"/>
  <c r="Z118" i="6"/>
  <c r="S165" i="22"/>
  <c r="T165" i="22" s="1"/>
  <c r="W165" i="22"/>
  <c r="X165" i="22" s="1"/>
  <c r="Y165" i="22" s="1"/>
  <c r="V284" i="6"/>
  <c r="W284" i="6" s="1"/>
  <c r="Z332" i="6"/>
  <c r="Z262" i="6"/>
  <c r="R67" i="22"/>
  <c r="Q67" i="22"/>
  <c r="V67" i="22" s="1"/>
  <c r="Q285" i="20"/>
  <c r="V285" i="20" s="1"/>
  <c r="W118" i="22"/>
  <c r="X118" i="22" s="1"/>
  <c r="Y118" i="22" s="1"/>
  <c r="S118" i="22"/>
  <c r="T118" i="22" s="1"/>
  <c r="S355" i="20"/>
  <c r="T355" i="20" s="1"/>
  <c r="W355" i="20"/>
  <c r="X355" i="20" s="1"/>
  <c r="S199" i="20"/>
  <c r="T199" i="20" s="1"/>
  <c r="W199" i="20"/>
  <c r="X199" i="20" s="1"/>
  <c r="Y199" i="20" s="1"/>
  <c r="W285" i="4"/>
  <c r="Q312" i="20"/>
  <c r="V312" i="20" s="1"/>
  <c r="Z153" i="6"/>
  <c r="Q17" i="22"/>
  <c r="V17" i="22" s="1"/>
  <c r="R17" i="22"/>
  <c r="Q114" i="20"/>
  <c r="V114" i="20" s="1"/>
  <c r="R114" i="20"/>
  <c r="S347" i="20"/>
  <c r="T347" i="20" s="1"/>
  <c r="W347" i="20"/>
  <c r="X347" i="20" s="1"/>
  <c r="S180" i="20"/>
  <c r="T180" i="20" s="1"/>
  <c r="W180" i="20"/>
  <c r="X180" i="20" s="1"/>
  <c r="Y180" i="20" s="1"/>
  <c r="W133" i="22"/>
  <c r="X133" i="22" s="1"/>
  <c r="Y133" i="22" s="1"/>
  <c r="S133" i="22"/>
  <c r="T133" i="22" s="1"/>
  <c r="R182" i="22"/>
  <c r="Q182" i="22"/>
  <c r="V182" i="22" s="1"/>
  <c r="W80" i="4"/>
  <c r="Q96" i="20"/>
  <c r="V96" i="20" s="1"/>
  <c r="R96" i="20"/>
  <c r="W209" i="4"/>
  <c r="Q339" i="22"/>
  <c r="V339" i="22" s="1"/>
  <c r="Q155" i="22"/>
  <c r="V155" i="22" s="1"/>
  <c r="R155" i="22"/>
  <c r="S337" i="22"/>
  <c r="T337" i="22" s="1"/>
  <c r="W337" i="22"/>
  <c r="X337" i="22" s="1"/>
  <c r="S135" i="20"/>
  <c r="T135" i="20" s="1"/>
  <c r="W135" i="20"/>
  <c r="X135" i="20" s="1"/>
  <c r="Y135" i="20" s="1"/>
  <c r="W178" i="22"/>
  <c r="X178" i="22" s="1"/>
  <c r="Y178" i="22" s="1"/>
  <c r="S178" i="22"/>
  <c r="T178" i="22" s="1"/>
  <c r="S354" i="20"/>
  <c r="T354" i="20" s="1"/>
  <c r="W354" i="20"/>
  <c r="X354" i="20" s="1"/>
  <c r="W247" i="22"/>
  <c r="X247" i="22" s="1"/>
  <c r="S247" i="22"/>
  <c r="T247" i="22" s="1"/>
  <c r="R129" i="22"/>
  <c r="Q129" i="22"/>
  <c r="V129" i="22" s="1"/>
  <c r="R13" i="20"/>
  <c r="Q13" i="20"/>
  <c r="V13" i="20" s="1"/>
  <c r="Q18" i="4"/>
  <c r="V18" i="4" s="1"/>
  <c r="B48" i="11" s="1"/>
  <c r="S48" i="11" s="1"/>
  <c r="W18" i="4"/>
  <c r="S321" i="4"/>
  <c r="R175" i="22"/>
  <c r="W185" i="22"/>
  <c r="X185" i="22" s="1"/>
  <c r="Y185" i="22" s="1"/>
  <c r="S185" i="22"/>
  <c r="T185" i="22" s="1"/>
  <c r="W325" i="22"/>
  <c r="X325" i="22" s="1"/>
  <c r="S325" i="22"/>
  <c r="T325" i="22" s="1"/>
  <c r="S47" i="20"/>
  <c r="T47" i="20" s="1"/>
  <c r="W47" i="20"/>
  <c r="X47" i="20" s="1"/>
  <c r="Y47" i="20" s="1"/>
  <c r="S196" i="22"/>
  <c r="T196" i="22" s="1"/>
  <c r="W196" i="22"/>
  <c r="X196" i="22" s="1"/>
  <c r="Y196" i="22" s="1"/>
  <c r="Z90" i="6"/>
  <c r="Z133" i="6"/>
  <c r="R174" i="22"/>
  <c r="Q174" i="22"/>
  <c r="V174" i="22" s="1"/>
  <c r="R148" i="22"/>
  <c r="Q148" i="22"/>
  <c r="V148" i="22" s="1"/>
  <c r="R21" i="20"/>
  <c r="Q21" i="20"/>
  <c r="V21" i="20" s="1"/>
  <c r="Z341" i="6"/>
  <c r="R87" i="22"/>
  <c r="S30" i="20"/>
  <c r="T30" i="20" s="1"/>
  <c r="W30" i="20"/>
  <c r="X30" i="20" s="1"/>
  <c r="Y30" i="20" s="1"/>
  <c r="W217" i="4"/>
  <c r="Q28" i="20"/>
  <c r="V28" i="20" s="1"/>
  <c r="R28" i="20"/>
  <c r="W241" i="4"/>
  <c r="V119" i="6"/>
  <c r="W119" i="6" s="1"/>
  <c r="W108" i="4"/>
  <c r="W128" i="20"/>
  <c r="X128" i="20" s="1"/>
  <c r="Y128" i="20" s="1"/>
  <c r="S128" i="20"/>
  <c r="T128" i="20" s="1"/>
  <c r="R190" i="22"/>
  <c r="Q190" i="22"/>
  <c r="V190" i="22" s="1"/>
  <c r="Q32" i="22"/>
  <c r="V32" i="22" s="1"/>
  <c r="R32" i="22"/>
  <c r="S89" i="20"/>
  <c r="T89" i="20" s="1"/>
  <c r="W89" i="20"/>
  <c r="X89" i="20" s="1"/>
  <c r="Y89" i="20" s="1"/>
  <c r="R202" i="22"/>
  <c r="Q202" i="22"/>
  <c r="V202" i="22" s="1"/>
  <c r="Q109" i="20"/>
  <c r="V109" i="20" s="1"/>
  <c r="R109" i="20"/>
  <c r="Z269" i="6"/>
  <c r="R43" i="22"/>
  <c r="Q43" i="22"/>
  <c r="V43" i="22" s="1"/>
  <c r="Q10" i="20"/>
  <c r="V10" i="20" s="1"/>
  <c r="R10" i="20"/>
  <c r="R138" i="20"/>
  <c r="Q138" i="20"/>
  <c r="V138" i="20" s="1"/>
  <c r="Q79" i="20"/>
  <c r="V79" i="20" s="1"/>
  <c r="R79" i="20"/>
  <c r="Q297" i="20"/>
  <c r="V297" i="20" s="1"/>
  <c r="Q304" i="20"/>
  <c r="V304" i="20" s="1"/>
  <c r="W69" i="4"/>
  <c r="Q284" i="22"/>
  <c r="V284" i="22" s="1"/>
  <c r="Q296" i="20"/>
  <c r="V296" i="20" s="1"/>
  <c r="Q59" i="20"/>
  <c r="V59" i="20" s="1"/>
  <c r="R59" i="20"/>
  <c r="W56" i="4"/>
  <c r="W17" i="4"/>
  <c r="R113" i="22"/>
  <c r="Q113" i="22"/>
  <c r="V113" i="22" s="1"/>
  <c r="S30" i="22"/>
  <c r="T30" i="22" s="1"/>
  <c r="W30" i="22"/>
  <c r="X30" i="22" s="1"/>
  <c r="Y30" i="22" s="1"/>
  <c r="S167" i="20"/>
  <c r="T167" i="20" s="1"/>
  <c r="W167" i="20"/>
  <c r="X167" i="20" s="1"/>
  <c r="Y167" i="20" s="1"/>
  <c r="W70" i="20"/>
  <c r="X70" i="20" s="1"/>
  <c r="Y70" i="20" s="1"/>
  <c r="S70" i="20"/>
  <c r="T70" i="20" s="1"/>
  <c r="S335" i="20"/>
  <c r="T335" i="20" s="1"/>
  <c r="W335" i="20"/>
  <c r="X335" i="20" s="1"/>
  <c r="W189" i="4"/>
  <c r="Q192" i="20"/>
  <c r="V192" i="20" s="1"/>
  <c r="R192" i="20"/>
  <c r="Q95" i="20"/>
  <c r="V95" i="20" s="1"/>
  <c r="R95" i="20"/>
  <c r="R34" i="20"/>
  <c r="Q34" i="20"/>
  <c r="V34" i="20" s="1"/>
  <c r="V348" i="6"/>
  <c r="W348" i="6" s="1"/>
  <c r="S161" i="4"/>
  <c r="T161" i="4" s="1"/>
  <c r="S302" i="20"/>
  <c r="T302" i="20" s="1"/>
  <c r="W302" i="20"/>
  <c r="X302" i="20" s="1"/>
  <c r="S139" i="22"/>
  <c r="T139" i="22" s="1"/>
  <c r="W139" i="22"/>
  <c r="X139" i="22" s="1"/>
  <c r="Y139" i="22" s="1"/>
  <c r="W289" i="22"/>
  <c r="X289" i="22" s="1"/>
  <c r="S289" i="22"/>
  <c r="T289" i="22" s="1"/>
  <c r="W51" i="22"/>
  <c r="X51" i="22" s="1"/>
  <c r="Y51" i="22" s="1"/>
  <c r="S51" i="22"/>
  <c r="T51" i="22" s="1"/>
  <c r="S14" i="20"/>
  <c r="T14" i="20" s="1"/>
  <c r="W14" i="20"/>
  <c r="X14" i="20" s="1"/>
  <c r="Y14" i="20" s="1"/>
  <c r="W134" i="4"/>
  <c r="Q13" i="22"/>
  <c r="V13" i="22" s="1"/>
  <c r="R13" i="22"/>
  <c r="Q9" i="20"/>
  <c r="V9" i="20" s="1"/>
  <c r="R9" i="20"/>
  <c r="R61" i="20"/>
  <c r="Q61" i="20"/>
  <c r="V61" i="20" s="1"/>
  <c r="S149" i="22"/>
  <c r="T149" i="22" s="1"/>
  <c r="W149" i="22"/>
  <c r="X149" i="22" s="1"/>
  <c r="Y149" i="22" s="1"/>
  <c r="S117" i="22"/>
  <c r="T117" i="22" s="1"/>
  <c r="W117" i="22"/>
  <c r="X117" i="22" s="1"/>
  <c r="Y117" i="22" s="1"/>
  <c r="S302" i="22"/>
  <c r="T302" i="22" s="1"/>
  <c r="W302" i="22"/>
  <c r="X302" i="22" s="1"/>
  <c r="W29" i="22"/>
  <c r="X29" i="22" s="1"/>
  <c r="Y29" i="22" s="1"/>
  <c r="S29" i="22"/>
  <c r="T29" i="22" s="1"/>
  <c r="S248" i="20"/>
  <c r="T248" i="20" s="1"/>
  <c r="W248" i="20"/>
  <c r="X248" i="20" s="1"/>
  <c r="Q246" i="20"/>
  <c r="V246" i="20" s="1"/>
  <c r="V154" i="6"/>
  <c r="W154" i="6" s="1"/>
  <c r="Q21" i="22"/>
  <c r="V21" i="22" s="1"/>
  <c r="R21" i="22"/>
  <c r="S161" i="22"/>
  <c r="T161" i="22" s="1"/>
  <c r="W161" i="22"/>
  <c r="X161" i="22" s="1"/>
  <c r="Y161" i="22" s="1"/>
  <c r="S143" i="22"/>
  <c r="T143" i="22" s="1"/>
  <c r="W143" i="22"/>
  <c r="X143" i="22" s="1"/>
  <c r="Y143" i="22" s="1"/>
  <c r="W103" i="20"/>
  <c r="X103" i="20" s="1"/>
  <c r="Y103" i="20" s="1"/>
  <c r="S103" i="20"/>
  <c r="T103" i="20" s="1"/>
  <c r="W20" i="20"/>
  <c r="X20" i="20" s="1"/>
  <c r="Y20" i="20" s="1"/>
  <c r="S20" i="20"/>
  <c r="T20" i="20" s="1"/>
  <c r="W235" i="22"/>
  <c r="X235" i="22" s="1"/>
  <c r="S235" i="22"/>
  <c r="T235" i="22" s="1"/>
  <c r="S127" i="22"/>
  <c r="T127" i="22" s="1"/>
  <c r="W127" i="22"/>
  <c r="X127" i="22" s="1"/>
  <c r="Y127" i="22" s="1"/>
  <c r="Q245" i="20"/>
  <c r="V245" i="20" s="1"/>
  <c r="R27" i="22"/>
  <c r="Q27" i="22"/>
  <c r="V27" i="22" s="1"/>
  <c r="R157" i="20"/>
  <c r="Q157" i="20"/>
  <c r="V157" i="20" s="1"/>
  <c r="Q164" i="20"/>
  <c r="V164" i="20" s="1"/>
  <c r="R164" i="20"/>
  <c r="S239" i="22"/>
  <c r="T239" i="22" s="1"/>
  <c r="X239" i="22"/>
  <c r="Y239" i="22" s="1"/>
  <c r="W144" i="20"/>
  <c r="X144" i="20" s="1"/>
  <c r="Y144" i="20" s="1"/>
  <c r="S144" i="20"/>
  <c r="T144" i="20" s="1"/>
  <c r="W141" i="22"/>
  <c r="X141" i="22" s="1"/>
  <c r="Y141" i="22" s="1"/>
  <c r="S141" i="22"/>
  <c r="T141" i="22" s="1"/>
  <c r="R93" i="20"/>
  <c r="Q93" i="20"/>
  <c r="V93" i="20" s="1"/>
  <c r="W197" i="4"/>
  <c r="Q112" i="20"/>
  <c r="V112" i="20" s="1"/>
  <c r="R112" i="20"/>
  <c r="S33" i="4"/>
  <c r="S349" i="22"/>
  <c r="T349" i="22" s="1"/>
  <c r="W349" i="22"/>
  <c r="X349" i="22" s="1"/>
  <c r="W84" i="20"/>
  <c r="X84" i="20" s="1"/>
  <c r="Y84" i="20" s="1"/>
  <c r="S84" i="20"/>
  <c r="T84" i="20" s="1"/>
  <c r="W6" i="22"/>
  <c r="X6" i="22" s="1"/>
  <c r="Y6" i="22" s="1"/>
  <c r="S6" i="22"/>
  <c r="T6" i="22" s="1"/>
  <c r="Z210" i="6"/>
  <c r="Q108" i="22"/>
  <c r="V108" i="22" s="1"/>
  <c r="R108" i="22"/>
  <c r="S44" i="4"/>
  <c r="W64" i="4"/>
  <c r="R10" i="22"/>
  <c r="Q10" i="22"/>
  <c r="V10" i="22" s="1"/>
  <c r="Q137" i="22"/>
  <c r="V137" i="22" s="1"/>
  <c r="R137" i="22"/>
  <c r="R78" i="22"/>
  <c r="Q78" i="22"/>
  <c r="V78" i="22" s="1"/>
  <c r="Q296" i="22"/>
  <c r="V296" i="22" s="1"/>
  <c r="Q303" i="22"/>
  <c r="V303" i="22" s="1"/>
  <c r="Q262" i="20"/>
  <c r="V262" i="20" s="1"/>
  <c r="W293" i="4"/>
  <c r="S228" i="22"/>
  <c r="T228" i="22" s="1"/>
  <c r="W228" i="22"/>
  <c r="X228" i="22" s="1"/>
  <c r="W138" i="22"/>
  <c r="X138" i="22" s="1"/>
  <c r="Y138" i="22" s="1"/>
  <c r="S138" i="22"/>
  <c r="T138" i="22" s="1"/>
  <c r="S331" i="20"/>
  <c r="T331" i="20" s="1"/>
  <c r="W331" i="20"/>
  <c r="X331" i="20" s="1"/>
  <c r="W334" i="22"/>
  <c r="X334" i="22" s="1"/>
  <c r="S334" i="22"/>
  <c r="T334" i="22" s="1"/>
  <c r="W176" i="22"/>
  <c r="X176" i="22" s="1"/>
  <c r="Y176" i="22" s="1"/>
  <c r="S176" i="22"/>
  <c r="T176" i="22" s="1"/>
  <c r="Q295" i="22"/>
  <c r="V295" i="22" s="1"/>
  <c r="W320" i="4"/>
  <c r="Q165" i="20"/>
  <c r="V165" i="20" s="1"/>
  <c r="R165" i="20"/>
  <c r="S117" i="4"/>
  <c r="S153" i="22"/>
  <c r="T153" i="22" s="1"/>
  <c r="W153" i="22"/>
  <c r="X153" i="22" s="1"/>
  <c r="Y153" i="22" s="1"/>
  <c r="W110" i="22"/>
  <c r="X110" i="22" s="1"/>
  <c r="Y110" i="22" s="1"/>
  <c r="S110" i="22"/>
  <c r="T110" i="22" s="1"/>
  <c r="W336" i="20"/>
  <c r="X336" i="20" s="1"/>
  <c r="S336" i="20"/>
  <c r="T336" i="20" s="1"/>
  <c r="S134" i="22"/>
  <c r="T134" i="22" s="1"/>
  <c r="W134" i="22"/>
  <c r="X134" i="22" s="1"/>
  <c r="Y134" i="22" s="1"/>
  <c r="S301" i="22"/>
  <c r="T301" i="22" s="1"/>
  <c r="W301" i="22"/>
  <c r="X301" i="22" s="1"/>
  <c r="W222" i="20"/>
  <c r="X222" i="20" s="1"/>
  <c r="S222" i="20"/>
  <c r="T222" i="20" s="1"/>
  <c r="W229" i="20"/>
  <c r="X229" i="20" s="1"/>
  <c r="S229" i="20"/>
  <c r="T229" i="20" s="1"/>
  <c r="W232" i="20"/>
  <c r="X232" i="20" s="1"/>
  <c r="S232" i="20"/>
  <c r="T232" i="20" s="1"/>
  <c r="S177" i="20"/>
  <c r="T177" i="20" s="1"/>
  <c r="W177" i="20"/>
  <c r="X177" i="20" s="1"/>
  <c r="Y177" i="20" s="1"/>
  <c r="Q191" i="22"/>
  <c r="V191" i="22" s="1"/>
  <c r="R191" i="22"/>
  <c r="W98" i="4"/>
  <c r="R94" i="22"/>
  <c r="Q94" i="22"/>
  <c r="V94" i="22" s="1"/>
  <c r="R33" i="22"/>
  <c r="Q33" i="22"/>
  <c r="V33" i="22" s="1"/>
  <c r="S119" i="20"/>
  <c r="T119" i="20" s="1"/>
  <c r="W119" i="20"/>
  <c r="X119" i="20" s="1"/>
  <c r="Y119" i="20" s="1"/>
  <c r="W328" i="22"/>
  <c r="X328" i="22" s="1"/>
  <c r="S328" i="22"/>
  <c r="T328" i="22" s="1"/>
  <c r="S313" i="22"/>
  <c r="T313" i="22" s="1"/>
  <c r="W313" i="22"/>
  <c r="X313" i="22" s="1"/>
  <c r="S222" i="22"/>
  <c r="T222" i="22" s="1"/>
  <c r="W222" i="22"/>
  <c r="X222" i="22" s="1"/>
  <c r="Q345" i="20"/>
  <c r="V345" i="20" s="1"/>
  <c r="Q9" i="22"/>
  <c r="V9" i="22" s="1"/>
  <c r="R9" i="22"/>
  <c r="Q60" i="22"/>
  <c r="V60" i="22" s="1"/>
  <c r="R60" i="22"/>
  <c r="R95" i="22"/>
  <c r="W56" i="20"/>
  <c r="X56" i="20" s="1"/>
  <c r="Y56" i="20" s="1"/>
  <c r="S56" i="20"/>
  <c r="T56" i="20" s="1"/>
  <c r="Q245" i="22"/>
  <c r="V245" i="22" s="1"/>
  <c r="Q71" i="20"/>
  <c r="V71" i="20" s="1"/>
  <c r="R71" i="20"/>
  <c r="Q21" i="4"/>
  <c r="V21" i="4" s="1"/>
  <c r="B51" i="11" s="1"/>
  <c r="W21" i="4"/>
  <c r="W54" i="20"/>
  <c r="X54" i="20" s="1"/>
  <c r="Y54" i="20" s="1"/>
  <c r="S54" i="20"/>
  <c r="T54" i="20" s="1"/>
  <c r="W131" i="20"/>
  <c r="X131" i="20" s="1"/>
  <c r="Y131" i="20" s="1"/>
  <c r="S131" i="20"/>
  <c r="T131" i="20" s="1"/>
  <c r="S212" i="20"/>
  <c r="T212" i="20" s="1"/>
  <c r="W212" i="20"/>
  <c r="X212" i="20" s="1"/>
  <c r="Y212" i="20" s="1"/>
  <c r="W66" i="20"/>
  <c r="X66" i="20" s="1"/>
  <c r="Y66" i="20" s="1"/>
  <c r="S66" i="20"/>
  <c r="T66" i="20" s="1"/>
  <c r="S150" i="22"/>
  <c r="T150" i="22" s="1"/>
  <c r="W150" i="22"/>
  <c r="X150" i="22" s="1"/>
  <c r="Y150" i="22" s="1"/>
  <c r="Q244" i="22"/>
  <c r="V244" i="22" s="1"/>
  <c r="R106" i="20"/>
  <c r="Q106" i="20"/>
  <c r="V106" i="20" s="1"/>
  <c r="W28" i="4"/>
  <c r="R156" i="22"/>
  <c r="Q156" i="22"/>
  <c r="V156" i="22" s="1"/>
  <c r="Q163" i="22"/>
  <c r="V163" i="22" s="1"/>
  <c r="R163" i="22"/>
  <c r="W91" i="22"/>
  <c r="X91" i="22" s="1"/>
  <c r="Y91" i="22" s="1"/>
  <c r="S91" i="22"/>
  <c r="T91" i="22" s="1"/>
  <c r="S264" i="22"/>
  <c r="T264" i="22" s="1"/>
  <c r="W264" i="22"/>
  <c r="X264" i="22" s="1"/>
  <c r="R92" i="22"/>
  <c r="Q92" i="22"/>
  <c r="V92" i="22" s="1"/>
  <c r="Q332" i="20"/>
  <c r="V332" i="20" s="1"/>
  <c r="R111" i="22"/>
  <c r="Q111" i="22"/>
  <c r="V111" i="22" s="1"/>
  <c r="Q48" i="20"/>
  <c r="V48" i="20" s="1"/>
  <c r="R48" i="20"/>
  <c r="S240" i="20"/>
  <c r="T240" i="20" s="1"/>
  <c r="W240" i="20"/>
  <c r="X240" i="20" s="1"/>
  <c r="S140" i="22"/>
  <c r="T140" i="22" s="1"/>
  <c r="W140" i="22"/>
  <c r="X140" i="22" s="1"/>
  <c r="Y140" i="22" s="1"/>
  <c r="S255" i="20"/>
  <c r="T255" i="20" s="1"/>
  <c r="W255" i="20"/>
  <c r="X255" i="20" s="1"/>
  <c r="Q94" i="20"/>
  <c r="V94" i="20" s="1"/>
  <c r="R94" i="20"/>
  <c r="Z112" i="6"/>
  <c r="Q100" i="22"/>
  <c r="V100" i="22" s="1"/>
  <c r="R100" i="22"/>
  <c r="Q19" i="20"/>
  <c r="V19" i="20" s="1"/>
  <c r="R19" i="20"/>
  <c r="Q361" i="20"/>
  <c r="V361" i="20" s="1"/>
  <c r="T10" i="6"/>
  <c r="Y10" i="6" s="1"/>
  <c r="B69" i="11" s="1"/>
  <c r="S69" i="11" s="1"/>
  <c r="Z10" i="6"/>
  <c r="W83" i="22"/>
  <c r="X83" i="22" s="1"/>
  <c r="Y83" i="22" s="1"/>
  <c r="S83" i="22"/>
  <c r="T83" i="22" s="1"/>
  <c r="W309" i="22"/>
  <c r="X309" i="22" s="1"/>
  <c r="S309" i="22"/>
  <c r="T309" i="22" s="1"/>
  <c r="Z142" i="6"/>
  <c r="W81" i="4"/>
  <c r="R86" i="20"/>
  <c r="Q86" i="20"/>
  <c r="V86" i="20" s="1"/>
  <c r="W312" i="4"/>
  <c r="Q261" i="22"/>
  <c r="V261" i="22" s="1"/>
  <c r="R41" i="20"/>
  <c r="Q41" i="20"/>
  <c r="V41" i="20" s="1"/>
  <c r="Z304" i="6"/>
  <c r="R32" i="20"/>
  <c r="Q32" i="20"/>
  <c r="V32" i="20" s="1"/>
  <c r="R99" i="22"/>
  <c r="Q99" i="22"/>
  <c r="V99" i="22" s="1"/>
  <c r="R164" i="22"/>
  <c r="Q164" i="22"/>
  <c r="V164" i="22" s="1"/>
  <c r="S133" i="20"/>
  <c r="T133" i="20" s="1"/>
  <c r="W133" i="20"/>
  <c r="X133" i="20" s="1"/>
  <c r="Y133" i="20" s="1"/>
  <c r="W139" i="20"/>
  <c r="X139" i="20" s="1"/>
  <c r="Y139" i="20" s="1"/>
  <c r="S139" i="20"/>
  <c r="T139" i="20" s="1"/>
  <c r="S143" i="20"/>
  <c r="T143" i="20" s="1"/>
  <c r="W143" i="20"/>
  <c r="X143" i="20" s="1"/>
  <c r="Y143" i="20" s="1"/>
  <c r="S272" i="22"/>
  <c r="T272" i="22" s="1"/>
  <c r="W272" i="22"/>
  <c r="X272" i="22" s="1"/>
  <c r="W259" i="20"/>
  <c r="X259" i="20" s="1"/>
  <c r="S259" i="20"/>
  <c r="T259" i="20" s="1"/>
  <c r="W14" i="22"/>
  <c r="X14" i="22" s="1"/>
  <c r="Y14" i="22" s="1"/>
  <c r="S14" i="22"/>
  <c r="T14" i="22" s="1"/>
  <c r="R81" i="20"/>
  <c r="Q81" i="20"/>
  <c r="V81" i="20" s="1"/>
  <c r="W198" i="4"/>
  <c r="Q305" i="20"/>
  <c r="V305" i="20" s="1"/>
  <c r="Z97" i="6"/>
  <c r="W142" i="22"/>
  <c r="X142" i="22" s="1"/>
  <c r="Y142" i="22" s="1"/>
  <c r="S142" i="22"/>
  <c r="T142" i="22" s="1"/>
  <c r="S359" i="20"/>
  <c r="T359" i="20" s="1"/>
  <c r="W359" i="20"/>
  <c r="X359" i="20" s="1"/>
  <c r="S272" i="20"/>
  <c r="T272" i="20" s="1"/>
  <c r="W272" i="20"/>
  <c r="X272" i="20" s="1"/>
  <c r="W55" i="22"/>
  <c r="X55" i="22" s="1"/>
  <c r="Y55" i="22" s="1"/>
  <c r="S55" i="22"/>
  <c r="T55" i="22" s="1"/>
  <c r="S282" i="22"/>
  <c r="T282" i="22" s="1"/>
  <c r="W282" i="22"/>
  <c r="X282" i="22" s="1"/>
  <c r="Q344" i="22"/>
  <c r="V344" i="22" s="1"/>
  <c r="Q11" i="20"/>
  <c r="V11" i="20" s="1"/>
  <c r="R11" i="20"/>
  <c r="W62" i="4"/>
  <c r="W205" i="22"/>
  <c r="X205" i="22" s="1"/>
  <c r="Y205" i="22" s="1"/>
  <c r="S205" i="22"/>
  <c r="T205" i="22" s="1"/>
  <c r="W20" i="22"/>
  <c r="X20" i="22" s="1"/>
  <c r="Y20" i="22" s="1"/>
  <c r="S20" i="22"/>
  <c r="T20" i="22" s="1"/>
  <c r="S283" i="20"/>
  <c r="T283" i="20" s="1"/>
  <c r="W283" i="20"/>
  <c r="X283" i="20" s="1"/>
  <c r="S314" i="20"/>
  <c r="T314" i="20" s="1"/>
  <c r="W314" i="20"/>
  <c r="X314" i="20" s="1"/>
  <c r="S223" i="20"/>
  <c r="T223" i="20" s="1"/>
  <c r="W223" i="20"/>
  <c r="X223" i="20" s="1"/>
  <c r="R184" i="20"/>
  <c r="Q184" i="20"/>
  <c r="V184" i="20" s="1"/>
  <c r="R82" i="20"/>
  <c r="Q82" i="20"/>
  <c r="V82" i="20" s="1"/>
  <c r="W254" i="4"/>
  <c r="Q70" i="22"/>
  <c r="V70" i="22" s="1"/>
  <c r="R70" i="22"/>
  <c r="Q12" i="20"/>
  <c r="V12" i="20" s="1"/>
  <c r="R12" i="20"/>
  <c r="S190" i="20"/>
  <c r="T190" i="20" s="1"/>
  <c r="W190" i="20"/>
  <c r="X190" i="20" s="1"/>
  <c r="Y190" i="20" s="1"/>
  <c r="W253" i="4"/>
  <c r="R105" i="22"/>
  <c r="Q105" i="22"/>
  <c r="V105" i="22" s="1"/>
  <c r="Q62" i="20"/>
  <c r="V62" i="20" s="1"/>
  <c r="R62" i="20"/>
  <c r="W162" i="4"/>
  <c r="W169" i="4"/>
  <c r="S35" i="20"/>
  <c r="T35" i="20" s="1"/>
  <c r="W35" i="20"/>
  <c r="X35" i="20" s="1"/>
  <c r="Y35" i="20" s="1"/>
  <c r="S204" i="20"/>
  <c r="T204" i="20" s="1"/>
  <c r="W204" i="20"/>
  <c r="X204" i="20" s="1"/>
  <c r="Y204" i="20" s="1"/>
  <c r="W207" i="22"/>
  <c r="X207" i="22" s="1"/>
  <c r="Y207" i="22" s="1"/>
  <c r="S207" i="22"/>
  <c r="T207" i="22" s="1"/>
  <c r="Q225" i="20"/>
  <c r="V225" i="20" s="1"/>
  <c r="Z95" i="6"/>
  <c r="Q331" i="22"/>
  <c r="V331" i="22" s="1"/>
  <c r="W115" i="4"/>
  <c r="R47" i="22"/>
  <c r="Q47" i="22"/>
  <c r="V47" i="22" s="1"/>
  <c r="R54" i="22"/>
  <c r="Q93" i="22"/>
  <c r="V93" i="22" s="1"/>
  <c r="R93" i="22"/>
  <c r="Q5" i="20"/>
  <c r="V5" i="20" s="1"/>
  <c r="R5" i="20"/>
  <c r="Z104" i="6"/>
  <c r="R19" i="22"/>
  <c r="Q19" i="22"/>
  <c r="V19" i="22" s="1"/>
  <c r="Q360" i="22"/>
  <c r="V360" i="22" s="1"/>
  <c r="S6" i="20"/>
  <c r="T6" i="20" s="1"/>
  <c r="W6" i="20"/>
  <c r="X6" i="20" s="1"/>
  <c r="Y6" i="20" s="1"/>
  <c r="Q137" i="20"/>
  <c r="V137" i="20" s="1"/>
  <c r="R137" i="20"/>
  <c r="Q85" i="22"/>
  <c r="V85" i="22" s="1"/>
  <c r="R85" i="22"/>
  <c r="Q253" i="20"/>
  <c r="V253" i="20" s="1"/>
  <c r="Q67" i="20"/>
  <c r="V67" i="20" s="1"/>
  <c r="R67" i="20"/>
  <c r="W270" i="4"/>
  <c r="R40" i="22"/>
  <c r="Q40" i="22"/>
  <c r="V40" i="22" s="1"/>
  <c r="S256" i="22"/>
  <c r="T256" i="22" s="1"/>
  <c r="W256" i="22"/>
  <c r="X256" i="22" s="1"/>
  <c r="Q176" i="20"/>
  <c r="V176" i="20" s="1"/>
  <c r="R176" i="20"/>
  <c r="R31" i="22"/>
  <c r="Q31" i="22"/>
  <c r="V31" i="22" s="1"/>
  <c r="Q43" i="20"/>
  <c r="V43" i="20" s="1"/>
  <c r="R43" i="20"/>
  <c r="S103" i="4"/>
  <c r="T103" i="4" s="1"/>
  <c r="W170" i="4"/>
  <c r="S7" i="22"/>
  <c r="T7" i="22" s="1"/>
  <c r="W7" i="22"/>
  <c r="X7" i="22" s="1"/>
  <c r="Y7" i="22" s="1"/>
  <c r="S358" i="22"/>
  <c r="T358" i="22" s="1"/>
  <c r="W358" i="22"/>
  <c r="X358" i="22" s="1"/>
  <c r="S271" i="22"/>
  <c r="T271" i="22" s="1"/>
  <c r="W271" i="22"/>
  <c r="X271" i="22" s="1"/>
  <c r="S101" i="22"/>
  <c r="T101" i="22" s="1"/>
  <c r="W101" i="22"/>
  <c r="X101" i="22" s="1"/>
  <c r="Y101" i="22" s="1"/>
  <c r="S153" i="20"/>
  <c r="T153" i="20" s="1"/>
  <c r="W153" i="20"/>
  <c r="X153" i="20" s="1"/>
  <c r="Y153" i="20" s="1"/>
  <c r="S199" i="22"/>
  <c r="T199" i="22" s="1"/>
  <c r="W199" i="22"/>
  <c r="X199" i="22" s="1"/>
  <c r="Y199" i="22" s="1"/>
  <c r="S150" i="20"/>
  <c r="T150" i="20" s="1"/>
  <c r="W150" i="20"/>
  <c r="X150" i="20" s="1"/>
  <c r="Y150" i="20" s="1"/>
  <c r="S308" i="22"/>
  <c r="T308" i="22" s="1"/>
  <c r="W308" i="22"/>
  <c r="X308" i="22" s="1"/>
  <c r="S257" i="20"/>
  <c r="T257" i="20" s="1"/>
  <c r="W257" i="20"/>
  <c r="X257" i="20" s="1"/>
  <c r="S205" i="20"/>
  <c r="T205" i="20" s="1"/>
  <c r="W205" i="20"/>
  <c r="X205" i="20" s="1"/>
  <c r="Y205" i="20" s="1"/>
  <c r="Q325" i="20"/>
  <c r="V325" i="20" s="1"/>
  <c r="R80" i="22"/>
  <c r="Q80" i="22"/>
  <c r="V80" i="22" s="1"/>
  <c r="Q304" i="22"/>
  <c r="V304" i="22" s="1"/>
  <c r="Q360" i="20"/>
  <c r="V360" i="20" s="1"/>
  <c r="Q42" i="20"/>
  <c r="V42" i="20" s="1"/>
  <c r="R42" i="20"/>
  <c r="S172" i="22"/>
  <c r="T172" i="22" s="1"/>
  <c r="W172" i="22"/>
  <c r="X172" i="22" s="1"/>
  <c r="Y172" i="22" s="1"/>
  <c r="S213" i="20"/>
  <c r="T213" i="20" s="1"/>
  <c r="W213" i="20"/>
  <c r="X213" i="20" s="1"/>
  <c r="Y213" i="20" s="1"/>
  <c r="S172" i="20"/>
  <c r="T172" i="20" s="1"/>
  <c r="W172" i="20"/>
  <c r="X172" i="20" s="1"/>
  <c r="Y172" i="20" s="1"/>
  <c r="W353" i="4"/>
  <c r="R11" i="22"/>
  <c r="Q11" i="22"/>
  <c r="V11" i="22" s="1"/>
  <c r="Q60" i="20"/>
  <c r="V60" i="20" s="1"/>
  <c r="R60" i="20"/>
  <c r="Q284" i="20"/>
  <c r="V284" i="20" s="1"/>
  <c r="S185" i="20"/>
  <c r="T185" i="20" s="1"/>
  <c r="W185" i="20"/>
  <c r="X185" i="20" s="1"/>
  <c r="Y185" i="20" s="1"/>
  <c r="S285" i="22"/>
  <c r="T285" i="22" s="1"/>
  <c r="W285" i="22"/>
  <c r="X285" i="22" s="1"/>
  <c r="W306" i="20"/>
  <c r="X306" i="20" s="1"/>
  <c r="S306" i="20"/>
  <c r="T306" i="20" s="1"/>
  <c r="W211" i="22"/>
  <c r="X211" i="22" s="1"/>
  <c r="Y211" i="22" s="1"/>
  <c r="S211" i="22"/>
  <c r="T211" i="22" s="1"/>
  <c r="Q353" i="20"/>
  <c r="V353" i="20" s="1"/>
  <c r="Q183" i="22"/>
  <c r="V183" i="22" s="1"/>
  <c r="R183" i="22"/>
  <c r="Q81" i="22"/>
  <c r="V81" i="22" s="1"/>
  <c r="R81" i="22"/>
  <c r="Q87" i="20"/>
  <c r="V87" i="20" s="1"/>
  <c r="R87" i="20"/>
  <c r="S72" i="4"/>
  <c r="R12" i="22"/>
  <c r="Q12" i="22"/>
  <c r="V12" i="22" s="1"/>
  <c r="S157" i="22"/>
  <c r="T157" i="22" s="1"/>
  <c r="W157" i="22"/>
  <c r="X157" i="22" s="1"/>
  <c r="Y157" i="22" s="1"/>
  <c r="S118" i="20"/>
  <c r="T118" i="20" s="1"/>
  <c r="W118" i="20"/>
  <c r="X118" i="20" s="1"/>
  <c r="Y118" i="20" s="1"/>
  <c r="S221" i="20"/>
  <c r="T221" i="20" s="1"/>
  <c r="W221" i="20"/>
  <c r="X221" i="20" s="1"/>
  <c r="W286" i="20"/>
  <c r="X286" i="20" s="1"/>
  <c r="S286" i="20"/>
  <c r="T286" i="20" s="1"/>
  <c r="S246" i="22"/>
  <c r="T246" i="22" s="1"/>
  <c r="W246" i="22"/>
  <c r="X246" i="22" s="1"/>
  <c r="S307" i="20"/>
  <c r="T307" i="20" s="1"/>
  <c r="W307" i="20"/>
  <c r="X307" i="20" s="1"/>
  <c r="S177" i="22"/>
  <c r="T177" i="22" s="1"/>
  <c r="W177" i="22"/>
  <c r="X177" i="22" s="1"/>
  <c r="Y177" i="22" s="1"/>
  <c r="Q127" i="20"/>
  <c r="V127" i="20" s="1"/>
  <c r="R127" i="20"/>
  <c r="S109" i="4"/>
  <c r="T109" i="4" s="1"/>
  <c r="R61" i="22"/>
  <c r="Q61" i="22"/>
  <c r="V61" i="22" s="1"/>
  <c r="S247" i="20"/>
  <c r="T247" i="20" s="1"/>
  <c r="W247" i="20"/>
  <c r="X247" i="20" s="1"/>
  <c r="S162" i="22"/>
  <c r="T162" i="22" s="1"/>
  <c r="W162" i="22"/>
  <c r="X162" i="22" s="1"/>
  <c r="Y162" i="22" s="1"/>
  <c r="Q224" i="22"/>
  <c r="V224" i="22" s="1"/>
  <c r="Q77" i="20"/>
  <c r="V77" i="20" s="1"/>
  <c r="R77" i="20"/>
  <c r="Z340" i="6"/>
  <c r="Q113" i="20"/>
  <c r="V113" i="20" s="1"/>
  <c r="R113" i="20"/>
  <c r="Q48" i="4"/>
  <c r="V48" i="4" s="1"/>
  <c r="H53" i="11" s="1"/>
  <c r="W48" i="4"/>
  <c r="W208" i="22"/>
  <c r="X208" i="22" s="1"/>
  <c r="Y208" i="22" s="1"/>
  <c r="S208" i="22"/>
  <c r="T208" i="22" s="1"/>
  <c r="S142" i="20"/>
  <c r="T142" i="20" s="1"/>
  <c r="W142" i="20"/>
  <c r="X142" i="20" s="1"/>
  <c r="Y142" i="20" s="1"/>
  <c r="S109" i="22"/>
  <c r="T109" i="22" s="1"/>
  <c r="W109" i="22"/>
  <c r="X109" i="22" s="1"/>
  <c r="Y109" i="22" s="1"/>
  <c r="S96" i="4"/>
  <c r="Q5" i="22"/>
  <c r="V5" i="22" s="1"/>
  <c r="R5" i="22"/>
  <c r="Q58" i="20"/>
  <c r="V58" i="20" s="1"/>
  <c r="R58" i="20"/>
  <c r="Z19" i="6"/>
  <c r="W369" i="4"/>
  <c r="R136" i="22"/>
  <c r="Q136" i="22"/>
  <c r="V136" i="22" s="1"/>
  <c r="W88" i="4"/>
  <c r="Q252" i="22"/>
  <c r="V252" i="22" s="1"/>
  <c r="Q69" i="20"/>
  <c r="V69" i="20" s="1"/>
  <c r="R69" i="20"/>
  <c r="S41" i="4"/>
  <c r="R42" i="22"/>
  <c r="Q42" i="22"/>
  <c r="V42" i="22" s="1"/>
  <c r="Q117" i="20"/>
  <c r="V117" i="20" s="1"/>
  <c r="R117" i="20"/>
  <c r="S212" i="22"/>
  <c r="T212" i="22" s="1"/>
  <c r="W212" i="22"/>
  <c r="X212" i="22" s="1"/>
  <c r="Y212" i="22" s="1"/>
  <c r="S297" i="22"/>
  <c r="T297" i="22" s="1"/>
  <c r="W297" i="22"/>
  <c r="X297" i="22" s="1"/>
  <c r="S76" i="20"/>
  <c r="T76" i="20" s="1"/>
  <c r="W76" i="20"/>
  <c r="X76" i="20" s="1"/>
  <c r="Y76" i="20" s="1"/>
  <c r="W249" i="22"/>
  <c r="X249" i="22" s="1"/>
  <c r="S249" i="22"/>
  <c r="T249" i="22" s="1"/>
  <c r="W92" i="20"/>
  <c r="X92" i="20" s="1"/>
  <c r="Y92" i="20" s="1"/>
  <c r="S92" i="20"/>
  <c r="T92" i="20" s="1"/>
  <c r="Q324" i="22"/>
  <c r="V324" i="22" s="1"/>
  <c r="W83" i="4"/>
  <c r="Q90" i="20"/>
  <c r="V90" i="20" s="1"/>
  <c r="R90" i="20"/>
  <c r="W313" i="4"/>
  <c r="Q359" i="22"/>
  <c r="V359" i="22" s="1"/>
  <c r="R41" i="22"/>
  <c r="Q41" i="22"/>
  <c r="V41" i="22" s="1"/>
  <c r="W65" i="20"/>
  <c r="X65" i="20" s="1"/>
  <c r="Y65" i="20" s="1"/>
  <c r="S65" i="20"/>
  <c r="T65" i="20" s="1"/>
  <c r="S298" i="20"/>
  <c r="T298" i="20" s="1"/>
  <c r="W298" i="20"/>
  <c r="X298" i="20" s="1"/>
  <c r="S102" i="20"/>
  <c r="T102" i="20" s="1"/>
  <c r="W102" i="20"/>
  <c r="X102" i="20" s="1"/>
  <c r="Y102" i="20" s="1"/>
  <c r="S287" i="20"/>
  <c r="T287" i="20" s="1"/>
  <c r="W287" i="20"/>
  <c r="X287" i="20" s="1"/>
  <c r="W305" i="22"/>
  <c r="X305" i="22" s="1"/>
  <c r="S305" i="22"/>
  <c r="T305" i="22" s="1"/>
  <c r="Q11" i="4"/>
  <c r="V11" i="4" s="1"/>
  <c r="B41" i="11" s="1"/>
  <c r="S41" i="11" s="1"/>
  <c r="W11" i="4"/>
  <c r="R59" i="22"/>
  <c r="Q59" i="22"/>
  <c r="V59" i="22" s="1"/>
  <c r="Q283" i="22"/>
  <c r="V283" i="22" s="1"/>
  <c r="S184" i="22"/>
  <c r="T184" i="22" s="1"/>
  <c r="W184" i="22"/>
  <c r="X184" i="22" s="1"/>
  <c r="Y184" i="22" s="1"/>
  <c r="S130" i="22"/>
  <c r="T130" i="22" s="1"/>
  <c r="W130" i="22"/>
  <c r="X130" i="22" s="1"/>
  <c r="Y130" i="22" s="1"/>
  <c r="S198" i="20"/>
  <c r="T198" i="20" s="1"/>
  <c r="W198" i="20"/>
  <c r="X198" i="20" s="1"/>
  <c r="Y198" i="20" s="1"/>
  <c r="S52" i="20"/>
  <c r="T52" i="20" s="1"/>
  <c r="W52" i="20"/>
  <c r="X52" i="20" s="1"/>
  <c r="Y52" i="20" s="1"/>
  <c r="S65" i="22"/>
  <c r="T65" i="22" s="1"/>
  <c r="W65" i="22"/>
  <c r="X65" i="22" s="1"/>
  <c r="Y65" i="22" s="1"/>
  <c r="S306" i="22"/>
  <c r="T306" i="22" s="1"/>
  <c r="W306" i="22"/>
  <c r="X306" i="22" s="1"/>
  <c r="Q352" i="22"/>
  <c r="V352" i="22" s="1"/>
  <c r="W190" i="4"/>
  <c r="Z84" i="6"/>
  <c r="R86" i="22"/>
  <c r="Q86" i="22"/>
  <c r="V86" i="22" s="1"/>
  <c r="Q8" i="20"/>
  <c r="V8" i="20" s="1"/>
  <c r="R8" i="20"/>
  <c r="Q12" i="4"/>
  <c r="V12" i="4" s="1"/>
  <c r="B42" i="11" s="1"/>
  <c r="S12" i="4"/>
  <c r="T12" i="4" s="1"/>
  <c r="W282" i="20"/>
  <c r="X282" i="20" s="1"/>
  <c r="S282" i="20"/>
  <c r="T282" i="20" s="1"/>
  <c r="S230" i="22"/>
  <c r="T230" i="22" s="1"/>
  <c r="W230" i="22"/>
  <c r="X230" i="22" s="1"/>
  <c r="R126" i="22"/>
  <c r="Q126" i="22"/>
  <c r="V126" i="22" s="1"/>
  <c r="Q40" i="20"/>
  <c r="V40" i="20" s="1"/>
  <c r="R40" i="20"/>
  <c r="W63" i="4"/>
  <c r="S364" i="22"/>
  <c r="T364" i="22" s="1"/>
  <c r="W364" i="22"/>
  <c r="X364" i="22" s="1"/>
  <c r="W88" i="22"/>
  <c r="X88" i="22" s="1"/>
  <c r="Y88" i="22" s="1"/>
  <c r="S88" i="22"/>
  <c r="T88" i="22" s="1"/>
  <c r="S44" i="22"/>
  <c r="T44" i="22" s="1"/>
  <c r="W44" i="22"/>
  <c r="X44" i="22" s="1"/>
  <c r="Y44" i="22" s="1"/>
  <c r="Q80" i="20"/>
  <c r="V80" i="20" s="1"/>
  <c r="R80" i="20"/>
  <c r="R76" i="22"/>
  <c r="Q76" i="22"/>
  <c r="V76" i="22" s="1"/>
  <c r="Q211" i="20"/>
  <c r="V211" i="20" s="1"/>
  <c r="R211" i="20"/>
  <c r="Q112" i="22"/>
  <c r="V112" i="22" s="1"/>
  <c r="R112" i="22"/>
  <c r="R39" i="20"/>
  <c r="Q39" i="20"/>
  <c r="V39" i="20" s="1"/>
  <c r="S299" i="22"/>
  <c r="T299" i="22" s="1"/>
  <c r="W299" i="22"/>
  <c r="X299" i="22" s="1"/>
  <c r="Q226" i="20"/>
  <c r="V226" i="20" s="1"/>
  <c r="T5" i="6"/>
  <c r="Y5" i="6" s="1"/>
  <c r="B64" i="11" s="1"/>
  <c r="V5" i="6"/>
  <c r="W5" i="6" s="1"/>
  <c r="R57" i="22"/>
  <c r="Q57" i="22"/>
  <c r="V57" i="22" s="1"/>
  <c r="R115" i="20"/>
  <c r="Q115" i="20"/>
  <c r="V115" i="20" s="1"/>
  <c r="W186" i="22"/>
  <c r="X186" i="22" s="1"/>
  <c r="Y186" i="22" s="1"/>
  <c r="S186" i="22"/>
  <c r="T186" i="22" s="1"/>
  <c r="Q276" i="20"/>
  <c r="V276" i="20" s="1"/>
  <c r="Q324" i="20"/>
  <c r="V324" i="20" s="1"/>
  <c r="V141" i="6"/>
  <c r="W141" i="6" s="1"/>
  <c r="Q254" i="20"/>
  <c r="V254" i="20" s="1"/>
  <c r="Z261" i="6"/>
  <c r="W68" i="4"/>
  <c r="W75" i="22"/>
  <c r="X75" i="22" s="1"/>
  <c r="Y75" i="22" s="1"/>
  <c r="S75" i="22"/>
  <c r="T75" i="22" s="1"/>
  <c r="S337" i="20"/>
  <c r="T337" i="20" s="1"/>
  <c r="W337" i="20"/>
  <c r="X337" i="20" s="1"/>
  <c r="S215" i="20"/>
  <c r="T215" i="20" s="1"/>
  <c r="W215" i="20"/>
  <c r="X215" i="20" s="1"/>
  <c r="Y215" i="20" s="1"/>
  <c r="S120" i="20"/>
  <c r="T120" i="20" s="1"/>
  <c r="W120" i="20"/>
  <c r="X120" i="20" s="1"/>
  <c r="Y120" i="20" s="1"/>
  <c r="S346" i="22"/>
  <c r="T346" i="22" s="1"/>
  <c r="W346" i="22"/>
  <c r="X346" i="22" s="1"/>
  <c r="S334" i="20"/>
  <c r="T334" i="20" s="1"/>
  <c r="W334" i="20"/>
  <c r="X334" i="20" s="1"/>
  <c r="Q277" i="20"/>
  <c r="V277" i="20" s="1"/>
  <c r="S182" i="4"/>
  <c r="T182" i="4" s="1"/>
  <c r="R148" i="20"/>
  <c r="Q148" i="20"/>
  <c r="V148" i="20" s="1"/>
  <c r="S43" i="4"/>
  <c r="Q116" i="22"/>
  <c r="V116" i="22" s="1"/>
  <c r="R116" i="22"/>
  <c r="S64" i="22"/>
  <c r="T64" i="22" s="1"/>
  <c r="W64" i="22"/>
  <c r="X64" i="22" s="1"/>
  <c r="Y64" i="22" s="1"/>
  <c r="W90" i="22"/>
  <c r="X90" i="22" s="1"/>
  <c r="Y90" i="22" s="1"/>
  <c r="S90" i="22"/>
  <c r="T90" i="22" s="1"/>
  <c r="S200" i="22"/>
  <c r="T200" i="22" s="1"/>
  <c r="W200" i="22"/>
  <c r="X200" i="22" s="1"/>
  <c r="Y200" i="22" s="1"/>
  <c r="Z333" i="6"/>
  <c r="R78" i="20"/>
  <c r="Q78" i="20"/>
  <c r="V78" i="20" s="1"/>
  <c r="Q89" i="22"/>
  <c r="V89" i="22" s="1"/>
  <c r="R89" i="22"/>
  <c r="R202" i="20"/>
  <c r="Q202" i="20"/>
  <c r="V202" i="20" s="1"/>
  <c r="V368" i="6"/>
  <c r="W368" i="6" s="1"/>
  <c r="S42" i="4"/>
  <c r="S91" i="20"/>
  <c r="T91" i="20" s="1"/>
  <c r="W91" i="20"/>
  <c r="X91" i="20" s="1"/>
  <c r="Y91" i="20" s="1"/>
  <c r="S273" i="20"/>
  <c r="T273" i="20" s="1"/>
  <c r="W273" i="20"/>
  <c r="X273" i="20" s="1"/>
  <c r="S134" i="20"/>
  <c r="T134" i="20" s="1"/>
  <c r="W134" i="20"/>
  <c r="X134" i="20" s="1"/>
  <c r="Y134" i="20" s="1"/>
  <c r="Q234" i="20"/>
  <c r="V234" i="20" s="1"/>
  <c r="Q313" i="20"/>
  <c r="V313" i="20" s="1"/>
  <c r="R107" i="20"/>
  <c r="Q107" i="20"/>
  <c r="V107" i="20" s="1"/>
  <c r="S53" i="22"/>
  <c r="T53" i="22" s="1"/>
  <c r="W53" i="22"/>
  <c r="X53" i="22" s="1"/>
  <c r="Y53" i="22" s="1"/>
  <c r="S281" i="20"/>
  <c r="T281" i="20" s="1"/>
  <c r="W281" i="20"/>
  <c r="X281" i="20" s="1"/>
  <c r="Z361" i="6"/>
  <c r="R88" i="20"/>
  <c r="Q88" i="20"/>
  <c r="V88" i="20" s="1"/>
  <c r="Q129" i="20"/>
  <c r="V129" i="20" s="1"/>
  <c r="R129" i="20"/>
  <c r="W89" i="4"/>
  <c r="R8" i="22"/>
  <c r="Q8" i="22"/>
  <c r="V8" i="22" s="1"/>
  <c r="Q333" i="20"/>
  <c r="V333" i="20" s="1"/>
  <c r="S34" i="22"/>
  <c r="T34" i="22" s="1"/>
  <c r="W34" i="22"/>
  <c r="X34" i="22" s="1"/>
  <c r="Y34" i="22" s="1"/>
  <c r="S203" i="22"/>
  <c r="T203" i="22" s="1"/>
  <c r="W203" i="22"/>
  <c r="X203" i="22" s="1"/>
  <c r="Y203" i="22" s="1"/>
  <c r="R210" i="20"/>
  <c r="Q210" i="20"/>
  <c r="V210" i="20" s="1"/>
  <c r="R39" i="22"/>
  <c r="Q39" i="22"/>
  <c r="V39" i="22" s="1"/>
  <c r="Q233" i="20"/>
  <c r="V233" i="20" s="1"/>
  <c r="Q116" i="20"/>
  <c r="V116" i="20" s="1"/>
  <c r="R116" i="20"/>
  <c r="S102" i="22"/>
  <c r="T102" i="22" s="1"/>
  <c r="W102" i="22"/>
  <c r="X102" i="22" s="1"/>
  <c r="Y102" i="22" s="1"/>
  <c r="S46" i="20"/>
  <c r="T46" i="20" s="1"/>
  <c r="W46" i="20"/>
  <c r="X46" i="20" s="1"/>
  <c r="Y46" i="20" s="1"/>
  <c r="S254" i="22"/>
  <c r="T254" i="22" s="1"/>
  <c r="W254" i="22"/>
  <c r="X254" i="22" s="1"/>
  <c r="Q352" i="20"/>
  <c r="V352" i="20" s="1"/>
  <c r="W79" i="4"/>
  <c r="Q36" i="20"/>
  <c r="V36" i="20" s="1"/>
  <c r="R36" i="20"/>
  <c r="W116" i="4"/>
  <c r="R38" i="22"/>
  <c r="Q38" i="22"/>
  <c r="V38" i="22" s="1"/>
  <c r="S45" i="20"/>
  <c r="T45" i="20" s="1"/>
  <c r="W45" i="20"/>
  <c r="X45" i="20" s="1"/>
  <c r="Y45" i="20" s="1"/>
  <c r="S265" i="20"/>
  <c r="T265" i="20" s="1"/>
  <c r="W265" i="20"/>
  <c r="X265" i="20" s="1"/>
  <c r="Q225" i="22"/>
  <c r="V225" i="22" s="1"/>
  <c r="Q261" i="20"/>
  <c r="V261" i="20" s="1"/>
  <c r="W59" i="4"/>
  <c r="S189" i="22"/>
  <c r="T189" i="22" s="1"/>
  <c r="W189" i="22"/>
  <c r="X189" i="22" s="1"/>
  <c r="Y189" i="22" s="1"/>
  <c r="W300" i="20"/>
  <c r="X300" i="20" s="1"/>
  <c r="S300" i="20"/>
  <c r="T300" i="20" s="1"/>
  <c r="S330" i="22"/>
  <c r="T330" i="22" s="1"/>
  <c r="W330" i="22"/>
  <c r="X330" i="22" s="1"/>
  <c r="Q275" i="22"/>
  <c r="V275" i="22" s="1"/>
  <c r="Q323" i="22"/>
  <c r="V323" i="22" s="1"/>
  <c r="Q253" i="22"/>
  <c r="V253" i="22" s="1"/>
  <c r="R68" i="20"/>
  <c r="Q68" i="20"/>
  <c r="V68" i="20" s="1"/>
  <c r="W70" i="4"/>
  <c r="J52" i="18"/>
  <c r="J43" i="18"/>
  <c r="J46" i="18"/>
  <c r="J44" i="18"/>
  <c r="J38" i="18"/>
  <c r="X16" i="4"/>
  <c r="C46" i="11"/>
  <c r="T46" i="11" s="1"/>
  <c r="AA330" i="6"/>
  <c r="K62" i="19"/>
  <c r="X130" i="4"/>
  <c r="E34" i="18"/>
  <c r="T34" i="18" s="1"/>
  <c r="X310" i="4"/>
  <c r="I39" i="19"/>
  <c r="AA211" i="6"/>
  <c r="I69" i="18"/>
  <c r="X69" i="18" s="1"/>
  <c r="Z166" i="6"/>
  <c r="W323" i="4"/>
  <c r="S323" i="4"/>
  <c r="V78" i="6"/>
  <c r="W78" i="6" s="1"/>
  <c r="V3" i="6"/>
  <c r="W3" i="6" s="1"/>
  <c r="Z121" i="6"/>
  <c r="V20" i="6"/>
  <c r="W20" i="6" s="1"/>
  <c r="Z123" i="6"/>
  <c r="Z107" i="6"/>
  <c r="Z106" i="6"/>
  <c r="V23" i="6"/>
  <c r="W23" i="6" s="1"/>
  <c r="Z113" i="6"/>
  <c r="Z111" i="6"/>
  <c r="Z114" i="6"/>
  <c r="Z22" i="6"/>
  <c r="Z122" i="6"/>
  <c r="Z6" i="6"/>
  <c r="Z7" i="6"/>
  <c r="Z14" i="6"/>
  <c r="Z15" i="6"/>
  <c r="Z4" i="6"/>
  <c r="S281" i="4"/>
  <c r="T281" i="4" s="1"/>
  <c r="V43" i="4"/>
  <c r="H48" i="11" s="1"/>
  <c r="Y48" i="11" s="1"/>
  <c r="V39" i="4"/>
  <c r="H44" i="11" s="1"/>
  <c r="V68" i="4"/>
  <c r="J48" i="11" s="1"/>
  <c r="AA48" i="11" s="1"/>
  <c r="V70" i="4"/>
  <c r="J50" i="11" s="1"/>
  <c r="V59" i="4"/>
  <c r="J39" i="11" s="1"/>
  <c r="AA39" i="11" s="1"/>
  <c r="V41" i="4"/>
  <c r="H46" i="11" s="1"/>
  <c r="S343" i="4"/>
  <c r="T343" i="4" s="1"/>
  <c r="W216" i="4"/>
  <c r="S335" i="4"/>
  <c r="T335" i="4" s="1"/>
  <c r="S159" i="4"/>
  <c r="T159" i="4" s="1"/>
  <c r="W357" i="4"/>
  <c r="S47" i="4"/>
  <c r="T47" i="4" s="1"/>
  <c r="W228" i="4"/>
  <c r="W347" i="4"/>
  <c r="S295" i="4"/>
  <c r="T295" i="4" s="1"/>
  <c r="W366" i="4"/>
  <c r="W188" i="4"/>
  <c r="W329" i="4"/>
  <c r="W372" i="4"/>
  <c r="S85" i="4"/>
  <c r="T85" i="4" s="1"/>
  <c r="W46" i="4"/>
  <c r="S111" i="4"/>
  <c r="T111" i="4" s="1"/>
  <c r="W294" i="4"/>
  <c r="W258" i="4"/>
  <c r="S172" i="4"/>
  <c r="T172" i="4" s="1"/>
  <c r="W155" i="4"/>
  <c r="W303" i="4"/>
  <c r="S307" i="4"/>
  <c r="T307" i="4" s="1"/>
  <c r="W87" i="4"/>
  <c r="W167" i="4"/>
  <c r="W272" i="4"/>
  <c r="W165" i="4"/>
  <c r="W255" i="4"/>
  <c r="W204" i="4"/>
  <c r="S346" i="4"/>
  <c r="T346" i="4" s="1"/>
  <c r="S298" i="4"/>
  <c r="T298" i="4" s="1"/>
  <c r="S364" i="4"/>
  <c r="T364" i="4" s="1"/>
  <c r="S164" i="4"/>
  <c r="T164" i="4" s="1"/>
  <c r="W359" i="4"/>
  <c r="W259" i="4"/>
  <c r="S248" i="4"/>
  <c r="T248" i="4" s="1"/>
  <c r="W91" i="4"/>
  <c r="W260" i="4"/>
  <c r="W178" i="4"/>
  <c r="W132" i="4"/>
  <c r="W287" i="4"/>
  <c r="S139" i="4"/>
  <c r="T139" i="4" s="1"/>
  <c r="S121" i="4"/>
  <c r="T121" i="4" s="1"/>
  <c r="W290" i="4"/>
  <c r="W240" i="4"/>
  <c r="S211" i="4"/>
  <c r="T211" i="4" s="1"/>
  <c r="W137" i="4"/>
  <c r="S245" i="4"/>
  <c r="T245" i="4" s="1"/>
  <c r="S322" i="4"/>
  <c r="T322" i="4" s="1"/>
  <c r="S328" i="4"/>
  <c r="T328" i="4" s="1"/>
  <c r="S339" i="4"/>
  <c r="T339" i="4" s="1"/>
  <c r="S291" i="4"/>
  <c r="T291" i="4" s="1"/>
  <c r="W273" i="4"/>
  <c r="S208" i="4"/>
  <c r="T208" i="4" s="1"/>
  <c r="W213" i="4"/>
  <c r="W113" i="4"/>
  <c r="W54" i="4"/>
  <c r="W232" i="4"/>
  <c r="W246" i="4"/>
  <c r="W163" i="4"/>
  <c r="W129" i="4"/>
  <c r="S73" i="4"/>
  <c r="T73" i="4" s="1"/>
  <c r="W171" i="4"/>
  <c r="W191" i="4"/>
  <c r="W147" i="4"/>
  <c r="W367" i="4"/>
  <c r="W123" i="4"/>
  <c r="W194" i="4"/>
  <c r="W186" i="4"/>
  <c r="W135" i="4"/>
  <c r="W330" i="4"/>
  <c r="W354" i="4"/>
  <c r="S45" i="4"/>
  <c r="T45" i="4" s="1"/>
  <c r="W195" i="4"/>
  <c r="W256" i="4"/>
  <c r="W266" i="4"/>
  <c r="S128" i="4"/>
  <c r="T128" i="4" s="1"/>
  <c r="W336" i="4"/>
  <c r="S365" i="4"/>
  <c r="T365" i="4" s="1"/>
  <c r="W219" i="4"/>
  <c r="S192" i="4"/>
  <c r="T192" i="4" s="1"/>
  <c r="S278" i="4"/>
  <c r="T278" i="4" s="1"/>
  <c r="W358" i="4"/>
  <c r="W203" i="4"/>
  <c r="W114" i="4"/>
  <c r="S179" i="4"/>
  <c r="T179" i="4" s="1"/>
  <c r="W306" i="4"/>
  <c r="W140" i="4"/>
  <c r="W283" i="4"/>
  <c r="W223" i="4"/>
  <c r="S66" i="4"/>
  <c r="T66" i="4" s="1"/>
  <c r="S196" i="4"/>
  <c r="T196" i="4" s="1"/>
  <c r="W271" i="4"/>
  <c r="W207" i="4"/>
  <c r="S205" i="4"/>
  <c r="T205" i="4" s="1"/>
  <c r="W314" i="4"/>
  <c r="S136" i="4"/>
  <c r="T136" i="4" s="1"/>
  <c r="W86" i="4"/>
  <c r="W143" i="4"/>
  <c r="S93" i="4"/>
  <c r="T93" i="4" s="1"/>
  <c r="W268" i="4"/>
  <c r="W230" i="4"/>
  <c r="W180" i="4"/>
  <c r="W235" i="4"/>
  <c r="W94" i="4"/>
  <c r="W297" i="4"/>
  <c r="W337" i="4"/>
  <c r="W106" i="4"/>
  <c r="W296" i="4"/>
  <c r="S282" i="4"/>
  <c r="T282" i="4" s="1"/>
  <c r="W144" i="4"/>
  <c r="W263" i="4"/>
  <c r="S331" i="4"/>
  <c r="T331" i="4" s="1"/>
  <c r="W269" i="4"/>
  <c r="W95" i="4"/>
  <c r="W231" i="4"/>
  <c r="W236" i="4"/>
  <c r="W373" i="4"/>
  <c r="S67" i="4"/>
  <c r="T67" i="4" s="1"/>
  <c r="S221" i="4"/>
  <c r="T221" i="4" s="1"/>
  <c r="W214" i="4"/>
  <c r="W264" i="4"/>
  <c r="W168" i="4"/>
  <c r="W292" i="4"/>
  <c r="W105" i="4"/>
  <c r="W160" i="4"/>
  <c r="W317" i="4"/>
  <c r="S356" i="4"/>
  <c r="T356" i="4" s="1"/>
  <c r="W184" i="4"/>
  <c r="W238" i="4"/>
  <c r="W222" i="4"/>
  <c r="W183" i="4"/>
  <c r="S148" i="4"/>
  <c r="T148" i="4" s="1"/>
  <c r="W157" i="4"/>
  <c r="W90" i="4"/>
  <c r="W173" i="4"/>
  <c r="S145" i="4"/>
  <c r="T145" i="4" s="1"/>
  <c r="W362" i="4"/>
  <c r="W338" i="4"/>
  <c r="S229" i="4"/>
  <c r="T229" i="4" s="1"/>
  <c r="W193" i="4"/>
  <c r="W315" i="4"/>
  <c r="W146" i="4"/>
  <c r="W316" i="4"/>
  <c r="S237" i="4"/>
  <c r="T237" i="4" s="1"/>
  <c r="W122" i="4"/>
  <c r="S212" i="4"/>
  <c r="T212" i="4" s="1"/>
  <c r="S345" i="4"/>
  <c r="T345" i="4" s="1"/>
  <c r="V33" i="4"/>
  <c r="H38" i="11" s="1"/>
  <c r="Y38" i="11" s="1"/>
  <c r="W30" i="4"/>
  <c r="S29" i="4"/>
  <c r="T29" i="4" s="1"/>
  <c r="S35" i="4"/>
  <c r="T35" i="4" s="1"/>
  <c r="S37" i="4"/>
  <c r="T37" i="4" s="1"/>
  <c r="W38" i="4"/>
  <c r="W31" i="4"/>
  <c r="W55" i="4"/>
  <c r="S61" i="4"/>
  <c r="S57" i="4"/>
  <c r="T57" i="4" s="1"/>
  <c r="S58" i="4"/>
  <c r="T58" i="4" s="1"/>
  <c r="W53" i="4"/>
  <c r="W19" i="4"/>
  <c r="S19" i="4"/>
  <c r="T19" i="4" s="1"/>
  <c r="W210" i="4"/>
  <c r="S210" i="4"/>
  <c r="T210" i="4" s="1"/>
  <c r="S292" i="4"/>
  <c r="T292" i="4" s="1"/>
  <c r="Z360" i="6"/>
  <c r="V360" i="6"/>
  <c r="W360" i="6" s="1"/>
  <c r="Z312" i="6"/>
  <c r="V312" i="6"/>
  <c r="W312" i="6" s="1"/>
  <c r="Z313" i="6"/>
  <c r="V313" i="6"/>
  <c r="W313" i="6" s="1"/>
  <c r="Z253" i="6"/>
  <c r="V253" i="6"/>
  <c r="W253" i="6" s="1"/>
  <c r="Z242" i="6"/>
  <c r="V242" i="6"/>
  <c r="W242" i="6" s="1"/>
  <c r="Z233" i="6"/>
  <c r="V233" i="6"/>
  <c r="W233" i="6" s="1"/>
  <c r="Z57" i="6"/>
  <c r="V57" i="6"/>
  <c r="W57" i="6" s="1"/>
  <c r="Z189" i="6"/>
  <c r="V189" i="6"/>
  <c r="W189" i="6" s="1"/>
  <c r="Z80" i="6"/>
  <c r="V80" i="6"/>
  <c r="W80" i="6" s="1"/>
  <c r="Z67" i="6"/>
  <c r="V67" i="6"/>
  <c r="W67" i="6" s="1"/>
  <c r="Z13" i="6"/>
  <c r="V13" i="6"/>
  <c r="W13" i="6" s="1"/>
  <c r="Z47" i="6"/>
  <c r="V47" i="6"/>
  <c r="W47" i="6" s="1"/>
  <c r="Z88" i="6"/>
  <c r="V88" i="6"/>
  <c r="W88" i="6" s="1"/>
  <c r="Z58" i="6"/>
  <c r="V58" i="6"/>
  <c r="W58" i="6" s="1"/>
  <c r="Z73" i="6"/>
  <c r="V73" i="6"/>
  <c r="W73" i="6" s="1"/>
  <c r="Z92" i="6"/>
  <c r="V92" i="6"/>
  <c r="W92" i="6" s="1"/>
  <c r="Z66" i="6"/>
  <c r="V66" i="6"/>
  <c r="W66" i="6" s="1"/>
  <c r="Z55" i="6"/>
  <c r="V55" i="6"/>
  <c r="W55" i="6" s="1"/>
  <c r="Z65" i="6"/>
  <c r="V65" i="6"/>
  <c r="W65" i="6" s="1"/>
  <c r="Z46" i="6"/>
  <c r="V46" i="6"/>
  <c r="W46" i="6" s="1"/>
  <c r="Z30" i="6"/>
  <c r="V30" i="6"/>
  <c r="W30" i="6" s="1"/>
  <c r="Z83" i="6"/>
  <c r="V83" i="6"/>
  <c r="W83" i="6" s="1"/>
  <c r="Z71" i="6"/>
  <c r="V71" i="6"/>
  <c r="W71" i="6" s="1"/>
  <c r="Z11" i="6"/>
  <c r="V11" i="6"/>
  <c r="W11" i="6" s="1"/>
  <c r="Z31" i="6"/>
  <c r="V31" i="6"/>
  <c r="W31" i="6" s="1"/>
  <c r="Z131" i="6"/>
  <c r="V131" i="6"/>
  <c r="W131" i="6" s="1"/>
  <c r="Z38" i="6"/>
  <c r="V38" i="6"/>
  <c r="W38" i="6" s="1"/>
  <c r="Z45" i="6"/>
  <c r="V45" i="6"/>
  <c r="W45" i="6" s="1"/>
  <c r="W142" i="4"/>
  <c r="S142" i="4"/>
  <c r="W9" i="4"/>
  <c r="S9" i="4"/>
  <c r="T16" i="4"/>
  <c r="W154" i="4"/>
  <c r="S154" i="4"/>
  <c r="W234" i="4"/>
  <c r="S234" i="4"/>
  <c r="T3" i="4"/>
  <c r="W181" i="4"/>
  <c r="S181" i="4"/>
  <c r="W332" i="4"/>
  <c r="S332" i="4"/>
  <c r="W284" i="4"/>
  <c r="S284" i="4"/>
  <c r="W333" i="4"/>
  <c r="S333" i="4"/>
  <c r="Y61" i="6"/>
  <c r="J70" i="11" s="1"/>
  <c r="AA70" i="11" s="1"/>
  <c r="Y60" i="6"/>
  <c r="J69" i="11" s="1"/>
  <c r="AA69" i="11" s="1"/>
  <c r="Y36" i="6"/>
  <c r="H70" i="11" s="1"/>
  <c r="Y70" i="11" s="1"/>
  <c r="Y42" i="6"/>
  <c r="H76" i="11" s="1"/>
  <c r="Y76" i="11" s="1"/>
  <c r="Y68" i="6"/>
  <c r="J77" i="11" s="1"/>
  <c r="AA77" i="11" s="1"/>
  <c r="Y56" i="6"/>
  <c r="J65" i="11" s="1"/>
  <c r="Y53" i="6"/>
  <c r="J62" i="11" s="1"/>
  <c r="AA62" i="11" s="1"/>
  <c r="Y70" i="6"/>
  <c r="J79" i="11" s="1"/>
  <c r="AA79" i="11" s="1"/>
  <c r="Y59" i="6"/>
  <c r="J68" i="11" s="1"/>
  <c r="AA68" i="11" s="1"/>
  <c r="Y54" i="6"/>
  <c r="J63" i="11" s="1"/>
  <c r="Y32" i="6"/>
  <c r="H66" i="11" s="1"/>
  <c r="Y34" i="6"/>
  <c r="H68" i="11" s="1"/>
  <c r="Y68" i="11" s="1"/>
  <c r="Y48" i="6"/>
  <c r="H82" i="11" s="1"/>
  <c r="Z234" i="6" l="1"/>
  <c r="AC75" i="11"/>
  <c r="Z9" i="6"/>
  <c r="AC67" i="11"/>
  <c r="AC74" i="11"/>
  <c r="AC69" i="11"/>
  <c r="AC76" i="11"/>
  <c r="AC71" i="11"/>
  <c r="AC38" i="11"/>
  <c r="Y80" i="18"/>
  <c r="Y81" i="18"/>
  <c r="Y72" i="18"/>
  <c r="Y62" i="18"/>
  <c r="L34" i="11"/>
  <c r="U34" i="11"/>
  <c r="AC37" i="11"/>
  <c r="L80" i="11"/>
  <c r="S80" i="11"/>
  <c r="L81" i="11"/>
  <c r="AA81" i="11"/>
  <c r="AC81" i="11" s="1"/>
  <c r="L53" i="11"/>
  <c r="Y53" i="11"/>
  <c r="L35" i="11"/>
  <c r="S35" i="11"/>
  <c r="AC35" i="11" s="1"/>
  <c r="L46" i="11"/>
  <c r="Y46" i="11"/>
  <c r="AC39" i="11"/>
  <c r="L50" i="11"/>
  <c r="AA50" i="11"/>
  <c r="AC48" i="11"/>
  <c r="L44" i="11"/>
  <c r="Y44" i="11"/>
  <c r="L63" i="11"/>
  <c r="AA63" i="11"/>
  <c r="AC63" i="11" s="1"/>
  <c r="AC36" i="11"/>
  <c r="AC62" i="11"/>
  <c r="L42" i="11"/>
  <c r="S42" i="11"/>
  <c r="AC42" i="11" s="1"/>
  <c r="AC73" i="11"/>
  <c r="L72" i="11"/>
  <c r="AA72" i="11"/>
  <c r="AC72" i="11" s="1"/>
  <c r="L64" i="11"/>
  <c r="S64" i="11"/>
  <c r="L66" i="11"/>
  <c r="Y66" i="11"/>
  <c r="AC78" i="11"/>
  <c r="L51" i="11"/>
  <c r="S51" i="11"/>
  <c r="AC51" i="11" s="1"/>
  <c r="L49" i="11"/>
  <c r="U49" i="11"/>
  <c r="AC41" i="11"/>
  <c r="L82" i="11"/>
  <c r="Y82" i="11"/>
  <c r="AC68" i="11"/>
  <c r="AC79" i="11"/>
  <c r="L65" i="11"/>
  <c r="AA65" i="11"/>
  <c r="AC65" i="11" s="1"/>
  <c r="AC77" i="11"/>
  <c r="AC70" i="11"/>
  <c r="L40" i="11"/>
  <c r="S40" i="11"/>
  <c r="AC40" i="11" s="1"/>
  <c r="J37" i="18"/>
  <c r="S37" i="18"/>
  <c r="Y37" i="18" s="1"/>
  <c r="J81" i="18"/>
  <c r="J72" i="18"/>
  <c r="J51" i="18"/>
  <c r="Q51" i="18"/>
  <c r="Y51" i="18" s="1"/>
  <c r="J67" i="18"/>
  <c r="J62" i="18"/>
  <c r="J80" i="18"/>
  <c r="J76" i="18"/>
  <c r="V369" i="6"/>
  <c r="W369" i="6" s="1"/>
  <c r="V181" i="6"/>
  <c r="W181" i="6" s="1"/>
  <c r="V170" i="6"/>
  <c r="W170" i="6" s="1"/>
  <c r="W131" i="4"/>
  <c r="V305" i="6"/>
  <c r="W305" i="6" s="1"/>
  <c r="V232" i="6"/>
  <c r="W232" i="6" s="1"/>
  <c r="W114" i="22"/>
  <c r="X114" i="22" s="1"/>
  <c r="Y114" i="22" s="1"/>
  <c r="V110" i="6"/>
  <c r="W110" i="6" s="1"/>
  <c r="V179" i="6"/>
  <c r="W179" i="6" s="1"/>
  <c r="V218" i="6"/>
  <c r="W218" i="6" s="1"/>
  <c r="V371" i="6"/>
  <c r="W371" i="6" s="1"/>
  <c r="V287" i="6"/>
  <c r="W287" i="6" s="1"/>
  <c r="S105" i="20"/>
  <c r="T105" i="20" s="1"/>
  <c r="V248" i="6"/>
  <c r="W248" i="6" s="1"/>
  <c r="V98" i="6"/>
  <c r="W98" i="6" s="1"/>
  <c r="S242" i="4"/>
  <c r="T242" i="4" s="1"/>
  <c r="V257" i="6"/>
  <c r="W257" i="6" s="1"/>
  <c r="V334" i="6"/>
  <c r="W334" i="6" s="1"/>
  <c r="L77" i="11"/>
  <c r="V85" i="6"/>
  <c r="W85" i="6" s="1"/>
  <c r="Z82" i="6"/>
  <c r="AA82" i="6" s="1"/>
  <c r="V159" i="6"/>
  <c r="W159" i="6" s="1"/>
  <c r="L39" i="11"/>
  <c r="L76" i="11"/>
  <c r="G69" i="11"/>
  <c r="X69" i="11" s="1"/>
  <c r="V292" i="6"/>
  <c r="W292" i="6" s="1"/>
  <c r="Z339" i="6"/>
  <c r="K71" i="19" s="1"/>
  <c r="Z244" i="6"/>
  <c r="AA244" i="6" s="1"/>
  <c r="V307" i="6"/>
  <c r="W307" i="6" s="1"/>
  <c r="V35" i="6"/>
  <c r="W35" i="6" s="1"/>
  <c r="V96" i="6"/>
  <c r="W96" i="6" s="1"/>
  <c r="Z180" i="6"/>
  <c r="AA180" i="6" s="1"/>
  <c r="V288" i="6"/>
  <c r="W288" i="6" s="1"/>
  <c r="V190" i="6"/>
  <c r="W190" i="6" s="1"/>
  <c r="Z254" i="6"/>
  <c r="E61" i="19" s="1"/>
  <c r="W68" i="22"/>
  <c r="X68" i="22" s="1"/>
  <c r="Y68" i="22" s="1"/>
  <c r="V290" i="6"/>
  <c r="W290" i="6" s="1"/>
  <c r="V195" i="6"/>
  <c r="W195" i="6" s="1"/>
  <c r="V256" i="6"/>
  <c r="W256" i="6" s="1"/>
  <c r="V81" i="6"/>
  <c r="W81" i="6" s="1"/>
  <c r="Z192" i="6"/>
  <c r="AA192" i="6" s="1"/>
  <c r="V318" i="6"/>
  <c r="W318" i="6" s="1"/>
  <c r="Z273" i="6"/>
  <c r="AA273" i="6" s="1"/>
  <c r="V265" i="6"/>
  <c r="W265" i="6" s="1"/>
  <c r="V308" i="6"/>
  <c r="W308" i="6" s="1"/>
  <c r="W82" i="4"/>
  <c r="X82" i="4" s="1"/>
  <c r="V186" i="6"/>
  <c r="W186" i="6" s="1"/>
  <c r="V344" i="6"/>
  <c r="W344" i="6" s="1"/>
  <c r="Z198" i="6"/>
  <c r="G81" i="18" s="1"/>
  <c r="V81" i="18" s="1"/>
  <c r="S101" i="20"/>
  <c r="T101" i="20" s="1"/>
  <c r="Z221" i="6"/>
  <c r="AA221" i="6" s="1"/>
  <c r="L71" i="11"/>
  <c r="V354" i="6"/>
  <c r="W354" i="6" s="1"/>
  <c r="S313" i="4"/>
  <c r="T313" i="4" s="1"/>
  <c r="N77" i="19"/>
  <c r="Y310" i="4"/>
  <c r="Z310" i="4"/>
  <c r="Y300" i="20"/>
  <c r="Z300" i="20"/>
  <c r="Y265" i="20"/>
  <c r="Z265" i="20"/>
  <c r="Y286" i="20"/>
  <c r="Z286" i="20"/>
  <c r="Y223" i="20"/>
  <c r="Z223" i="20"/>
  <c r="Y240" i="20"/>
  <c r="Z240" i="20"/>
  <c r="Y222" i="20"/>
  <c r="Z222" i="20"/>
  <c r="Y354" i="20"/>
  <c r="Z354" i="20"/>
  <c r="Y281" i="22"/>
  <c r="Z281" i="22"/>
  <c r="Y227" i="20"/>
  <c r="Z227" i="20"/>
  <c r="Y263" i="20"/>
  <c r="Z263" i="20"/>
  <c r="Y315" i="20"/>
  <c r="Z315" i="20"/>
  <c r="Y339" i="20"/>
  <c r="Z339" i="20"/>
  <c r="Y270" i="22"/>
  <c r="Z270" i="22"/>
  <c r="Y234" i="22"/>
  <c r="Z234" i="22"/>
  <c r="Y231" i="20"/>
  <c r="Z231" i="20"/>
  <c r="Y278" i="22"/>
  <c r="Z278" i="22"/>
  <c r="Y277" i="22"/>
  <c r="Z277" i="22"/>
  <c r="Y356" i="20"/>
  <c r="Z356" i="20"/>
  <c r="Y258" i="22"/>
  <c r="Z258" i="22"/>
  <c r="Y320" i="20"/>
  <c r="Z320" i="20"/>
  <c r="Y361" i="22"/>
  <c r="Z361" i="22"/>
  <c r="Y281" i="20"/>
  <c r="Z281" i="20"/>
  <c r="Y282" i="20"/>
  <c r="Z282" i="20"/>
  <c r="Y305" i="22"/>
  <c r="Z305" i="22"/>
  <c r="Y289" i="22"/>
  <c r="Z289" i="22"/>
  <c r="Y346" i="22"/>
  <c r="Z346" i="22"/>
  <c r="Y287" i="20"/>
  <c r="Z287" i="20"/>
  <c r="Y221" i="20"/>
  <c r="Z221" i="20"/>
  <c r="Y358" i="22"/>
  <c r="Z358" i="22"/>
  <c r="Y228" i="22"/>
  <c r="Z228" i="22"/>
  <c r="Y349" i="22"/>
  <c r="Z349" i="22"/>
  <c r="Y362" i="20"/>
  <c r="Z362" i="20"/>
  <c r="Y236" i="20"/>
  <c r="Z236" i="20"/>
  <c r="Y288" i="20"/>
  <c r="Z288" i="20"/>
  <c r="Y322" i="20"/>
  <c r="Z322" i="20"/>
  <c r="Y345" i="22"/>
  <c r="Z345" i="22"/>
  <c r="Y363" i="20"/>
  <c r="Z363" i="20"/>
  <c r="Y274" i="22"/>
  <c r="Z274" i="22"/>
  <c r="Y295" i="20"/>
  <c r="Z295" i="20"/>
  <c r="Y258" i="20"/>
  <c r="Z258" i="20"/>
  <c r="Y224" i="20"/>
  <c r="Z224" i="20"/>
  <c r="Y328" i="20"/>
  <c r="Z328" i="20"/>
  <c r="Y236" i="22"/>
  <c r="Z236" i="22"/>
  <c r="Y311" i="20"/>
  <c r="Z311" i="20"/>
  <c r="Y301" i="20"/>
  <c r="Z301" i="20"/>
  <c r="Y237" i="20"/>
  <c r="Z237" i="20"/>
  <c r="Y235" i="20"/>
  <c r="Z235" i="20"/>
  <c r="Y350" i="22"/>
  <c r="Z350" i="22"/>
  <c r="Y256" i="20"/>
  <c r="Z256" i="20"/>
  <c r="Y357" i="22"/>
  <c r="Z357" i="22"/>
  <c r="Y307" i="20"/>
  <c r="Z307" i="20"/>
  <c r="Y257" i="20"/>
  <c r="Z257" i="20"/>
  <c r="Y272" i="20"/>
  <c r="Z272" i="20"/>
  <c r="Y259" i="20"/>
  <c r="Z259" i="20"/>
  <c r="Y302" i="20"/>
  <c r="Z302" i="20"/>
  <c r="Y220" i="22"/>
  <c r="Z220" i="22"/>
  <c r="Y275" i="20"/>
  <c r="Z275" i="20"/>
  <c r="AB306" i="6"/>
  <c r="AC306" i="6"/>
  <c r="Y263" i="22"/>
  <c r="Z263" i="22"/>
  <c r="Y307" i="22"/>
  <c r="Z307" i="22"/>
  <c r="Y333" i="22"/>
  <c r="Z333" i="22"/>
  <c r="Y257" i="22"/>
  <c r="Z257" i="22"/>
  <c r="Y336" i="22"/>
  <c r="Z336" i="22"/>
  <c r="Y327" i="22"/>
  <c r="Z327" i="22"/>
  <c r="Y323" i="20"/>
  <c r="Z323" i="20"/>
  <c r="Y230" i="20"/>
  <c r="Z230" i="20"/>
  <c r="Y278" i="20"/>
  <c r="Z278" i="20"/>
  <c r="Y269" i="22"/>
  <c r="Z269" i="22"/>
  <c r="Y335" i="22"/>
  <c r="Z335" i="22"/>
  <c r="AB257" i="6"/>
  <c r="AC257" i="6"/>
  <c r="Y226" i="22"/>
  <c r="Z226" i="22"/>
  <c r="Y262" i="22"/>
  <c r="Z262" i="22"/>
  <c r="AB330" i="6"/>
  <c r="AC330" i="6"/>
  <c r="Y254" i="22"/>
  <c r="Z254" i="22"/>
  <c r="Y273" i="20"/>
  <c r="Z273" i="20"/>
  <c r="Y283" i="20"/>
  <c r="Z283" i="20"/>
  <c r="Y272" i="22"/>
  <c r="Z272" i="22"/>
  <c r="Y255" i="20"/>
  <c r="Z255" i="20"/>
  <c r="Y313" i="22"/>
  <c r="Z313" i="22"/>
  <c r="Y232" i="20"/>
  <c r="Z232" i="20"/>
  <c r="Y334" i="22"/>
  <c r="Z334" i="22"/>
  <c r="Y219" i="22"/>
  <c r="Z219" i="22"/>
  <c r="Y329" i="20"/>
  <c r="Z329" i="20"/>
  <c r="Y259" i="22"/>
  <c r="Z259" i="22"/>
  <c r="Y309" i="20"/>
  <c r="Z309" i="20"/>
  <c r="Y220" i="20"/>
  <c r="Z220" i="20"/>
  <c r="Y357" i="20"/>
  <c r="Z357" i="20"/>
  <c r="Y271" i="20"/>
  <c r="Z271" i="20"/>
  <c r="Y355" i="22"/>
  <c r="Z355" i="22"/>
  <c r="Y308" i="20"/>
  <c r="Z308" i="20"/>
  <c r="Y273" i="22"/>
  <c r="Z273" i="22"/>
  <c r="Y274" i="20"/>
  <c r="Z274" i="20"/>
  <c r="Y239" i="20"/>
  <c r="Z239" i="20"/>
  <c r="AB289" i="6"/>
  <c r="AC289" i="6"/>
  <c r="Y222" i="22"/>
  <c r="Z222" i="22"/>
  <c r="Y354" i="22"/>
  <c r="Z354" i="22"/>
  <c r="Z239" i="22"/>
  <c r="Y338" i="20"/>
  <c r="Z338" i="20"/>
  <c r="Y231" i="22"/>
  <c r="Z231" i="22"/>
  <c r="L67" i="11"/>
  <c r="Y227" i="22"/>
  <c r="Z227" i="22"/>
  <c r="Y260" i="20"/>
  <c r="Z260" i="20"/>
  <c r="Y279" i="22"/>
  <c r="Z279" i="22"/>
  <c r="Y229" i="22"/>
  <c r="Z229" i="22"/>
  <c r="Y330" i="20"/>
  <c r="Z330" i="20"/>
  <c r="Y365" i="20"/>
  <c r="Z365" i="20"/>
  <c r="Y348" i="22"/>
  <c r="Z348" i="22"/>
  <c r="Y310" i="22"/>
  <c r="Z310" i="22"/>
  <c r="Y289" i="20"/>
  <c r="Z289" i="20"/>
  <c r="AB288" i="6"/>
  <c r="AC288" i="6"/>
  <c r="Y235" i="22"/>
  <c r="Z235" i="22"/>
  <c r="Y237" i="22"/>
  <c r="Z237" i="22"/>
  <c r="Y329" i="22"/>
  <c r="Z329" i="22"/>
  <c r="Y299" i="20"/>
  <c r="Z299" i="20"/>
  <c r="Y330" i="22"/>
  <c r="Z330" i="22"/>
  <c r="Y306" i="22"/>
  <c r="Z306" i="22"/>
  <c r="Y298" i="20"/>
  <c r="Z298" i="20"/>
  <c r="Y306" i="20"/>
  <c r="Z306" i="20"/>
  <c r="Y308" i="22"/>
  <c r="Z308" i="22"/>
  <c r="Y256" i="22"/>
  <c r="Z256" i="22"/>
  <c r="Y364" i="22"/>
  <c r="Z364" i="22"/>
  <c r="Y285" i="22"/>
  <c r="Z285" i="22"/>
  <c r="Y309" i="22"/>
  <c r="Z309" i="22"/>
  <c r="Y229" i="20"/>
  <c r="Z229" i="20"/>
  <c r="Y336" i="20"/>
  <c r="Z336" i="20"/>
  <c r="Y302" i="22"/>
  <c r="Z302" i="22"/>
  <c r="Y335" i="20"/>
  <c r="Z335" i="20"/>
  <c r="Y337" i="22"/>
  <c r="Z337" i="22"/>
  <c r="Y353" i="22"/>
  <c r="Z353" i="22"/>
  <c r="Y287" i="22"/>
  <c r="Z287" i="22"/>
  <c r="Y314" i="22"/>
  <c r="Z314" i="22"/>
  <c r="Y356" i="22"/>
  <c r="Z356" i="22"/>
  <c r="Y338" i="22"/>
  <c r="Z338" i="22"/>
  <c r="Y363" i="22"/>
  <c r="Z363" i="22"/>
  <c r="Y347" i="22"/>
  <c r="Z347" i="22"/>
  <c r="Y362" i="22"/>
  <c r="Z362" i="22"/>
  <c r="Y238" i="22"/>
  <c r="Z238" i="22"/>
  <c r="Y303" i="20"/>
  <c r="Z303" i="20"/>
  <c r="Y264" i="20"/>
  <c r="Z264" i="20"/>
  <c r="Y221" i="22"/>
  <c r="Z221" i="22"/>
  <c r="Y364" i="20"/>
  <c r="Z364" i="20"/>
  <c r="Y327" i="20"/>
  <c r="Z327" i="20"/>
  <c r="Y270" i="20"/>
  <c r="Z270" i="20"/>
  <c r="Y358" i="20"/>
  <c r="Z358" i="20"/>
  <c r="Y314" i="20"/>
  <c r="Z314" i="20"/>
  <c r="Y264" i="22"/>
  <c r="Z264" i="22"/>
  <c r="Y355" i="20"/>
  <c r="Z355" i="20"/>
  <c r="Y280" i="20"/>
  <c r="Z280" i="20"/>
  <c r="Y326" i="20"/>
  <c r="Z326" i="20"/>
  <c r="Y230" i="22"/>
  <c r="Z230" i="22"/>
  <c r="Y359" i="20"/>
  <c r="Z359" i="20"/>
  <c r="Y331" i="20"/>
  <c r="Z331" i="20"/>
  <c r="Y334" i="20"/>
  <c r="Z334" i="20"/>
  <c r="Y337" i="20"/>
  <c r="Z337" i="20"/>
  <c r="Y271" i="22"/>
  <c r="Z271" i="22"/>
  <c r="Y282" i="22"/>
  <c r="Z282" i="22"/>
  <c r="Y328" i="22"/>
  <c r="Z328" i="22"/>
  <c r="Y280" i="22"/>
  <c r="Z280" i="22"/>
  <c r="Y286" i="22"/>
  <c r="Z286" i="22"/>
  <c r="Y290" i="20"/>
  <c r="Z290" i="20"/>
  <c r="Y238" i="20"/>
  <c r="Z238" i="20"/>
  <c r="Y228" i="20"/>
  <c r="Z228" i="20"/>
  <c r="Y255" i="22"/>
  <c r="Z255" i="22"/>
  <c r="Y288" i="22"/>
  <c r="Z288" i="22"/>
  <c r="Y223" i="22"/>
  <c r="Z223" i="22"/>
  <c r="Y310" i="20"/>
  <c r="Z310" i="20"/>
  <c r="Y308" i="4"/>
  <c r="Z308" i="4"/>
  <c r="AB323" i="6"/>
  <c r="AC323" i="6"/>
  <c r="Y279" i="20"/>
  <c r="Z279" i="20"/>
  <c r="AB363" i="6"/>
  <c r="AC363" i="6"/>
  <c r="Y321" i="20"/>
  <c r="Z321" i="20"/>
  <c r="S185" i="4"/>
  <c r="T185" i="4" s="1"/>
  <c r="E63" i="18"/>
  <c r="T63" i="18" s="1"/>
  <c r="S118" i="4"/>
  <c r="T118" i="4" s="1"/>
  <c r="Y321" i="22"/>
  <c r="Z321" i="22"/>
  <c r="Y322" i="22"/>
  <c r="Z322" i="22"/>
  <c r="Y325" i="22"/>
  <c r="Z325" i="22"/>
  <c r="Y320" i="22"/>
  <c r="Z320" i="22"/>
  <c r="Y326" i="22"/>
  <c r="Z326" i="22"/>
  <c r="Y319" i="22"/>
  <c r="Z319" i="22"/>
  <c r="Y249" i="22"/>
  <c r="Z249" i="22"/>
  <c r="Y247" i="22"/>
  <c r="Z247" i="22"/>
  <c r="Y250" i="22"/>
  <c r="Z250" i="22"/>
  <c r="Y248" i="22"/>
  <c r="Z248" i="22"/>
  <c r="Y246" i="22"/>
  <c r="Z246" i="22"/>
  <c r="Y251" i="22"/>
  <c r="Z251" i="22"/>
  <c r="Y299" i="22"/>
  <c r="Z299" i="22"/>
  <c r="Y297" i="22"/>
  <c r="Z297" i="22"/>
  <c r="Y301" i="22"/>
  <c r="Z301" i="22"/>
  <c r="Y298" i="22"/>
  <c r="Z298" i="22"/>
  <c r="Y300" i="22"/>
  <c r="Z300" i="22"/>
  <c r="Y294" i="22"/>
  <c r="Z294" i="22"/>
  <c r="Y349" i="20"/>
  <c r="Z349" i="20"/>
  <c r="Y347" i="20"/>
  <c r="Z347" i="20"/>
  <c r="Y346" i="20"/>
  <c r="Z346" i="20"/>
  <c r="Y350" i="20"/>
  <c r="Z350" i="20"/>
  <c r="Y351" i="20"/>
  <c r="Z351" i="20"/>
  <c r="Y348" i="20"/>
  <c r="Z348" i="20"/>
  <c r="Y249" i="20"/>
  <c r="Z249" i="20"/>
  <c r="Y252" i="20"/>
  <c r="Z252" i="20"/>
  <c r="Y251" i="20"/>
  <c r="Z251" i="20"/>
  <c r="Y247" i="20"/>
  <c r="Z247" i="20"/>
  <c r="Y248" i="20"/>
  <c r="Z248" i="20"/>
  <c r="Y250" i="20"/>
  <c r="Z250" i="20"/>
  <c r="Z284" i="6"/>
  <c r="AA284" i="6" s="1"/>
  <c r="V278" i="6"/>
  <c r="W278" i="6" s="1"/>
  <c r="L62" i="11"/>
  <c r="L75" i="11"/>
  <c r="L73" i="11"/>
  <c r="L79" i="11"/>
  <c r="L74" i="11"/>
  <c r="L38" i="11"/>
  <c r="L48" i="11"/>
  <c r="L70" i="11"/>
  <c r="L69" i="11"/>
  <c r="L68" i="11"/>
  <c r="L78" i="11"/>
  <c r="AB3" i="6"/>
  <c r="AC3" i="6"/>
  <c r="L41" i="11"/>
  <c r="AB16" i="6"/>
  <c r="AC16" i="6"/>
  <c r="AB94" i="6"/>
  <c r="AC94" i="6"/>
  <c r="Y3" i="4"/>
  <c r="AB93" i="6"/>
  <c r="AC93" i="6"/>
  <c r="AB211" i="6"/>
  <c r="AC211" i="6"/>
  <c r="V184" i="6"/>
  <c r="W184" i="6" s="1"/>
  <c r="AB213" i="6"/>
  <c r="AC213" i="6"/>
  <c r="AB144" i="6"/>
  <c r="AC144" i="6"/>
  <c r="Y156" i="4"/>
  <c r="Z156" i="4"/>
  <c r="AB157" i="6"/>
  <c r="AC157" i="6"/>
  <c r="AB137" i="6"/>
  <c r="AC137" i="6"/>
  <c r="Y130" i="4"/>
  <c r="Z130" i="4"/>
  <c r="AB130" i="6"/>
  <c r="AC130" i="6"/>
  <c r="AB160" i="6"/>
  <c r="AC160" i="6"/>
  <c r="Y16" i="4"/>
  <c r="Z16" i="4"/>
  <c r="V183" i="6"/>
  <c r="W183" i="6" s="1"/>
  <c r="V205" i="6"/>
  <c r="W205" i="6" s="1"/>
  <c r="AB222" i="6"/>
  <c r="AC222" i="6"/>
  <c r="AB195" i="6"/>
  <c r="AC195" i="6"/>
  <c r="V204" i="6"/>
  <c r="W204" i="6" s="1"/>
  <c r="Z169" i="6"/>
  <c r="AA169" i="6" s="1"/>
  <c r="Z5" i="6"/>
  <c r="AA5" i="6" s="1"/>
  <c r="W4" i="4"/>
  <c r="X4" i="4" s="1"/>
  <c r="W62" i="22"/>
  <c r="X62" i="22" s="1"/>
  <c r="Y62" i="22" s="1"/>
  <c r="Z241" i="6"/>
  <c r="AA241" i="6" s="1"/>
  <c r="V103" i="6"/>
  <c r="W103" i="6" s="1"/>
  <c r="V79" i="6"/>
  <c r="W79" i="6" s="1"/>
  <c r="V188" i="6"/>
  <c r="W188" i="6" s="1"/>
  <c r="V143" i="6"/>
  <c r="W143" i="6" s="1"/>
  <c r="V161" i="6"/>
  <c r="W161" i="6" s="1"/>
  <c r="V317" i="6"/>
  <c r="W317" i="6" s="1"/>
  <c r="V206" i="6"/>
  <c r="W206" i="6" s="1"/>
  <c r="V194" i="6"/>
  <c r="W194" i="6" s="1"/>
  <c r="V289" i="6"/>
  <c r="W289" i="6" s="1"/>
  <c r="V90" i="6"/>
  <c r="W90" i="6" s="1"/>
  <c r="Z263" i="6"/>
  <c r="AA263" i="6" s="1"/>
  <c r="Z141" i="6"/>
  <c r="AA141" i="6" s="1"/>
  <c r="Z298" i="6"/>
  <c r="AA298" i="6" s="1"/>
  <c r="S98" i="4"/>
  <c r="T98" i="4" s="1"/>
  <c r="S215" i="4"/>
  <c r="T215" i="4" s="1"/>
  <c r="S158" i="4"/>
  <c r="T158" i="4" s="1"/>
  <c r="S320" i="4"/>
  <c r="T320" i="4" s="1"/>
  <c r="S169" i="4"/>
  <c r="T169" i="4" s="1"/>
  <c r="W319" i="4"/>
  <c r="I48" i="19" s="1"/>
  <c r="S108" i="4"/>
  <c r="T108" i="4" s="1"/>
  <c r="W120" i="4"/>
  <c r="E50" i="11" s="1"/>
  <c r="V50" i="11" s="1"/>
  <c r="W311" i="4"/>
  <c r="I40" i="19" s="1"/>
  <c r="S312" i="4"/>
  <c r="T312" i="4" s="1"/>
  <c r="S355" i="4"/>
  <c r="T355" i="4" s="1"/>
  <c r="V359" i="6"/>
  <c r="W359" i="6" s="1"/>
  <c r="V362" i="6"/>
  <c r="W362" i="6" s="1"/>
  <c r="V333" i="6"/>
  <c r="W333" i="6" s="1"/>
  <c r="V341" i="6"/>
  <c r="W341" i="6" s="1"/>
  <c r="V328" i="6"/>
  <c r="W328" i="6" s="1"/>
  <c r="Z348" i="6"/>
  <c r="AA348" i="6" s="1"/>
  <c r="Z115" i="6"/>
  <c r="AA115" i="6" s="1"/>
  <c r="V147" i="6"/>
  <c r="W147" i="6" s="1"/>
  <c r="X281" i="4"/>
  <c r="V358" i="6"/>
  <c r="W358" i="6" s="1"/>
  <c r="S112" i="4"/>
  <c r="T112" i="4" s="1"/>
  <c r="Z154" i="6"/>
  <c r="AA154" i="6" s="1"/>
  <c r="V216" i="6"/>
  <c r="W216" i="6" s="1"/>
  <c r="Z281" i="6"/>
  <c r="G63" i="19" s="1"/>
  <c r="V335" i="6"/>
  <c r="W335" i="6" s="1"/>
  <c r="V280" i="6"/>
  <c r="W280" i="6" s="1"/>
  <c r="V291" i="6"/>
  <c r="W291" i="6" s="1"/>
  <c r="V193" i="6"/>
  <c r="W193" i="6" s="1"/>
  <c r="S305" i="4"/>
  <c r="T305" i="4" s="1"/>
  <c r="S309" i="4"/>
  <c r="T309" i="4" s="1"/>
  <c r="V138" i="6"/>
  <c r="W138" i="6" s="1"/>
  <c r="V356" i="6"/>
  <c r="W356" i="6" s="1"/>
  <c r="S344" i="4"/>
  <c r="T344" i="4" s="1"/>
  <c r="V148" i="6"/>
  <c r="W148" i="6" s="1"/>
  <c r="V309" i="6"/>
  <c r="W309" i="6" s="1"/>
  <c r="V108" i="6"/>
  <c r="W108" i="6" s="1"/>
  <c r="V315" i="6"/>
  <c r="W315" i="6" s="1"/>
  <c r="W286" i="4"/>
  <c r="G40" i="19" s="1"/>
  <c r="V336" i="6"/>
  <c r="W336" i="6" s="1"/>
  <c r="V295" i="6"/>
  <c r="W295" i="6" s="1"/>
  <c r="V239" i="6"/>
  <c r="W239" i="6" s="1"/>
  <c r="Z258" i="6"/>
  <c r="AA258" i="6" s="1"/>
  <c r="V142" i="6"/>
  <c r="W142" i="6" s="1"/>
  <c r="S253" i="4"/>
  <c r="T253" i="4" s="1"/>
  <c r="W182" i="4"/>
  <c r="X182" i="4" s="1"/>
  <c r="W109" i="4"/>
  <c r="X109" i="4" s="1"/>
  <c r="V235" i="6"/>
  <c r="W235" i="6" s="1"/>
  <c r="V129" i="6"/>
  <c r="W129" i="6" s="1"/>
  <c r="S106" i="22"/>
  <c r="T106" i="22" s="1"/>
  <c r="S156" i="4"/>
  <c r="T156" i="4" s="1"/>
  <c r="V109" i="6"/>
  <c r="W109" i="6" s="1"/>
  <c r="Z87" i="6"/>
  <c r="C70" i="18" s="1"/>
  <c r="R70" i="18" s="1"/>
  <c r="Z364" i="6"/>
  <c r="AA364" i="6" s="1"/>
  <c r="V219" i="6"/>
  <c r="W219" i="6" s="1"/>
  <c r="V212" i="6"/>
  <c r="W212" i="6" s="1"/>
  <c r="V223" i="6"/>
  <c r="W223" i="6" s="1"/>
  <c r="V203" i="6"/>
  <c r="W203" i="6" s="1"/>
  <c r="V222" i="6"/>
  <c r="W222" i="6" s="1"/>
  <c r="S116" i="4"/>
  <c r="T116" i="4" s="1"/>
  <c r="V139" i="6"/>
  <c r="W139" i="6" s="1"/>
  <c r="Z365" i="6"/>
  <c r="AA365" i="6" s="1"/>
  <c r="S134" i="4"/>
  <c r="T134" i="4" s="1"/>
  <c r="S83" i="4"/>
  <c r="T83" i="4" s="1"/>
  <c r="V153" i="6"/>
  <c r="W153" i="6" s="1"/>
  <c r="V133" i="6"/>
  <c r="W133" i="6" s="1"/>
  <c r="V332" i="6"/>
  <c r="W332" i="6" s="1"/>
  <c r="V136" i="6"/>
  <c r="W136" i="6" s="1"/>
  <c r="V94" i="6"/>
  <c r="W94" i="6" s="1"/>
  <c r="V329" i="6"/>
  <c r="W329" i="6" s="1"/>
  <c r="V337" i="6"/>
  <c r="W337" i="6" s="1"/>
  <c r="S308" i="4"/>
  <c r="T308" i="4" s="1"/>
  <c r="S210" i="22"/>
  <c r="T210" i="22" s="1"/>
  <c r="W340" i="4"/>
  <c r="K44" i="19" s="1"/>
  <c r="W370" i="4"/>
  <c r="X370" i="4" s="1"/>
  <c r="Z173" i="6"/>
  <c r="AA173" i="6" s="1"/>
  <c r="Z196" i="6"/>
  <c r="AA196" i="6" s="1"/>
  <c r="V155" i="6"/>
  <c r="W155" i="6" s="1"/>
  <c r="S107" i="4"/>
  <c r="T107" i="4" s="1"/>
  <c r="W79" i="22"/>
  <c r="X79" i="22" s="1"/>
  <c r="Y79" i="22" s="1"/>
  <c r="S190" i="4"/>
  <c r="T190" i="4" s="1"/>
  <c r="V89" i="6"/>
  <c r="W89" i="6" s="1"/>
  <c r="V17" i="6"/>
  <c r="W17" i="6" s="1"/>
  <c r="Z228" i="6"/>
  <c r="C60" i="19" s="1"/>
  <c r="V93" i="6"/>
  <c r="W93" i="6" s="1"/>
  <c r="S233" i="4"/>
  <c r="T233" i="4" s="1"/>
  <c r="V207" i="6"/>
  <c r="W207" i="6" s="1"/>
  <c r="V240" i="6"/>
  <c r="W240" i="6" s="1"/>
  <c r="V214" i="6"/>
  <c r="W214" i="6" s="1"/>
  <c r="V266" i="6"/>
  <c r="W266" i="6" s="1"/>
  <c r="V213" i="6"/>
  <c r="W213" i="6" s="1"/>
  <c r="W239" i="4"/>
  <c r="X239" i="4" s="1"/>
  <c r="V104" i="6"/>
  <c r="W104" i="6" s="1"/>
  <c r="V282" i="6"/>
  <c r="W282" i="6" s="1"/>
  <c r="S361" i="4"/>
  <c r="T361" i="4" s="1"/>
  <c r="S209" i="4"/>
  <c r="T209" i="4" s="1"/>
  <c r="Z217" i="6"/>
  <c r="I75" i="18" s="1"/>
  <c r="X75" i="18" s="1"/>
  <c r="Z285" i="6"/>
  <c r="AA285" i="6" s="1"/>
  <c r="V347" i="6"/>
  <c r="W347" i="6" s="1"/>
  <c r="S115" i="4"/>
  <c r="T115" i="4" s="1"/>
  <c r="V323" i="6"/>
  <c r="W323" i="6" s="1"/>
  <c r="V267" i="6"/>
  <c r="W267" i="6" s="1"/>
  <c r="S20" i="4"/>
  <c r="T20" i="4" s="1"/>
  <c r="W247" i="4"/>
  <c r="X247" i="4" s="1"/>
  <c r="S66" i="22"/>
  <c r="T66" i="22" s="1"/>
  <c r="Z215" i="6"/>
  <c r="AA215" i="6" s="1"/>
  <c r="V361" i="6"/>
  <c r="W361" i="6" s="1"/>
  <c r="Z346" i="6"/>
  <c r="AA346" i="6" s="1"/>
  <c r="V238" i="6"/>
  <c r="W238" i="6" s="1"/>
  <c r="V306" i="6"/>
  <c r="W306" i="6" s="1"/>
  <c r="V144" i="6"/>
  <c r="W144" i="6" s="1"/>
  <c r="V296" i="6"/>
  <c r="W296" i="6" s="1"/>
  <c r="V118" i="6"/>
  <c r="W118" i="6" s="1"/>
  <c r="W96" i="4"/>
  <c r="X96" i="4" s="1"/>
  <c r="W321" i="4"/>
  <c r="X321" i="4" s="1"/>
  <c r="S17" i="4"/>
  <c r="T17" i="4" s="1"/>
  <c r="Z268" i="6"/>
  <c r="AA268" i="6" s="1"/>
  <c r="S285" i="4"/>
  <c r="T285" i="4" s="1"/>
  <c r="S80" i="4"/>
  <c r="T80" i="4" s="1"/>
  <c r="V187" i="6"/>
  <c r="W187" i="6" s="1"/>
  <c r="V157" i="6"/>
  <c r="W157" i="6" s="1"/>
  <c r="V97" i="6"/>
  <c r="W97" i="6" s="1"/>
  <c r="W342" i="4"/>
  <c r="K46" i="19" s="1"/>
  <c r="V140" i="6"/>
  <c r="W140" i="6" s="1"/>
  <c r="V245" i="6"/>
  <c r="W245" i="6" s="1"/>
  <c r="V363" i="6"/>
  <c r="W363" i="6" s="1"/>
  <c r="Z331" i="6"/>
  <c r="AA331" i="6" s="1"/>
  <c r="V135" i="6"/>
  <c r="W135" i="6" s="1"/>
  <c r="V229" i="6"/>
  <c r="W229" i="6" s="1"/>
  <c r="W10" i="4"/>
  <c r="X10" i="4" s="1"/>
  <c r="Z172" i="6"/>
  <c r="AA172" i="6" s="1"/>
  <c r="W279" i="4"/>
  <c r="G33" i="19" s="1"/>
  <c r="Z286" i="6"/>
  <c r="AA286" i="6" s="1"/>
  <c r="S369" i="4"/>
  <c r="T369" i="4" s="1"/>
  <c r="V210" i="6"/>
  <c r="W210" i="6" s="1"/>
  <c r="V209" i="6"/>
  <c r="W209" i="6" s="1"/>
  <c r="V261" i="6"/>
  <c r="W261" i="6" s="1"/>
  <c r="V303" i="6"/>
  <c r="W303" i="6" s="1"/>
  <c r="V255" i="6"/>
  <c r="W255" i="6" s="1"/>
  <c r="S218" i="4"/>
  <c r="T218" i="4" s="1"/>
  <c r="Z367" i="6"/>
  <c r="AA367" i="6" s="1"/>
  <c r="V230" i="6"/>
  <c r="W230" i="6" s="1"/>
  <c r="W6" i="4"/>
  <c r="C36" i="11" s="1"/>
  <c r="T36" i="11" s="1"/>
  <c r="S217" i="4"/>
  <c r="T217" i="4" s="1"/>
  <c r="V145" i="6"/>
  <c r="W145" i="6" s="1"/>
  <c r="V231" i="6"/>
  <c r="W231" i="6" s="1"/>
  <c r="Z119" i="6"/>
  <c r="AA119" i="6" s="1"/>
  <c r="S78" i="4"/>
  <c r="T78" i="4" s="1"/>
  <c r="AA194" i="6"/>
  <c r="G77" i="18"/>
  <c r="V77" i="18" s="1"/>
  <c r="V146" i="6"/>
  <c r="W146" i="6" s="1"/>
  <c r="V294" i="6"/>
  <c r="W294" i="6" s="1"/>
  <c r="V137" i="6"/>
  <c r="W137" i="6" s="1"/>
  <c r="Z370" i="6"/>
  <c r="AA370" i="6" s="1"/>
  <c r="S289" i="4"/>
  <c r="T289" i="4" s="1"/>
  <c r="W288" i="4"/>
  <c r="X288" i="4" s="1"/>
  <c r="S293" i="4"/>
  <c r="T293" i="4" s="1"/>
  <c r="S162" i="4"/>
  <c r="T162" i="4" s="1"/>
  <c r="Z357" i="6"/>
  <c r="AA357" i="6" s="1"/>
  <c r="S166" i="4"/>
  <c r="T166" i="4" s="1"/>
  <c r="V271" i="6"/>
  <c r="W271" i="6" s="1"/>
  <c r="S18" i="4"/>
  <c r="T18" i="4" s="1"/>
  <c r="V91" i="6"/>
  <c r="W91" i="6" s="1"/>
  <c r="S14" i="4"/>
  <c r="T14" i="4" s="1"/>
  <c r="V178" i="6"/>
  <c r="W178" i="6" s="1"/>
  <c r="W117" i="4"/>
  <c r="E47" i="11" s="1"/>
  <c r="V47" i="11" s="1"/>
  <c r="V185" i="6"/>
  <c r="W185" i="6" s="1"/>
  <c r="S334" i="4"/>
  <c r="T334" i="4" s="1"/>
  <c r="V208" i="6"/>
  <c r="W208" i="6" s="1"/>
  <c r="S64" i="4"/>
  <c r="T64" i="4" s="1"/>
  <c r="AA335" i="6"/>
  <c r="K67" i="19"/>
  <c r="V37" i="6"/>
  <c r="W37" i="6" s="1"/>
  <c r="AA208" i="6"/>
  <c r="I66" i="18"/>
  <c r="X66" i="18" s="1"/>
  <c r="G62" i="18"/>
  <c r="V62" i="18" s="1"/>
  <c r="AA179" i="6"/>
  <c r="AA138" i="6"/>
  <c r="E71" i="18"/>
  <c r="T71" i="18" s="1"/>
  <c r="AA159" i="6"/>
  <c r="G68" i="11"/>
  <c r="X68" i="11" s="1"/>
  <c r="AA205" i="6"/>
  <c r="I63" i="18"/>
  <c r="X63" i="18" s="1"/>
  <c r="X107" i="4"/>
  <c r="E37" i="11"/>
  <c r="V37" i="11" s="1"/>
  <c r="AA303" i="6"/>
  <c r="I60" i="19"/>
  <c r="AA245" i="6"/>
  <c r="C77" i="19"/>
  <c r="X344" i="4"/>
  <c r="K48" i="19"/>
  <c r="X318" i="4"/>
  <c r="I47" i="19"/>
  <c r="X220" i="4"/>
  <c r="I49" i="18"/>
  <c r="X49" i="18" s="1"/>
  <c r="AA240" i="6"/>
  <c r="C72" i="19"/>
  <c r="C64" i="19"/>
  <c r="AA232" i="6"/>
  <c r="S88" i="4"/>
  <c r="T88" i="4" s="1"/>
  <c r="V84" i="6"/>
  <c r="W84" i="6" s="1"/>
  <c r="V269" i="6"/>
  <c r="W269" i="6" s="1"/>
  <c r="V272" i="6"/>
  <c r="W272" i="6" s="1"/>
  <c r="S21" i="4"/>
  <c r="T21" i="4" s="1"/>
  <c r="V316" i="6"/>
  <c r="W316" i="6" s="1"/>
  <c r="Z310" i="6"/>
  <c r="AA310" i="6" s="1"/>
  <c r="W341" i="4"/>
  <c r="X341" i="4" s="1"/>
  <c r="S220" i="4"/>
  <c r="T220" i="4" s="1"/>
  <c r="S318" i="4"/>
  <c r="T318" i="4" s="1"/>
  <c r="W262" i="4"/>
  <c r="Z311" i="6"/>
  <c r="S244" i="4"/>
  <c r="T244" i="4" s="1"/>
  <c r="W265" i="4"/>
  <c r="X265" i="4" s="1"/>
  <c r="Z264" i="6"/>
  <c r="E71" i="19" s="1"/>
  <c r="W267" i="4"/>
  <c r="X267" i="4" s="1"/>
  <c r="V259" i="6"/>
  <c r="W259" i="6" s="1"/>
  <c r="V105" i="6"/>
  <c r="W105" i="6" s="1"/>
  <c r="Z283" i="6"/>
  <c r="Z168" i="6"/>
  <c r="AA168" i="6" s="1"/>
  <c r="S92" i="4"/>
  <c r="T92" i="4" s="1"/>
  <c r="S81" i="4"/>
  <c r="T81" i="4" s="1"/>
  <c r="V112" i="6"/>
  <c r="W112" i="6" s="1"/>
  <c r="V18" i="6"/>
  <c r="W18" i="6" s="1"/>
  <c r="S79" i="4"/>
  <c r="T79" i="4" s="1"/>
  <c r="Z353" i="6"/>
  <c r="AA353" i="6" s="1"/>
  <c r="Z368" i="6"/>
  <c r="AA368" i="6" s="1"/>
  <c r="Z373" i="6"/>
  <c r="AA373" i="6" s="1"/>
  <c r="V128" i="6"/>
  <c r="W128" i="6" s="1"/>
  <c r="V342" i="6"/>
  <c r="W342" i="6" s="1"/>
  <c r="V171" i="6"/>
  <c r="W171" i="6" s="1"/>
  <c r="S138" i="4"/>
  <c r="T138" i="4" s="1"/>
  <c r="S97" i="4"/>
  <c r="T97" i="4" s="1"/>
  <c r="M70" i="19"/>
  <c r="E64" i="19"/>
  <c r="I63" i="19"/>
  <c r="S241" i="4"/>
  <c r="T241" i="4" s="1"/>
  <c r="S153" i="4"/>
  <c r="T153" i="4" s="1"/>
  <c r="V134" i="6"/>
  <c r="W134" i="6" s="1"/>
  <c r="V304" i="6"/>
  <c r="W304" i="6" s="1"/>
  <c r="V345" i="6"/>
  <c r="W345" i="6" s="1"/>
  <c r="V279" i="6"/>
  <c r="W279" i="6" s="1"/>
  <c r="S8" i="4"/>
  <c r="T8" i="4" s="1"/>
  <c r="S371" i="4"/>
  <c r="T371" i="4" s="1"/>
  <c r="Z156" i="6"/>
  <c r="AA156" i="6" s="1"/>
  <c r="S170" i="4"/>
  <c r="T170" i="4" s="1"/>
  <c r="S254" i="4"/>
  <c r="T254" i="4" s="1"/>
  <c r="V95" i="6"/>
  <c r="W95" i="6" s="1"/>
  <c r="S110" i="4"/>
  <c r="T110" i="4" s="1"/>
  <c r="V191" i="6"/>
  <c r="W191" i="6" s="1"/>
  <c r="V167" i="6"/>
  <c r="W167" i="6" s="1"/>
  <c r="W12" i="4"/>
  <c r="X12" i="4" s="1"/>
  <c r="V29" i="6"/>
  <c r="W29" i="6" s="1"/>
  <c r="S363" i="4"/>
  <c r="T363" i="4" s="1"/>
  <c r="V164" i="6"/>
  <c r="W164" i="6" s="1"/>
  <c r="V297" i="6"/>
  <c r="W297" i="6" s="1"/>
  <c r="Z343" i="6"/>
  <c r="AA343" i="6" s="1"/>
  <c r="S187" i="4"/>
  <c r="T187" i="4" s="1"/>
  <c r="Z236" i="6"/>
  <c r="AA236" i="6" s="1"/>
  <c r="S280" i="4"/>
  <c r="T280" i="4" s="1"/>
  <c r="V43" i="6"/>
  <c r="W43" i="6" s="1"/>
  <c r="AA91" i="6"/>
  <c r="C74" i="18"/>
  <c r="R74" i="18" s="1"/>
  <c r="AA267" i="6"/>
  <c r="E74" i="19"/>
  <c r="AA307" i="6"/>
  <c r="I64" i="19"/>
  <c r="AA204" i="6"/>
  <c r="I62" i="18"/>
  <c r="X62" i="18" s="1"/>
  <c r="X158" i="4"/>
  <c r="G38" i="11"/>
  <c r="X38" i="11" s="1"/>
  <c r="AA135" i="6"/>
  <c r="E68" i="18"/>
  <c r="T68" i="18" s="1"/>
  <c r="X334" i="4"/>
  <c r="K38" i="19"/>
  <c r="AA315" i="6"/>
  <c r="I72" i="19"/>
  <c r="AA183" i="6"/>
  <c r="G66" i="18"/>
  <c r="V66" i="18" s="1"/>
  <c r="AA248" i="6"/>
  <c r="C80" i="19"/>
  <c r="AA207" i="6"/>
  <c r="I65" i="18"/>
  <c r="X65" i="18" s="1"/>
  <c r="AA231" i="6"/>
  <c r="C63" i="19"/>
  <c r="AA223" i="6"/>
  <c r="I81" i="18"/>
  <c r="X81" i="18" s="1"/>
  <c r="AA265" i="6"/>
  <c r="E72" i="19"/>
  <c r="AA259" i="6"/>
  <c r="E66" i="19"/>
  <c r="AA336" i="6"/>
  <c r="K68" i="19"/>
  <c r="G61" i="18"/>
  <c r="V61" i="18" s="1"/>
  <c r="AA178" i="6"/>
  <c r="AA278" i="6"/>
  <c r="G60" i="19"/>
  <c r="AA345" i="6"/>
  <c r="K77" i="19"/>
  <c r="AA297" i="6"/>
  <c r="G79" i="19"/>
  <c r="AA342" i="6"/>
  <c r="K74" i="19"/>
  <c r="X363" i="4"/>
  <c r="M42" i="19"/>
  <c r="V12" i="6"/>
  <c r="W12" i="6" s="1"/>
  <c r="W5" i="4"/>
  <c r="X5" i="4" s="1"/>
  <c r="S13" i="4"/>
  <c r="T13" i="4" s="1"/>
  <c r="S15" i="4"/>
  <c r="T15" i="4" s="1"/>
  <c r="S22" i="4"/>
  <c r="T22" i="4" s="1"/>
  <c r="C45" i="11"/>
  <c r="T45" i="11" s="1"/>
  <c r="X15" i="4"/>
  <c r="X22" i="4"/>
  <c r="C52" i="11"/>
  <c r="T52" i="11" s="1"/>
  <c r="V10" i="6"/>
  <c r="W10" i="6" s="1"/>
  <c r="C51" i="11"/>
  <c r="X21" i="4"/>
  <c r="X138" i="4"/>
  <c r="E42" i="18"/>
  <c r="T42" i="18" s="1"/>
  <c r="AA187" i="6"/>
  <c r="G70" i="18"/>
  <c r="V70" i="18" s="1"/>
  <c r="AA316" i="6"/>
  <c r="I73" i="19"/>
  <c r="AA354" i="6"/>
  <c r="M61" i="19"/>
  <c r="AA318" i="6"/>
  <c r="I75" i="19"/>
  <c r="AA128" i="6"/>
  <c r="E61" i="18"/>
  <c r="T61" i="18" s="1"/>
  <c r="X215" i="4"/>
  <c r="I44" i="18"/>
  <c r="X44" i="18" s="1"/>
  <c r="AA294" i="6"/>
  <c r="G76" i="19"/>
  <c r="AA191" i="6"/>
  <c r="G74" i="18"/>
  <c r="V74" i="18" s="1"/>
  <c r="X309" i="4"/>
  <c r="I38" i="19"/>
  <c r="I66" i="19"/>
  <c r="AA309" i="6"/>
  <c r="AA147" i="6"/>
  <c r="E80" i="18"/>
  <c r="T80" i="18" s="1"/>
  <c r="AA193" i="6"/>
  <c r="G76" i="18"/>
  <c r="V76" i="18" s="1"/>
  <c r="AA136" i="6"/>
  <c r="E69" i="18"/>
  <c r="T69" i="18" s="1"/>
  <c r="X110" i="4"/>
  <c r="E40" i="11"/>
  <c r="V40" i="11" s="1"/>
  <c r="G39" i="18"/>
  <c r="V39" i="18" s="1"/>
  <c r="X185" i="4"/>
  <c r="X166" i="4"/>
  <c r="G46" i="11"/>
  <c r="X46" i="11" s="1"/>
  <c r="AA266" i="6"/>
  <c r="E73" i="19"/>
  <c r="AA206" i="6"/>
  <c r="I64" i="18"/>
  <c r="X64" i="18" s="1"/>
  <c r="X11" i="4"/>
  <c r="C41" i="11"/>
  <c r="T41" i="11" s="1"/>
  <c r="AA19" i="6"/>
  <c r="C78" i="11"/>
  <c r="T78" i="11" s="1"/>
  <c r="AA229" i="6"/>
  <c r="C61" i="19"/>
  <c r="AA279" i="6"/>
  <c r="G61" i="19"/>
  <c r="AA296" i="6"/>
  <c r="G78" i="19"/>
  <c r="AA171" i="6"/>
  <c r="G80" i="11"/>
  <c r="X80" i="11" s="1"/>
  <c r="X187" i="4"/>
  <c r="G41" i="18"/>
  <c r="V41" i="18" s="1"/>
  <c r="AA105" i="6"/>
  <c r="E64" i="11"/>
  <c r="V64" i="11" s="1"/>
  <c r="AA29" i="6"/>
  <c r="I63" i="11"/>
  <c r="Z63" i="11" s="1"/>
  <c r="M63" i="19"/>
  <c r="AA356" i="6"/>
  <c r="AA164" i="6"/>
  <c r="G73" i="11"/>
  <c r="X73" i="11" s="1"/>
  <c r="AA344" i="6"/>
  <c r="K76" i="19"/>
  <c r="AA291" i="6"/>
  <c r="G73" i="19"/>
  <c r="AA140" i="6"/>
  <c r="E73" i="18"/>
  <c r="T73" i="18" s="1"/>
  <c r="G69" i="18"/>
  <c r="V69" i="18" s="1"/>
  <c r="AA186" i="6"/>
  <c r="C68" i="18"/>
  <c r="R68" i="18" s="1"/>
  <c r="AA85" i="6"/>
  <c r="AA272" i="6"/>
  <c r="E79" i="19"/>
  <c r="X280" i="4"/>
  <c r="G34" i="19"/>
  <c r="G69" i="19"/>
  <c r="AA287" i="6"/>
  <c r="AA129" i="6"/>
  <c r="E62" i="18"/>
  <c r="T62" i="18" s="1"/>
  <c r="G71" i="18"/>
  <c r="V71" i="18" s="1"/>
  <c r="AA188" i="6"/>
  <c r="AA143" i="6"/>
  <c r="E76" i="18"/>
  <c r="T76" i="18" s="1"/>
  <c r="G72" i="19"/>
  <c r="AA290" i="6"/>
  <c r="I77" i="18"/>
  <c r="X77" i="18" s="1"/>
  <c r="AA219" i="6"/>
  <c r="AA282" i="6"/>
  <c r="G64" i="19"/>
  <c r="K61" i="19"/>
  <c r="AA329" i="6"/>
  <c r="I74" i="18"/>
  <c r="X74" i="18" s="1"/>
  <c r="AA216" i="6"/>
  <c r="I70" i="18"/>
  <c r="X70" i="18" s="1"/>
  <c r="AA212" i="6"/>
  <c r="AA337" i="6"/>
  <c r="K69" i="19"/>
  <c r="X371" i="4"/>
  <c r="M50" i="19"/>
  <c r="I65" i="19"/>
  <c r="AA308" i="6"/>
  <c r="AA235" i="6"/>
  <c r="C67" i="19"/>
  <c r="AA35" i="6"/>
  <c r="I69" i="11"/>
  <c r="Z69" i="11" s="1"/>
  <c r="AA362" i="6"/>
  <c r="M69" i="19"/>
  <c r="AA347" i="6"/>
  <c r="K79" i="19"/>
  <c r="AA358" i="6"/>
  <c r="M65" i="19"/>
  <c r="AA184" i="6"/>
  <c r="G67" i="18"/>
  <c r="V67" i="18" s="1"/>
  <c r="AA334" i="6"/>
  <c r="K66" i="19"/>
  <c r="X20" i="4"/>
  <c r="C50" i="11"/>
  <c r="T50" i="11" s="1"/>
  <c r="AA256" i="6"/>
  <c r="E63" i="19"/>
  <c r="AA146" i="6"/>
  <c r="E79" i="18"/>
  <c r="T79" i="18" s="1"/>
  <c r="G68" i="18"/>
  <c r="V68" i="18" s="1"/>
  <c r="AA185" i="6"/>
  <c r="AA271" i="6"/>
  <c r="E78" i="19"/>
  <c r="AA328" i="6"/>
  <c r="K60" i="19"/>
  <c r="C79" i="19"/>
  <c r="AA247" i="6"/>
  <c r="AA238" i="6"/>
  <c r="C70" i="19"/>
  <c r="X289" i="4"/>
  <c r="G43" i="19"/>
  <c r="X79" i="4"/>
  <c r="C33" i="18"/>
  <c r="R33" i="18" s="1"/>
  <c r="C38" i="11"/>
  <c r="T38" i="11" s="1"/>
  <c r="X8" i="4"/>
  <c r="AA295" i="6"/>
  <c r="G77" i="19"/>
  <c r="AA239" i="6"/>
  <c r="C71" i="19"/>
  <c r="AA317" i="6"/>
  <c r="I74" i="19"/>
  <c r="E81" i="18"/>
  <c r="T81" i="18" s="1"/>
  <c r="AA148" i="6"/>
  <c r="X13" i="4"/>
  <c r="C43" i="11"/>
  <c r="T43" i="11" s="1"/>
  <c r="I34" i="19"/>
  <c r="X305" i="4"/>
  <c r="AA167" i="6"/>
  <c r="G76" i="11"/>
  <c r="X76" i="11" s="1"/>
  <c r="AA203" i="6"/>
  <c r="I61" i="18"/>
  <c r="X61" i="18" s="1"/>
  <c r="X17" i="4"/>
  <c r="C47" i="11"/>
  <c r="T47" i="11" s="1"/>
  <c r="AA37" i="6"/>
  <c r="I71" i="11"/>
  <c r="Z71" i="11" s="1"/>
  <c r="AA255" i="6"/>
  <c r="E62" i="19"/>
  <c r="E78" i="18"/>
  <c r="T78" i="18" s="1"/>
  <c r="AA145" i="6"/>
  <c r="C62" i="19"/>
  <c r="AA230" i="6"/>
  <c r="AA214" i="6"/>
  <c r="I72" i="18"/>
  <c r="X72" i="18" s="1"/>
  <c r="AA359" i="6"/>
  <c r="M66" i="19"/>
  <c r="X78" i="4"/>
  <c r="C32" i="18"/>
  <c r="R32" i="18" s="1"/>
  <c r="AA371" i="6"/>
  <c r="M78" i="19"/>
  <c r="AA280" i="6"/>
  <c r="G62" i="19"/>
  <c r="X355" i="4"/>
  <c r="M34" i="19"/>
  <c r="X14" i="4"/>
  <c r="C44" i="11"/>
  <c r="T44" i="11" s="1"/>
  <c r="G64" i="11"/>
  <c r="X64" i="11" s="1"/>
  <c r="AA155" i="6"/>
  <c r="AA139" i="6"/>
  <c r="E72" i="18"/>
  <c r="T72" i="18" s="1"/>
  <c r="S233" i="20"/>
  <c r="T233" i="20" s="1"/>
  <c r="W233" i="20"/>
  <c r="X233" i="20" s="1"/>
  <c r="S12" i="20"/>
  <c r="T12" i="20" s="1"/>
  <c r="W12" i="20"/>
  <c r="X12" i="20" s="1"/>
  <c r="Y12" i="20" s="1"/>
  <c r="S19" i="20"/>
  <c r="T19" i="20" s="1"/>
  <c r="W19" i="20"/>
  <c r="X19" i="20" s="1"/>
  <c r="Y19" i="20" s="1"/>
  <c r="S17" i="22"/>
  <c r="T17" i="22" s="1"/>
  <c r="W17" i="22"/>
  <c r="X17" i="22" s="1"/>
  <c r="Y17" i="22" s="1"/>
  <c r="S270" i="4"/>
  <c r="T270" i="4" s="1"/>
  <c r="AA108" i="6"/>
  <c r="E67" i="11"/>
  <c r="V67" i="11" s="1"/>
  <c r="AA112" i="6"/>
  <c r="E71" i="11"/>
  <c r="V71" i="11" s="1"/>
  <c r="AA18" i="6"/>
  <c r="C77" i="11"/>
  <c r="T77" i="11" s="1"/>
  <c r="V340" i="6"/>
  <c r="W340" i="6" s="1"/>
  <c r="V247" i="6"/>
  <c r="W247" i="6" s="1"/>
  <c r="AA6" i="6"/>
  <c r="C65" i="11"/>
  <c r="T65" i="11" s="1"/>
  <c r="AA107" i="6"/>
  <c r="E66" i="11"/>
  <c r="V66" i="11" s="1"/>
  <c r="Z260" i="6"/>
  <c r="E67" i="19" s="1"/>
  <c r="AA21" i="6"/>
  <c r="C80" i="11"/>
  <c r="S68" i="20"/>
  <c r="T68" i="20" s="1"/>
  <c r="W68" i="20"/>
  <c r="X68" i="20" s="1"/>
  <c r="Y68" i="20" s="1"/>
  <c r="S225" i="22"/>
  <c r="T225" i="22" s="1"/>
  <c r="W225" i="22"/>
  <c r="X225" i="22" s="1"/>
  <c r="S88" i="20"/>
  <c r="T88" i="20" s="1"/>
  <c r="W88" i="20"/>
  <c r="X88" i="20" s="1"/>
  <c r="Y88" i="20" s="1"/>
  <c r="S277" i="20"/>
  <c r="T277" i="20" s="1"/>
  <c r="W277" i="20"/>
  <c r="X277" i="20" s="1"/>
  <c r="W58" i="20"/>
  <c r="X58" i="20" s="1"/>
  <c r="Y58" i="20" s="1"/>
  <c r="S58" i="20"/>
  <c r="T58" i="20" s="1"/>
  <c r="S77" i="20"/>
  <c r="T77" i="20" s="1"/>
  <c r="W77" i="20"/>
  <c r="X77" i="20" s="1"/>
  <c r="Y77" i="20" s="1"/>
  <c r="S81" i="22"/>
  <c r="T81" i="22" s="1"/>
  <c r="W81" i="22"/>
  <c r="X81" i="22" s="1"/>
  <c r="Y81" i="22" s="1"/>
  <c r="W360" i="20"/>
  <c r="X360" i="20" s="1"/>
  <c r="S360" i="20"/>
  <c r="T360" i="20" s="1"/>
  <c r="S31" i="22"/>
  <c r="T31" i="22" s="1"/>
  <c r="W31" i="22"/>
  <c r="X31" i="22" s="1"/>
  <c r="Y31" i="22" s="1"/>
  <c r="W67" i="20"/>
  <c r="X67" i="20" s="1"/>
  <c r="Y67" i="20" s="1"/>
  <c r="S67" i="20"/>
  <c r="T67" i="20" s="1"/>
  <c r="S344" i="22"/>
  <c r="T344" i="22" s="1"/>
  <c r="W344" i="22"/>
  <c r="X344" i="22" s="1"/>
  <c r="S261" i="22"/>
  <c r="T261" i="22" s="1"/>
  <c r="W261" i="22"/>
  <c r="X261" i="22" s="1"/>
  <c r="W106" i="20"/>
  <c r="X106" i="20" s="1"/>
  <c r="Y106" i="20" s="1"/>
  <c r="S106" i="20"/>
  <c r="T106" i="20" s="1"/>
  <c r="S9" i="22"/>
  <c r="T9" i="22" s="1"/>
  <c r="W9" i="22"/>
  <c r="X9" i="22" s="1"/>
  <c r="Y9" i="22" s="1"/>
  <c r="S245" i="20"/>
  <c r="T245" i="20" s="1"/>
  <c r="W245" i="20"/>
  <c r="X245" i="20" s="1"/>
  <c r="S9" i="20"/>
  <c r="T9" i="20" s="1"/>
  <c r="W9" i="20"/>
  <c r="X9" i="20" s="1"/>
  <c r="Y9" i="20" s="1"/>
  <c r="W311" i="22"/>
  <c r="X311" i="22" s="1"/>
  <c r="S311" i="22"/>
  <c r="T311" i="22" s="1"/>
  <c r="S304" i="20"/>
  <c r="T304" i="20" s="1"/>
  <c r="W304" i="20"/>
  <c r="X304" i="20" s="1"/>
  <c r="W174" i="22"/>
  <c r="X174" i="22" s="1"/>
  <c r="Y174" i="22" s="1"/>
  <c r="S174" i="22"/>
  <c r="T174" i="22" s="1"/>
  <c r="W13" i="20"/>
  <c r="X13" i="20" s="1"/>
  <c r="Y13" i="20" s="1"/>
  <c r="S13" i="20"/>
  <c r="T13" i="20" s="1"/>
  <c r="S339" i="22"/>
  <c r="T339" i="22" s="1"/>
  <c r="W339" i="22"/>
  <c r="X339" i="22" s="1"/>
  <c r="S191" i="20"/>
  <c r="T191" i="20" s="1"/>
  <c r="W191" i="20"/>
  <c r="X191" i="20" s="1"/>
  <c r="Y191" i="20" s="1"/>
  <c r="S18" i="20"/>
  <c r="T18" i="20" s="1"/>
  <c r="W18" i="20"/>
  <c r="X18" i="20" s="1"/>
  <c r="Y18" i="20" s="1"/>
  <c r="S175" i="20"/>
  <c r="T175" i="20" s="1"/>
  <c r="W175" i="20"/>
  <c r="X175" i="20" s="1"/>
  <c r="Y175" i="20" s="1"/>
  <c r="S58" i="22"/>
  <c r="T58" i="22" s="1"/>
  <c r="W58" i="22"/>
  <c r="X58" i="22" s="1"/>
  <c r="Y58" i="22" s="1"/>
  <c r="W340" i="20"/>
  <c r="X340" i="20" s="1"/>
  <c r="S340" i="20"/>
  <c r="T340" i="20" s="1"/>
  <c r="S55" i="20"/>
  <c r="T55" i="20" s="1"/>
  <c r="W55" i="20"/>
  <c r="X55" i="20" s="1"/>
  <c r="Y55" i="20" s="1"/>
  <c r="V158" i="6"/>
  <c r="W158" i="6" s="1"/>
  <c r="V372" i="6"/>
  <c r="W372" i="6" s="1"/>
  <c r="Z132" i="6"/>
  <c r="Z319" i="6"/>
  <c r="Z322" i="6"/>
  <c r="W65" i="4"/>
  <c r="V165" i="6"/>
  <c r="W165" i="6" s="1"/>
  <c r="Z237" i="6"/>
  <c r="W257" i="4"/>
  <c r="Z355" i="6"/>
  <c r="Z86" i="6"/>
  <c r="Z243" i="6"/>
  <c r="Z338" i="6"/>
  <c r="Z163" i="6"/>
  <c r="Z246" i="6"/>
  <c r="Z366" i="6"/>
  <c r="W243" i="4"/>
  <c r="Z314" i="6"/>
  <c r="W7" i="4"/>
  <c r="S38" i="22"/>
  <c r="T38" i="22" s="1"/>
  <c r="W38" i="22"/>
  <c r="X38" i="22" s="1"/>
  <c r="Y38" i="22" s="1"/>
  <c r="W19" i="22"/>
  <c r="X19" i="22" s="1"/>
  <c r="Y19" i="22" s="1"/>
  <c r="S19" i="22"/>
  <c r="T19" i="22" s="1"/>
  <c r="AA122" i="6"/>
  <c r="E81" i="11"/>
  <c r="V81" i="11" s="1"/>
  <c r="AA123" i="6"/>
  <c r="E82" i="11"/>
  <c r="V82" i="11" s="1"/>
  <c r="I71" i="18"/>
  <c r="X71" i="18" s="1"/>
  <c r="S253" i="22"/>
  <c r="T253" i="22" s="1"/>
  <c r="W253" i="22"/>
  <c r="X253" i="22" s="1"/>
  <c r="W36" i="20"/>
  <c r="X36" i="20" s="1"/>
  <c r="Y36" i="20" s="1"/>
  <c r="S36" i="20"/>
  <c r="T36" i="20" s="1"/>
  <c r="S39" i="22"/>
  <c r="T39" i="22" s="1"/>
  <c r="W39" i="22"/>
  <c r="X39" i="22" s="1"/>
  <c r="Y39" i="22" s="1"/>
  <c r="W333" i="20"/>
  <c r="X333" i="20" s="1"/>
  <c r="S333" i="20"/>
  <c r="T333" i="20" s="1"/>
  <c r="W313" i="20"/>
  <c r="X313" i="20" s="1"/>
  <c r="S313" i="20"/>
  <c r="T313" i="20" s="1"/>
  <c r="S78" i="20"/>
  <c r="T78" i="20" s="1"/>
  <c r="W78" i="20"/>
  <c r="X78" i="20" s="1"/>
  <c r="Y78" i="20" s="1"/>
  <c r="S116" i="22"/>
  <c r="T116" i="22" s="1"/>
  <c r="W116" i="22"/>
  <c r="X116" i="22" s="1"/>
  <c r="Y116" i="22" s="1"/>
  <c r="S115" i="20"/>
  <c r="T115" i="20" s="1"/>
  <c r="W115" i="20"/>
  <c r="X115" i="20" s="1"/>
  <c r="Y115" i="20" s="1"/>
  <c r="S76" i="22"/>
  <c r="T76" i="22" s="1"/>
  <c r="W76" i="22"/>
  <c r="X76" i="22" s="1"/>
  <c r="Y76" i="22" s="1"/>
  <c r="S117" i="20"/>
  <c r="T117" i="20" s="1"/>
  <c r="W117" i="20"/>
  <c r="X117" i="20" s="1"/>
  <c r="Y117" i="20" s="1"/>
  <c r="W61" i="22"/>
  <c r="X61" i="22" s="1"/>
  <c r="Y61" i="22" s="1"/>
  <c r="S61" i="22"/>
  <c r="T61" i="22" s="1"/>
  <c r="S284" i="20"/>
  <c r="T284" i="20" s="1"/>
  <c r="W284" i="20"/>
  <c r="X284" i="20" s="1"/>
  <c r="S304" i="22"/>
  <c r="T304" i="22" s="1"/>
  <c r="W304" i="22"/>
  <c r="X304" i="22" s="1"/>
  <c r="S176" i="20"/>
  <c r="T176" i="20" s="1"/>
  <c r="W176" i="20"/>
  <c r="X176" i="20" s="1"/>
  <c r="Y176" i="20" s="1"/>
  <c r="S5" i="20"/>
  <c r="T5" i="20" s="1"/>
  <c r="W5" i="20"/>
  <c r="X5" i="20" s="1"/>
  <c r="Y5" i="20" s="1"/>
  <c r="S331" i="22"/>
  <c r="T331" i="22" s="1"/>
  <c r="W331" i="22"/>
  <c r="X331" i="22" s="1"/>
  <c r="W105" i="22"/>
  <c r="X105" i="22" s="1"/>
  <c r="Y105" i="22" s="1"/>
  <c r="S105" i="22"/>
  <c r="T105" i="22" s="1"/>
  <c r="S70" i="22"/>
  <c r="T70" i="22" s="1"/>
  <c r="W70" i="22"/>
  <c r="X70" i="22" s="1"/>
  <c r="Y70" i="22" s="1"/>
  <c r="W81" i="20"/>
  <c r="X81" i="20" s="1"/>
  <c r="Y81" i="20" s="1"/>
  <c r="S81" i="20"/>
  <c r="T81" i="20" s="1"/>
  <c r="S99" i="22"/>
  <c r="T99" i="22" s="1"/>
  <c r="W99" i="22"/>
  <c r="X99" i="22" s="1"/>
  <c r="Y99" i="22" s="1"/>
  <c r="S100" i="22"/>
  <c r="T100" i="22" s="1"/>
  <c r="W100" i="22"/>
  <c r="X100" i="22" s="1"/>
  <c r="Y100" i="22" s="1"/>
  <c r="S332" i="20"/>
  <c r="T332" i="20" s="1"/>
  <c r="W332" i="20"/>
  <c r="X332" i="20" s="1"/>
  <c r="S244" i="22"/>
  <c r="T244" i="22" s="1"/>
  <c r="W244" i="22"/>
  <c r="X244" i="22" s="1"/>
  <c r="S191" i="22"/>
  <c r="T191" i="22" s="1"/>
  <c r="W191" i="22"/>
  <c r="X191" i="22" s="1"/>
  <c r="Y191" i="22" s="1"/>
  <c r="S303" i="22"/>
  <c r="T303" i="22" s="1"/>
  <c r="W303" i="22"/>
  <c r="X303" i="22" s="1"/>
  <c r="S10" i="22"/>
  <c r="T10" i="22" s="1"/>
  <c r="W10" i="22"/>
  <c r="X10" i="22" s="1"/>
  <c r="Y10" i="22" s="1"/>
  <c r="S164" i="20"/>
  <c r="T164" i="20" s="1"/>
  <c r="W164" i="20"/>
  <c r="X164" i="20" s="1"/>
  <c r="Y164" i="20" s="1"/>
  <c r="S87" i="22"/>
  <c r="T87" i="22" s="1"/>
  <c r="W87" i="22"/>
  <c r="X87" i="22" s="1"/>
  <c r="Y87" i="22" s="1"/>
  <c r="S104" i="22"/>
  <c r="T104" i="22" s="1"/>
  <c r="W104" i="22"/>
  <c r="X104" i="22" s="1"/>
  <c r="Y104" i="22" s="1"/>
  <c r="S209" i="22"/>
  <c r="T209" i="22" s="1"/>
  <c r="W209" i="22"/>
  <c r="X209" i="22" s="1"/>
  <c r="Y209" i="22" s="1"/>
  <c r="S332" i="22"/>
  <c r="T332" i="22" s="1"/>
  <c r="W332" i="22"/>
  <c r="X332" i="22" s="1"/>
  <c r="S128" i="22"/>
  <c r="T128" i="22" s="1"/>
  <c r="W128" i="22"/>
  <c r="X128" i="22" s="1"/>
  <c r="Y128" i="22" s="1"/>
  <c r="W18" i="22"/>
  <c r="X18" i="22" s="1"/>
  <c r="Y18" i="22" s="1"/>
  <c r="S18" i="22"/>
  <c r="T18" i="22" s="1"/>
  <c r="S147" i="22"/>
  <c r="T147" i="22" s="1"/>
  <c r="W147" i="22"/>
  <c r="X147" i="22" s="1"/>
  <c r="Y147" i="22" s="1"/>
  <c r="AA67" i="6"/>
  <c r="K76" i="11"/>
  <c r="AB76" i="11" s="1"/>
  <c r="S41" i="20"/>
  <c r="T41" i="20" s="1"/>
  <c r="W41" i="20"/>
  <c r="X41" i="20" s="1"/>
  <c r="Y41" i="20" s="1"/>
  <c r="W61" i="20"/>
  <c r="X61" i="20" s="1"/>
  <c r="Y61" i="20" s="1"/>
  <c r="S61" i="20"/>
  <c r="T61" i="20" s="1"/>
  <c r="W44" i="20"/>
  <c r="X44" i="20" s="1"/>
  <c r="Y44" i="20" s="1"/>
  <c r="S44" i="20"/>
  <c r="T44" i="20" s="1"/>
  <c r="AA103" i="6"/>
  <c r="E62" i="11"/>
  <c r="V62" i="11" s="1"/>
  <c r="AA17" i="6"/>
  <c r="C76" i="11"/>
  <c r="T76" i="11" s="1"/>
  <c r="AA46" i="6"/>
  <c r="I80" i="11"/>
  <c r="Z80" i="11" s="1"/>
  <c r="AA73" i="6"/>
  <c r="K82" i="11"/>
  <c r="AB82" i="11" s="1"/>
  <c r="V182" i="6"/>
  <c r="W182" i="6" s="1"/>
  <c r="AA57" i="6"/>
  <c r="K66" i="11"/>
  <c r="AB66" i="11" s="1"/>
  <c r="V262" i="6"/>
  <c r="W262" i="6" s="1"/>
  <c r="W161" i="4"/>
  <c r="X161" i="4" s="1"/>
  <c r="S11" i="4"/>
  <c r="T11" i="4" s="1"/>
  <c r="AA22" i="6"/>
  <c r="C81" i="11"/>
  <c r="T81" i="11" s="1"/>
  <c r="AA120" i="6"/>
  <c r="E79" i="11"/>
  <c r="V79" i="11" s="1"/>
  <c r="AA116" i="6"/>
  <c r="E75" i="11"/>
  <c r="V75" i="11" s="1"/>
  <c r="S80" i="20"/>
  <c r="T80" i="20" s="1"/>
  <c r="W80" i="20"/>
  <c r="X80" i="20" s="1"/>
  <c r="Y80" i="20" s="1"/>
  <c r="S86" i="22"/>
  <c r="T86" i="22" s="1"/>
  <c r="W86" i="22"/>
  <c r="X86" i="22" s="1"/>
  <c r="Y86" i="22" s="1"/>
  <c r="W90" i="20"/>
  <c r="X90" i="20" s="1"/>
  <c r="Y90" i="20" s="1"/>
  <c r="S90" i="20"/>
  <c r="T90" i="20" s="1"/>
  <c r="S252" i="22"/>
  <c r="T252" i="22" s="1"/>
  <c r="W252" i="22"/>
  <c r="X252" i="22" s="1"/>
  <c r="S5" i="22"/>
  <c r="T5" i="22" s="1"/>
  <c r="W5" i="22"/>
  <c r="X5" i="22" s="1"/>
  <c r="Y5" i="22" s="1"/>
  <c r="W224" i="22"/>
  <c r="X224" i="22" s="1"/>
  <c r="S224" i="22"/>
  <c r="T224" i="22" s="1"/>
  <c r="S183" i="22"/>
  <c r="T183" i="22" s="1"/>
  <c r="W183" i="22"/>
  <c r="X183" i="22" s="1"/>
  <c r="Y183" i="22" s="1"/>
  <c r="S60" i="20"/>
  <c r="T60" i="20" s="1"/>
  <c r="W60" i="20"/>
  <c r="X60" i="20" s="1"/>
  <c r="Y60" i="20" s="1"/>
  <c r="S253" i="20"/>
  <c r="T253" i="20" s="1"/>
  <c r="W253" i="20"/>
  <c r="X253" i="20" s="1"/>
  <c r="W163" i="22"/>
  <c r="X163" i="22" s="1"/>
  <c r="Y163" i="22" s="1"/>
  <c r="S163" i="22"/>
  <c r="T163" i="22" s="1"/>
  <c r="S245" i="22"/>
  <c r="T245" i="22" s="1"/>
  <c r="W245" i="22"/>
  <c r="X245" i="22" s="1"/>
  <c r="S295" i="22"/>
  <c r="T295" i="22" s="1"/>
  <c r="W295" i="22"/>
  <c r="X295" i="22" s="1"/>
  <c r="S93" i="20"/>
  <c r="T93" i="20" s="1"/>
  <c r="W93" i="20"/>
  <c r="X93" i="20" s="1"/>
  <c r="Y93" i="20" s="1"/>
  <c r="W246" i="20"/>
  <c r="X246" i="20" s="1"/>
  <c r="S246" i="20"/>
  <c r="T246" i="20" s="1"/>
  <c r="S13" i="22"/>
  <c r="T13" i="22" s="1"/>
  <c r="W13" i="22"/>
  <c r="X13" i="22" s="1"/>
  <c r="Y13" i="22" s="1"/>
  <c r="S34" i="20"/>
  <c r="T34" i="20" s="1"/>
  <c r="W34" i="20"/>
  <c r="X34" i="20" s="1"/>
  <c r="Y34" i="20" s="1"/>
  <c r="W297" i="20"/>
  <c r="X297" i="20" s="1"/>
  <c r="S297" i="20"/>
  <c r="T297" i="20" s="1"/>
  <c r="S43" i="22"/>
  <c r="T43" i="22" s="1"/>
  <c r="W43" i="22"/>
  <c r="X43" i="22" s="1"/>
  <c r="Y43" i="22" s="1"/>
  <c r="S32" i="22"/>
  <c r="T32" i="22" s="1"/>
  <c r="W32" i="22"/>
  <c r="X32" i="22" s="1"/>
  <c r="Y32" i="22" s="1"/>
  <c r="W129" i="22"/>
  <c r="X129" i="22" s="1"/>
  <c r="Y129" i="22" s="1"/>
  <c r="S129" i="22"/>
  <c r="T129" i="22" s="1"/>
  <c r="S96" i="20"/>
  <c r="T96" i="20" s="1"/>
  <c r="W96" i="20"/>
  <c r="X96" i="20" s="1"/>
  <c r="Y96" i="20" s="1"/>
  <c r="S260" i="22"/>
  <c r="T260" i="22" s="1"/>
  <c r="W260" i="22"/>
  <c r="X260" i="22" s="1"/>
  <c r="S33" i="20"/>
  <c r="T33" i="20" s="1"/>
  <c r="W33" i="20"/>
  <c r="X33" i="20" s="1"/>
  <c r="Y33" i="20" s="1"/>
  <c r="S351" i="22"/>
  <c r="T351" i="22" s="1"/>
  <c r="W351" i="22"/>
  <c r="X351" i="22" s="1"/>
  <c r="W201" i="22"/>
  <c r="X201" i="22" s="1"/>
  <c r="Y201" i="22" s="1"/>
  <c r="S201" i="22"/>
  <c r="T201" i="22" s="1"/>
  <c r="AA31" i="6"/>
  <c r="I65" i="11"/>
  <c r="Z65" i="11" s="1"/>
  <c r="AA47" i="6"/>
  <c r="I81" i="11"/>
  <c r="Z81" i="11" s="1"/>
  <c r="AA106" i="6"/>
  <c r="E65" i="11"/>
  <c r="V65" i="11" s="1"/>
  <c r="W111" i="22"/>
  <c r="X111" i="22" s="1"/>
  <c r="Y111" i="22" s="1"/>
  <c r="S111" i="22"/>
  <c r="T111" i="22" s="1"/>
  <c r="W262" i="20"/>
  <c r="X262" i="20" s="1"/>
  <c r="S262" i="20"/>
  <c r="T262" i="20" s="1"/>
  <c r="W10" i="20"/>
  <c r="X10" i="20" s="1"/>
  <c r="Y10" i="20" s="1"/>
  <c r="S10" i="20"/>
  <c r="T10" i="20" s="1"/>
  <c r="AA109" i="6"/>
  <c r="E68" i="11"/>
  <c r="V68" i="11" s="1"/>
  <c r="S198" i="4"/>
  <c r="T198" i="4" s="1"/>
  <c r="AA38" i="6"/>
  <c r="I72" i="11"/>
  <c r="Z72" i="11" s="1"/>
  <c r="AA10" i="6"/>
  <c r="C69" i="11"/>
  <c r="T69" i="11" s="1"/>
  <c r="AA11" i="6"/>
  <c r="C70" i="11"/>
  <c r="T70" i="11" s="1"/>
  <c r="AA71" i="6"/>
  <c r="K80" i="11"/>
  <c r="AB80" i="11" s="1"/>
  <c r="AA13" i="6"/>
  <c r="C72" i="11"/>
  <c r="T72" i="11" s="1"/>
  <c r="W84" i="4"/>
  <c r="X84" i="4" s="1"/>
  <c r="AA114" i="6"/>
  <c r="E73" i="11"/>
  <c r="V73" i="11" s="1"/>
  <c r="AA121" i="6"/>
  <c r="E80" i="11"/>
  <c r="V80" i="11" s="1"/>
  <c r="E77" i="18"/>
  <c r="T77" i="18" s="1"/>
  <c r="C77" i="18"/>
  <c r="R77" i="18" s="1"/>
  <c r="I37" i="19"/>
  <c r="G36" i="11"/>
  <c r="X36" i="11" s="1"/>
  <c r="G70" i="19"/>
  <c r="G71" i="19"/>
  <c r="E70" i="18"/>
  <c r="T70" i="18" s="1"/>
  <c r="S323" i="22"/>
  <c r="T323" i="22" s="1"/>
  <c r="W323" i="22"/>
  <c r="X323" i="22" s="1"/>
  <c r="S210" i="20"/>
  <c r="T210" i="20" s="1"/>
  <c r="W210" i="20"/>
  <c r="X210" i="20" s="1"/>
  <c r="Y210" i="20" s="1"/>
  <c r="S8" i="22"/>
  <c r="T8" i="22" s="1"/>
  <c r="W8" i="22"/>
  <c r="X8" i="22" s="1"/>
  <c r="Y8" i="22" s="1"/>
  <c r="S234" i="20"/>
  <c r="T234" i="20" s="1"/>
  <c r="W234" i="20"/>
  <c r="X234" i="20" s="1"/>
  <c r="S324" i="20"/>
  <c r="T324" i="20" s="1"/>
  <c r="W324" i="20"/>
  <c r="X324" i="20" s="1"/>
  <c r="W57" i="22"/>
  <c r="X57" i="22" s="1"/>
  <c r="Y57" i="22" s="1"/>
  <c r="S57" i="22"/>
  <c r="T57" i="22" s="1"/>
  <c r="S39" i="20"/>
  <c r="T39" i="20" s="1"/>
  <c r="W39" i="20"/>
  <c r="X39" i="20" s="1"/>
  <c r="Y39" i="20" s="1"/>
  <c r="W40" i="20"/>
  <c r="X40" i="20" s="1"/>
  <c r="Y40" i="20" s="1"/>
  <c r="S40" i="20"/>
  <c r="T40" i="20" s="1"/>
  <c r="W127" i="20"/>
  <c r="X127" i="20" s="1"/>
  <c r="Y127" i="20" s="1"/>
  <c r="S127" i="20"/>
  <c r="T127" i="20" s="1"/>
  <c r="S93" i="22"/>
  <c r="T93" i="22" s="1"/>
  <c r="W93" i="22"/>
  <c r="X93" i="22" s="1"/>
  <c r="Y93" i="22" s="1"/>
  <c r="W92" i="22"/>
  <c r="X92" i="22" s="1"/>
  <c r="Y92" i="22" s="1"/>
  <c r="S92" i="22"/>
  <c r="T92" i="22" s="1"/>
  <c r="W345" i="20"/>
  <c r="X345" i="20" s="1"/>
  <c r="S345" i="20"/>
  <c r="T345" i="20" s="1"/>
  <c r="S296" i="22"/>
  <c r="T296" i="22" s="1"/>
  <c r="W296" i="22"/>
  <c r="X296" i="22" s="1"/>
  <c r="S95" i="20"/>
  <c r="T95" i="20" s="1"/>
  <c r="W95" i="20"/>
  <c r="X95" i="20" s="1"/>
  <c r="Y95" i="20" s="1"/>
  <c r="W113" i="22"/>
  <c r="X113" i="22" s="1"/>
  <c r="Y113" i="22" s="1"/>
  <c r="S113" i="22"/>
  <c r="T113" i="22" s="1"/>
  <c r="W296" i="20"/>
  <c r="X296" i="20" s="1"/>
  <c r="S296" i="20"/>
  <c r="T296" i="20" s="1"/>
  <c r="S79" i="20"/>
  <c r="T79" i="20" s="1"/>
  <c r="W79" i="20"/>
  <c r="X79" i="20" s="1"/>
  <c r="Y79" i="20" s="1"/>
  <c r="S175" i="22"/>
  <c r="T175" i="22" s="1"/>
  <c r="W175" i="22"/>
  <c r="X175" i="22" s="1"/>
  <c r="Y175" i="22" s="1"/>
  <c r="W312" i="20"/>
  <c r="X312" i="20" s="1"/>
  <c r="S312" i="20"/>
  <c r="T312" i="20" s="1"/>
  <c r="S203" i="20"/>
  <c r="T203" i="20" s="1"/>
  <c r="W203" i="20"/>
  <c r="X203" i="20" s="1"/>
  <c r="Y203" i="20" s="1"/>
  <c r="W100" i="20"/>
  <c r="X100" i="20" s="1"/>
  <c r="Y100" i="20" s="1"/>
  <c r="S100" i="20"/>
  <c r="T100" i="20" s="1"/>
  <c r="S233" i="22"/>
  <c r="T233" i="22" s="1"/>
  <c r="W233" i="22"/>
  <c r="X233" i="22" s="1"/>
  <c r="AA9" i="6"/>
  <c r="C68" i="11"/>
  <c r="T68" i="11" s="1"/>
  <c r="W107" i="20"/>
  <c r="X107" i="20" s="1"/>
  <c r="Y107" i="20" s="1"/>
  <c r="S107" i="20"/>
  <c r="T107" i="20" s="1"/>
  <c r="W69" i="20"/>
  <c r="X69" i="20" s="1"/>
  <c r="Y69" i="20" s="1"/>
  <c r="S69" i="20"/>
  <c r="T69" i="20" s="1"/>
  <c r="S47" i="22"/>
  <c r="T47" i="22" s="1"/>
  <c r="W47" i="22"/>
  <c r="X47" i="22" s="1"/>
  <c r="Y47" i="22" s="1"/>
  <c r="W71" i="20"/>
  <c r="X71" i="20" s="1"/>
  <c r="Y71" i="20" s="1"/>
  <c r="S71" i="20"/>
  <c r="T71" i="20" s="1"/>
  <c r="S21" i="22"/>
  <c r="T21" i="22" s="1"/>
  <c r="W21" i="22"/>
  <c r="X21" i="22" s="1"/>
  <c r="Y21" i="22" s="1"/>
  <c r="S189" i="4"/>
  <c r="T189" i="4" s="1"/>
  <c r="S141" i="4"/>
  <c r="T141" i="4" s="1"/>
  <c r="AA110" i="6"/>
  <c r="E69" i="11"/>
  <c r="V69" i="11" s="1"/>
  <c r="AA65" i="6"/>
  <c r="K74" i="11"/>
  <c r="AB74" i="11" s="1"/>
  <c r="AA104" i="6"/>
  <c r="E63" i="11"/>
  <c r="V63" i="11" s="1"/>
  <c r="AA66" i="6"/>
  <c r="K75" i="11"/>
  <c r="AB75" i="11" s="1"/>
  <c r="AA58" i="6"/>
  <c r="K67" i="11"/>
  <c r="AB67" i="11" s="1"/>
  <c r="V19" i="6"/>
  <c r="W19" i="6" s="1"/>
  <c r="AA4" i="6"/>
  <c r="C63" i="11"/>
  <c r="T63" i="11" s="1"/>
  <c r="AA111" i="6"/>
  <c r="E70" i="11"/>
  <c r="V70" i="11" s="1"/>
  <c r="I80" i="18"/>
  <c r="X80" i="18" s="1"/>
  <c r="G66" i="11"/>
  <c r="X66" i="11" s="1"/>
  <c r="S116" i="20"/>
  <c r="T116" i="20" s="1"/>
  <c r="W116" i="20"/>
  <c r="X116" i="20" s="1"/>
  <c r="Y116" i="20" s="1"/>
  <c r="S112" i="22"/>
  <c r="T112" i="22" s="1"/>
  <c r="W112" i="22"/>
  <c r="X112" i="22" s="1"/>
  <c r="Y112" i="22" s="1"/>
  <c r="W283" i="22"/>
  <c r="X283" i="22" s="1"/>
  <c r="S283" i="22"/>
  <c r="T283" i="22" s="1"/>
  <c r="W42" i="22"/>
  <c r="X42" i="22" s="1"/>
  <c r="Y42" i="22" s="1"/>
  <c r="S42" i="22"/>
  <c r="T42" i="22" s="1"/>
  <c r="W12" i="22"/>
  <c r="X12" i="22" s="1"/>
  <c r="Y12" i="22" s="1"/>
  <c r="S12" i="22"/>
  <c r="T12" i="22" s="1"/>
  <c r="S80" i="22"/>
  <c r="T80" i="22" s="1"/>
  <c r="W80" i="22"/>
  <c r="X80" i="22" s="1"/>
  <c r="Y80" i="22" s="1"/>
  <c r="S85" i="22"/>
  <c r="T85" i="22" s="1"/>
  <c r="W85" i="22"/>
  <c r="X85" i="22" s="1"/>
  <c r="Y85" i="22" s="1"/>
  <c r="S225" i="20"/>
  <c r="T225" i="20" s="1"/>
  <c r="W225" i="20"/>
  <c r="X225" i="20" s="1"/>
  <c r="W32" i="20"/>
  <c r="X32" i="20" s="1"/>
  <c r="Y32" i="20" s="1"/>
  <c r="S32" i="20"/>
  <c r="T32" i="20" s="1"/>
  <c r="W86" i="20"/>
  <c r="X86" i="20" s="1"/>
  <c r="Y86" i="20" s="1"/>
  <c r="S86" i="20"/>
  <c r="T86" i="20" s="1"/>
  <c r="W94" i="20"/>
  <c r="X94" i="20" s="1"/>
  <c r="Y94" i="20" s="1"/>
  <c r="S94" i="20"/>
  <c r="T94" i="20" s="1"/>
  <c r="S48" i="20"/>
  <c r="T48" i="20" s="1"/>
  <c r="W48" i="20"/>
  <c r="X48" i="20" s="1"/>
  <c r="Y48" i="20" s="1"/>
  <c r="S108" i="22"/>
  <c r="T108" i="22" s="1"/>
  <c r="W108" i="22"/>
  <c r="X108" i="22" s="1"/>
  <c r="Y108" i="22" s="1"/>
  <c r="W157" i="20"/>
  <c r="X157" i="20" s="1"/>
  <c r="Y157" i="20" s="1"/>
  <c r="S157" i="20"/>
  <c r="T157" i="20" s="1"/>
  <c r="S109" i="20"/>
  <c r="T109" i="20" s="1"/>
  <c r="W109" i="20"/>
  <c r="X109" i="20" s="1"/>
  <c r="Y109" i="20" s="1"/>
  <c r="S28" i="20"/>
  <c r="T28" i="20" s="1"/>
  <c r="W28" i="20"/>
  <c r="X28" i="20" s="1"/>
  <c r="Y28" i="20" s="1"/>
  <c r="W21" i="20"/>
  <c r="X21" i="20" s="1"/>
  <c r="Y21" i="20" s="1"/>
  <c r="S21" i="20"/>
  <c r="T21" i="20" s="1"/>
  <c r="S285" i="20"/>
  <c r="T285" i="20" s="1"/>
  <c r="W285" i="20"/>
  <c r="X285" i="20" s="1"/>
  <c r="S35" i="22"/>
  <c r="T35" i="22" s="1"/>
  <c r="W35" i="22"/>
  <c r="X35" i="22" s="1"/>
  <c r="Y35" i="22" s="1"/>
  <c r="S115" i="22"/>
  <c r="T115" i="22" s="1"/>
  <c r="W115" i="22"/>
  <c r="X115" i="22" s="1"/>
  <c r="Y115" i="22" s="1"/>
  <c r="S77" i="22"/>
  <c r="T77" i="22" s="1"/>
  <c r="W77" i="22"/>
  <c r="X77" i="22" s="1"/>
  <c r="Y77" i="22" s="1"/>
  <c r="S276" i="22"/>
  <c r="T276" i="22" s="1"/>
  <c r="W276" i="22"/>
  <c r="X276" i="22" s="1"/>
  <c r="V220" i="6"/>
  <c r="W220" i="6" s="1"/>
  <c r="AA43" i="6"/>
  <c r="I77" i="11"/>
  <c r="Z77" i="11" s="1"/>
  <c r="AA7" i="6"/>
  <c r="C66" i="11"/>
  <c r="T66" i="11" s="1"/>
  <c r="S359" i="22"/>
  <c r="T359" i="22" s="1"/>
  <c r="W359" i="22"/>
  <c r="X359" i="22" s="1"/>
  <c r="S164" i="22"/>
  <c r="T164" i="22" s="1"/>
  <c r="W164" i="22"/>
  <c r="X164" i="22" s="1"/>
  <c r="Y164" i="22" s="1"/>
  <c r="S202" i="22"/>
  <c r="T202" i="22" s="1"/>
  <c r="W202" i="22"/>
  <c r="X202" i="22" s="1"/>
  <c r="Y202" i="22" s="1"/>
  <c r="AA12" i="6"/>
  <c r="C71" i="11"/>
  <c r="T71" i="11" s="1"/>
  <c r="AA15" i="6"/>
  <c r="C74" i="11"/>
  <c r="T74" i="11" s="1"/>
  <c r="AA113" i="6"/>
  <c r="E72" i="11"/>
  <c r="V72" i="11" s="1"/>
  <c r="G78" i="18"/>
  <c r="V78" i="18" s="1"/>
  <c r="C76" i="18"/>
  <c r="R76" i="18" s="1"/>
  <c r="I80" i="19"/>
  <c r="S275" i="22"/>
  <c r="T275" i="22" s="1"/>
  <c r="W275" i="22"/>
  <c r="X275" i="22" s="1"/>
  <c r="S352" i="20"/>
  <c r="T352" i="20" s="1"/>
  <c r="W352" i="20"/>
  <c r="X352" i="20" s="1"/>
  <c r="W129" i="20"/>
  <c r="X129" i="20" s="1"/>
  <c r="Y129" i="20" s="1"/>
  <c r="S129" i="20"/>
  <c r="T129" i="20" s="1"/>
  <c r="W202" i="20"/>
  <c r="X202" i="20" s="1"/>
  <c r="Y202" i="20" s="1"/>
  <c r="S202" i="20"/>
  <c r="T202" i="20" s="1"/>
  <c r="S148" i="20"/>
  <c r="T148" i="20" s="1"/>
  <c r="W148" i="20"/>
  <c r="X148" i="20" s="1"/>
  <c r="Y148" i="20" s="1"/>
  <c r="S276" i="20"/>
  <c r="T276" i="20" s="1"/>
  <c r="W276" i="20"/>
  <c r="X276" i="20" s="1"/>
  <c r="S136" i="22"/>
  <c r="T136" i="22" s="1"/>
  <c r="W136" i="22"/>
  <c r="X136" i="22" s="1"/>
  <c r="Y136" i="22" s="1"/>
  <c r="W113" i="20"/>
  <c r="X113" i="20" s="1"/>
  <c r="Y113" i="20" s="1"/>
  <c r="S113" i="20"/>
  <c r="T113" i="20" s="1"/>
  <c r="S353" i="20"/>
  <c r="T353" i="20" s="1"/>
  <c r="W353" i="20"/>
  <c r="X353" i="20" s="1"/>
  <c r="S11" i="22"/>
  <c r="T11" i="22" s="1"/>
  <c r="W11" i="22"/>
  <c r="X11" i="22" s="1"/>
  <c r="Y11" i="22" s="1"/>
  <c r="W42" i="20"/>
  <c r="X42" i="20" s="1"/>
  <c r="Y42" i="20" s="1"/>
  <c r="S42" i="20"/>
  <c r="T42" i="20" s="1"/>
  <c r="S43" i="20"/>
  <c r="T43" i="20" s="1"/>
  <c r="W43" i="20"/>
  <c r="X43" i="20" s="1"/>
  <c r="Y43" i="20" s="1"/>
  <c r="S360" i="22"/>
  <c r="T360" i="22" s="1"/>
  <c r="W360" i="22"/>
  <c r="X360" i="22" s="1"/>
  <c r="S54" i="22"/>
  <c r="T54" i="22" s="1"/>
  <c r="W54" i="22"/>
  <c r="X54" i="22" s="1"/>
  <c r="Y54" i="22" s="1"/>
  <c r="S82" i="20"/>
  <c r="T82" i="20" s="1"/>
  <c r="W82" i="20"/>
  <c r="X82" i="20" s="1"/>
  <c r="Y82" i="20" s="1"/>
  <c r="S11" i="20"/>
  <c r="T11" i="20" s="1"/>
  <c r="W11" i="20"/>
  <c r="X11" i="20" s="1"/>
  <c r="Y11" i="20" s="1"/>
  <c r="S156" i="22"/>
  <c r="T156" i="22" s="1"/>
  <c r="W156" i="22"/>
  <c r="X156" i="22" s="1"/>
  <c r="Y156" i="22" s="1"/>
  <c r="S95" i="22"/>
  <c r="T95" i="22" s="1"/>
  <c r="W95" i="22"/>
  <c r="X95" i="22" s="1"/>
  <c r="Y95" i="22" s="1"/>
  <c r="W33" i="22"/>
  <c r="X33" i="22" s="1"/>
  <c r="Y33" i="22" s="1"/>
  <c r="S33" i="22"/>
  <c r="T33" i="22" s="1"/>
  <c r="W78" i="22"/>
  <c r="X78" i="22" s="1"/>
  <c r="Y78" i="22" s="1"/>
  <c r="S78" i="22"/>
  <c r="T78" i="22" s="1"/>
  <c r="S192" i="20"/>
  <c r="T192" i="20" s="1"/>
  <c r="W192" i="20"/>
  <c r="X192" i="20" s="1"/>
  <c r="Y192" i="20" s="1"/>
  <c r="S284" i="22"/>
  <c r="T284" i="22" s="1"/>
  <c r="W284" i="22"/>
  <c r="X284" i="22" s="1"/>
  <c r="W155" i="22"/>
  <c r="X155" i="22" s="1"/>
  <c r="Y155" i="22" s="1"/>
  <c r="S155" i="22"/>
  <c r="T155" i="22" s="1"/>
  <c r="W114" i="20"/>
  <c r="X114" i="20" s="1"/>
  <c r="Y114" i="20" s="1"/>
  <c r="S114" i="20"/>
  <c r="T114" i="20" s="1"/>
  <c r="W63" i="20"/>
  <c r="X63" i="20" s="1"/>
  <c r="Y63" i="20" s="1"/>
  <c r="S63" i="20"/>
  <c r="T63" i="20" s="1"/>
  <c r="S232" i="22"/>
  <c r="T232" i="22" s="1"/>
  <c r="W232" i="22"/>
  <c r="X232" i="22" s="1"/>
  <c r="S149" i="20"/>
  <c r="T149" i="20" s="1"/>
  <c r="W149" i="20"/>
  <c r="X149" i="20" s="1"/>
  <c r="Y149" i="20" s="1"/>
  <c r="W130" i="20"/>
  <c r="X130" i="20" s="1"/>
  <c r="Y130" i="20" s="1"/>
  <c r="S130" i="20"/>
  <c r="T130" i="20" s="1"/>
  <c r="W156" i="20"/>
  <c r="X156" i="20" s="1"/>
  <c r="Y156" i="20" s="1"/>
  <c r="S156" i="20"/>
  <c r="T156" i="20" s="1"/>
  <c r="S17" i="20"/>
  <c r="T17" i="20" s="1"/>
  <c r="W17" i="20"/>
  <c r="X17" i="20" s="1"/>
  <c r="Y17" i="20" s="1"/>
  <c r="W254" i="20"/>
  <c r="X254" i="20" s="1"/>
  <c r="S254" i="20"/>
  <c r="T254" i="20" s="1"/>
  <c r="S8" i="20"/>
  <c r="T8" i="20" s="1"/>
  <c r="W8" i="20"/>
  <c r="X8" i="20" s="1"/>
  <c r="Y8" i="20" s="1"/>
  <c r="W184" i="20"/>
  <c r="X184" i="20" s="1"/>
  <c r="Y184" i="20" s="1"/>
  <c r="S184" i="20"/>
  <c r="T184" i="20" s="1"/>
  <c r="S94" i="22"/>
  <c r="T94" i="22" s="1"/>
  <c r="W94" i="22"/>
  <c r="X94" i="22" s="1"/>
  <c r="Y94" i="22" s="1"/>
  <c r="S183" i="20"/>
  <c r="T183" i="20" s="1"/>
  <c r="W183" i="20"/>
  <c r="X183" i="20" s="1"/>
  <c r="Y183" i="20" s="1"/>
  <c r="AA45" i="6"/>
  <c r="I79" i="11"/>
  <c r="Z79" i="11" s="1"/>
  <c r="AA30" i="6"/>
  <c r="I64" i="11"/>
  <c r="Z64" i="11" s="1"/>
  <c r="AA55" i="6"/>
  <c r="K64" i="11"/>
  <c r="AB64" i="11" s="1"/>
  <c r="AA118" i="6"/>
  <c r="E77" i="11"/>
  <c r="V77" i="11" s="1"/>
  <c r="AA14" i="6"/>
  <c r="C73" i="11"/>
  <c r="T73" i="11" s="1"/>
  <c r="AA8" i="6"/>
  <c r="C67" i="11"/>
  <c r="T67" i="11" s="1"/>
  <c r="S261" i="20"/>
  <c r="T261" i="20" s="1"/>
  <c r="W261" i="20"/>
  <c r="X261" i="20" s="1"/>
  <c r="S89" i="22"/>
  <c r="T89" i="22" s="1"/>
  <c r="W89" i="22"/>
  <c r="X89" i="22" s="1"/>
  <c r="Y89" i="22" s="1"/>
  <c r="S226" i="20"/>
  <c r="T226" i="20" s="1"/>
  <c r="W226" i="20"/>
  <c r="X226" i="20" s="1"/>
  <c r="S211" i="20"/>
  <c r="T211" i="20" s="1"/>
  <c r="W211" i="20"/>
  <c r="X211" i="20" s="1"/>
  <c r="Y211" i="20" s="1"/>
  <c r="W126" i="22"/>
  <c r="X126" i="22" s="1"/>
  <c r="Y126" i="22" s="1"/>
  <c r="S126" i="22"/>
  <c r="T126" i="22" s="1"/>
  <c r="S352" i="22"/>
  <c r="T352" i="22" s="1"/>
  <c r="W352" i="22"/>
  <c r="X352" i="22" s="1"/>
  <c r="W59" i="22"/>
  <c r="X59" i="22" s="1"/>
  <c r="Y59" i="22" s="1"/>
  <c r="S59" i="22"/>
  <c r="T59" i="22" s="1"/>
  <c r="W41" i="22"/>
  <c r="X41" i="22" s="1"/>
  <c r="Y41" i="22" s="1"/>
  <c r="S41" i="22"/>
  <c r="T41" i="22" s="1"/>
  <c r="S324" i="22"/>
  <c r="T324" i="22" s="1"/>
  <c r="W324" i="22"/>
  <c r="X324" i="22" s="1"/>
  <c r="W87" i="20"/>
  <c r="X87" i="20" s="1"/>
  <c r="Y87" i="20" s="1"/>
  <c r="S87" i="20"/>
  <c r="T87" i="20" s="1"/>
  <c r="W325" i="20"/>
  <c r="X325" i="20" s="1"/>
  <c r="S325" i="20"/>
  <c r="T325" i="20" s="1"/>
  <c r="W40" i="22"/>
  <c r="X40" i="22" s="1"/>
  <c r="Y40" i="22" s="1"/>
  <c r="S40" i="22"/>
  <c r="T40" i="22" s="1"/>
  <c r="S137" i="20"/>
  <c r="T137" i="20" s="1"/>
  <c r="W137" i="20"/>
  <c r="X137" i="20" s="1"/>
  <c r="Y137" i="20" s="1"/>
  <c r="S62" i="20"/>
  <c r="T62" i="20" s="1"/>
  <c r="W62" i="20"/>
  <c r="X62" i="20" s="1"/>
  <c r="Y62" i="20" s="1"/>
  <c r="W305" i="20"/>
  <c r="X305" i="20" s="1"/>
  <c r="S305" i="20"/>
  <c r="T305" i="20" s="1"/>
  <c r="W361" i="20"/>
  <c r="X361" i="20" s="1"/>
  <c r="S361" i="20"/>
  <c r="T361" i="20" s="1"/>
  <c r="S60" i="22"/>
  <c r="T60" i="22" s="1"/>
  <c r="W60" i="22"/>
  <c r="X60" i="22" s="1"/>
  <c r="Y60" i="22" s="1"/>
  <c r="S165" i="20"/>
  <c r="T165" i="20" s="1"/>
  <c r="W165" i="20"/>
  <c r="X165" i="20" s="1"/>
  <c r="Y165" i="20" s="1"/>
  <c r="S137" i="22"/>
  <c r="T137" i="22" s="1"/>
  <c r="W137" i="22"/>
  <c r="X137" i="22" s="1"/>
  <c r="Y137" i="22" s="1"/>
  <c r="W112" i="20"/>
  <c r="X112" i="20" s="1"/>
  <c r="Y112" i="20" s="1"/>
  <c r="S112" i="20"/>
  <c r="T112" i="20" s="1"/>
  <c r="S27" i="22"/>
  <c r="T27" i="22" s="1"/>
  <c r="W27" i="22"/>
  <c r="X27" i="22" s="1"/>
  <c r="Y27" i="22" s="1"/>
  <c r="W59" i="20"/>
  <c r="X59" i="20" s="1"/>
  <c r="Y59" i="20" s="1"/>
  <c r="S59" i="20"/>
  <c r="T59" i="20" s="1"/>
  <c r="S138" i="20"/>
  <c r="T138" i="20" s="1"/>
  <c r="W138" i="20"/>
  <c r="X138" i="20" s="1"/>
  <c r="Y138" i="20" s="1"/>
  <c r="W190" i="22"/>
  <c r="X190" i="22" s="1"/>
  <c r="Y190" i="22" s="1"/>
  <c r="S190" i="22"/>
  <c r="T190" i="22" s="1"/>
  <c r="W148" i="22"/>
  <c r="X148" i="22" s="1"/>
  <c r="Y148" i="22" s="1"/>
  <c r="S148" i="22"/>
  <c r="T148" i="22" s="1"/>
  <c r="W182" i="22"/>
  <c r="X182" i="22" s="1"/>
  <c r="Y182" i="22" s="1"/>
  <c r="S182" i="22"/>
  <c r="T182" i="22" s="1"/>
  <c r="W67" i="22"/>
  <c r="X67" i="22" s="1"/>
  <c r="Y67" i="22" s="1"/>
  <c r="S67" i="22"/>
  <c r="T67" i="22" s="1"/>
  <c r="S312" i="22"/>
  <c r="T312" i="22" s="1"/>
  <c r="W312" i="22"/>
  <c r="X312" i="22" s="1"/>
  <c r="W206" i="4"/>
  <c r="X234" i="4"/>
  <c r="C38" i="19"/>
  <c r="X218" i="4"/>
  <c r="I47" i="18"/>
  <c r="X47" i="18" s="1"/>
  <c r="X270" i="4"/>
  <c r="E49" i="19"/>
  <c r="AA133" i="6"/>
  <c r="E66" i="18"/>
  <c r="T66" i="18" s="1"/>
  <c r="AA165" i="6"/>
  <c r="G74" i="11"/>
  <c r="X74" i="11" s="1"/>
  <c r="X56" i="4"/>
  <c r="K36" i="11"/>
  <c r="AB36" i="11" s="1"/>
  <c r="X38" i="4"/>
  <c r="I43" i="11"/>
  <c r="Z43" i="11" s="1"/>
  <c r="X316" i="4"/>
  <c r="I45" i="19"/>
  <c r="X116" i="4"/>
  <c r="E46" i="11"/>
  <c r="V46" i="11" s="1"/>
  <c r="X160" i="4"/>
  <c r="G40" i="11"/>
  <c r="X40" i="11" s="1"/>
  <c r="X373" i="4"/>
  <c r="M52" i="19"/>
  <c r="X314" i="4"/>
  <c r="I43" i="19"/>
  <c r="X353" i="4"/>
  <c r="M32" i="19"/>
  <c r="X219" i="4"/>
  <c r="I48" i="18"/>
  <c r="X48" i="18" s="1"/>
  <c r="X186" i="4"/>
  <c r="G40" i="18"/>
  <c r="V40" i="18" s="1"/>
  <c r="X129" i="4"/>
  <c r="E33" i="18"/>
  <c r="T33" i="18" s="1"/>
  <c r="X213" i="4"/>
  <c r="I42" i="18"/>
  <c r="X42" i="18" s="1"/>
  <c r="X240" i="4"/>
  <c r="C44" i="19"/>
  <c r="X359" i="4"/>
  <c r="M38" i="19"/>
  <c r="X87" i="4"/>
  <c r="C41" i="18"/>
  <c r="R41" i="18" s="1"/>
  <c r="X188" i="4"/>
  <c r="G42" i="18"/>
  <c r="V42" i="18" s="1"/>
  <c r="AA372" i="6"/>
  <c r="M79" i="19"/>
  <c r="X104" i="4"/>
  <c r="E34" i="11"/>
  <c r="AA293" i="6"/>
  <c r="G75" i="19"/>
  <c r="X285" i="4"/>
  <c r="G39" i="19"/>
  <c r="X242" i="4"/>
  <c r="C46" i="19"/>
  <c r="X134" i="4"/>
  <c r="E38" i="18"/>
  <c r="T38" i="18" s="1"/>
  <c r="X118" i="4"/>
  <c r="E48" i="11"/>
  <c r="V48" i="11" s="1"/>
  <c r="X83" i="4"/>
  <c r="C37" i="18"/>
  <c r="R37" i="18" s="1"/>
  <c r="X18" i="4"/>
  <c r="C48" i="11"/>
  <c r="T48" i="11" s="1"/>
  <c r="X170" i="4"/>
  <c r="G50" i="11"/>
  <c r="X50" i="11" s="1"/>
  <c r="X361" i="4"/>
  <c r="M40" i="19"/>
  <c r="X217" i="4"/>
  <c r="I46" i="18"/>
  <c r="X46" i="18" s="1"/>
  <c r="X181" i="4"/>
  <c r="G35" i="18"/>
  <c r="V35" i="18" s="1"/>
  <c r="X108" i="4"/>
  <c r="E38" i="11"/>
  <c r="V38" i="11" s="1"/>
  <c r="X369" i="4"/>
  <c r="M48" i="19"/>
  <c r="X142" i="4"/>
  <c r="E46" i="18"/>
  <c r="T46" i="18" s="1"/>
  <c r="X141" i="4"/>
  <c r="E45" i="18"/>
  <c r="T45" i="18" s="1"/>
  <c r="X131" i="4"/>
  <c r="E35" i="18"/>
  <c r="T35" i="18" s="1"/>
  <c r="AA89" i="6"/>
  <c r="C72" i="18"/>
  <c r="R72" i="18" s="1"/>
  <c r="AA181" i="6"/>
  <c r="G64" i="18"/>
  <c r="V64" i="18" s="1"/>
  <c r="AA131" i="6"/>
  <c r="E64" i="18"/>
  <c r="T64" i="18" s="1"/>
  <c r="AA98" i="6"/>
  <c r="C81" i="18"/>
  <c r="R81" i="18" s="1"/>
  <c r="AA153" i="6"/>
  <c r="G62" i="11"/>
  <c r="X62" i="11" s="1"/>
  <c r="AA198" i="6"/>
  <c r="AA83" i="6"/>
  <c r="C66" i="18"/>
  <c r="R66" i="18" s="1"/>
  <c r="AA88" i="6"/>
  <c r="C71" i="18"/>
  <c r="R71" i="18" s="1"/>
  <c r="AA97" i="6"/>
  <c r="C80" i="18"/>
  <c r="R80" i="18" s="1"/>
  <c r="AA84" i="6"/>
  <c r="C67" i="18"/>
  <c r="R67" i="18" s="1"/>
  <c r="AA80" i="6"/>
  <c r="C63" i="18"/>
  <c r="R63" i="18" s="1"/>
  <c r="AA242" i="6"/>
  <c r="C74" i="19"/>
  <c r="AA253" i="6"/>
  <c r="E60" i="19"/>
  <c r="AA269" i="6"/>
  <c r="E76" i="19"/>
  <c r="AA313" i="6"/>
  <c r="I70" i="19"/>
  <c r="AA305" i="6"/>
  <c r="I62" i="19"/>
  <c r="AA341" i="6"/>
  <c r="K73" i="19"/>
  <c r="AA340" i="6"/>
  <c r="K72" i="19"/>
  <c r="AA333" i="6"/>
  <c r="K65" i="19"/>
  <c r="AA361" i="6"/>
  <c r="M68" i="19"/>
  <c r="AA369" i="6"/>
  <c r="M76" i="19"/>
  <c r="X210" i="4"/>
  <c r="I39" i="18"/>
  <c r="X39" i="18" s="1"/>
  <c r="X115" i="4"/>
  <c r="E45" i="11"/>
  <c r="V45" i="11" s="1"/>
  <c r="X19" i="4"/>
  <c r="C49" i="11"/>
  <c r="T49" i="11" s="1"/>
  <c r="X233" i="4"/>
  <c r="C37" i="19"/>
  <c r="X53" i="4"/>
  <c r="K33" i="11"/>
  <c r="AB33" i="11" s="1"/>
  <c r="X62" i="4"/>
  <c r="K42" i="11"/>
  <c r="AB42" i="11" s="1"/>
  <c r="X39" i="4"/>
  <c r="I44" i="11"/>
  <c r="X133" i="4"/>
  <c r="E37" i="18"/>
  <c r="X146" i="4"/>
  <c r="E50" i="18"/>
  <c r="T50" i="18" s="1"/>
  <c r="X338" i="4"/>
  <c r="K42" i="19"/>
  <c r="X184" i="4"/>
  <c r="G38" i="18"/>
  <c r="V38" i="18" s="1"/>
  <c r="X105" i="4"/>
  <c r="E35" i="11"/>
  <c r="V35" i="11" s="1"/>
  <c r="X214" i="4"/>
  <c r="I43" i="18"/>
  <c r="X43" i="18" s="1"/>
  <c r="X236" i="4"/>
  <c r="C40" i="19"/>
  <c r="X269" i="4"/>
  <c r="E48" i="19"/>
  <c r="X263" i="4"/>
  <c r="E42" i="19"/>
  <c r="X296" i="4"/>
  <c r="G50" i="19"/>
  <c r="X180" i="4"/>
  <c r="G34" i="18"/>
  <c r="V34" i="18" s="1"/>
  <c r="X143" i="4"/>
  <c r="E47" i="18"/>
  <c r="T47" i="18" s="1"/>
  <c r="X271" i="4"/>
  <c r="E50" i="19"/>
  <c r="X283" i="4"/>
  <c r="G37" i="19"/>
  <c r="X358" i="4"/>
  <c r="M37" i="19"/>
  <c r="X256" i="4"/>
  <c r="E35" i="19"/>
  <c r="X330" i="4"/>
  <c r="K34" i="19"/>
  <c r="X194" i="4"/>
  <c r="G48" i="18"/>
  <c r="V48" i="18" s="1"/>
  <c r="X191" i="4"/>
  <c r="G45" i="18"/>
  <c r="V45" i="18" s="1"/>
  <c r="X89" i="4"/>
  <c r="C43" i="18"/>
  <c r="R43" i="18" s="1"/>
  <c r="Y23" i="4"/>
  <c r="C53" i="11"/>
  <c r="T53" i="11" s="1"/>
  <c r="X290" i="4"/>
  <c r="G44" i="19"/>
  <c r="X287" i="4"/>
  <c r="G41" i="19"/>
  <c r="X91" i="4"/>
  <c r="C45" i="18"/>
  <c r="R45" i="18" s="1"/>
  <c r="X165" i="4"/>
  <c r="G45" i="11"/>
  <c r="X45" i="11" s="1"/>
  <c r="X258" i="4"/>
  <c r="E37" i="19"/>
  <c r="X366" i="4"/>
  <c r="M45" i="19"/>
  <c r="X228" i="4"/>
  <c r="C32" i="19"/>
  <c r="X70" i="4"/>
  <c r="K50" i="11"/>
  <c r="AA170" i="6"/>
  <c r="G79" i="11"/>
  <c r="X79" i="11" s="1"/>
  <c r="AA162" i="6"/>
  <c r="G71" i="11"/>
  <c r="X71" i="11" s="1"/>
  <c r="X323" i="4"/>
  <c r="I52" i="19"/>
  <c r="AA166" i="6"/>
  <c r="G75" i="11"/>
  <c r="X75" i="11" s="1"/>
  <c r="X313" i="4"/>
  <c r="I42" i="19"/>
  <c r="X320" i="4"/>
  <c r="I49" i="19"/>
  <c r="X92" i="4"/>
  <c r="C46" i="18"/>
  <c r="R46" i="18" s="1"/>
  <c r="X112" i="4"/>
  <c r="E42" i="11"/>
  <c r="V42" i="11" s="1"/>
  <c r="X254" i="4"/>
  <c r="E33" i="19"/>
  <c r="AA81" i="6"/>
  <c r="C64" i="18"/>
  <c r="R64" i="18" s="1"/>
  <c r="AA90" i="6"/>
  <c r="C73" i="18"/>
  <c r="R73" i="18" s="1"/>
  <c r="X32" i="4"/>
  <c r="I37" i="11"/>
  <c r="Z37" i="11" s="1"/>
  <c r="X238" i="4"/>
  <c r="C42" i="19"/>
  <c r="X264" i="4"/>
  <c r="E43" i="19"/>
  <c r="X297" i="4"/>
  <c r="G51" i="19"/>
  <c r="X223" i="4"/>
  <c r="I52" i="18"/>
  <c r="X52" i="18" s="1"/>
  <c r="X203" i="4"/>
  <c r="I32" i="18"/>
  <c r="X32" i="18" s="1"/>
  <c r="X266" i="4"/>
  <c r="E45" i="19"/>
  <c r="X147" i="4"/>
  <c r="E51" i="18"/>
  <c r="T51" i="18" s="1"/>
  <c r="X232" i="4"/>
  <c r="C36" i="19"/>
  <c r="X260" i="4"/>
  <c r="E39" i="19"/>
  <c r="X255" i="4"/>
  <c r="E34" i="19"/>
  <c r="X46" i="4"/>
  <c r="I51" i="11"/>
  <c r="Z51" i="11" s="1"/>
  <c r="X244" i="4"/>
  <c r="C48" i="19"/>
  <c r="X241" i="4"/>
  <c r="C45" i="19"/>
  <c r="X97" i="4"/>
  <c r="C51" i="18"/>
  <c r="X293" i="4"/>
  <c r="G47" i="19"/>
  <c r="X81" i="4"/>
  <c r="C35" i="18"/>
  <c r="R35" i="18" s="1"/>
  <c r="X162" i="4"/>
  <c r="G42" i="11"/>
  <c r="X42" i="11" s="1"/>
  <c r="X154" i="4"/>
  <c r="G34" i="11"/>
  <c r="X34" i="11" s="1"/>
  <c r="AA142" i="6"/>
  <c r="E75" i="18"/>
  <c r="T75" i="18" s="1"/>
  <c r="AA95" i="6"/>
  <c r="C78" i="18"/>
  <c r="R78" i="18" s="1"/>
  <c r="AA190" i="6"/>
  <c r="G73" i="18"/>
  <c r="V73" i="18" s="1"/>
  <c r="AA92" i="6"/>
  <c r="C75" i="18"/>
  <c r="R75" i="18" s="1"/>
  <c r="AA233" i="6"/>
  <c r="C65" i="19"/>
  <c r="X59" i="4"/>
  <c r="K39" i="11"/>
  <c r="AB39" i="11" s="1"/>
  <c r="X169" i="4"/>
  <c r="G49" i="11"/>
  <c r="X49" i="11" s="1"/>
  <c r="AA220" i="6"/>
  <c r="I78" i="18"/>
  <c r="X78" i="18" s="1"/>
  <c r="AA158" i="6"/>
  <c r="G67" i="11"/>
  <c r="X67" i="11" s="1"/>
  <c r="X28" i="4"/>
  <c r="I33" i="11"/>
  <c r="Z33" i="11" s="1"/>
  <c r="X30" i="4"/>
  <c r="I35" i="11"/>
  <c r="Z35" i="11" s="1"/>
  <c r="X68" i="4"/>
  <c r="K48" i="11"/>
  <c r="AB48" i="11" s="1"/>
  <c r="X122" i="4"/>
  <c r="E52" i="11"/>
  <c r="V52" i="11" s="1"/>
  <c r="X315" i="4"/>
  <c r="I44" i="19"/>
  <c r="X362" i="4"/>
  <c r="M41" i="19"/>
  <c r="X90" i="4"/>
  <c r="C44" i="18"/>
  <c r="R44" i="18" s="1"/>
  <c r="X183" i="4"/>
  <c r="G37" i="18"/>
  <c r="V37" i="18" s="1"/>
  <c r="X292" i="4"/>
  <c r="G46" i="19"/>
  <c r="X231" i="4"/>
  <c r="C35" i="19"/>
  <c r="X119" i="4"/>
  <c r="E49" i="11"/>
  <c r="X106" i="4"/>
  <c r="E36" i="11"/>
  <c r="V36" i="11" s="1"/>
  <c r="X94" i="4"/>
  <c r="C48" i="18"/>
  <c r="R48" i="18" s="1"/>
  <c r="X230" i="4"/>
  <c r="C34" i="19"/>
  <c r="X86" i="4"/>
  <c r="C40" i="18"/>
  <c r="R40" i="18" s="1"/>
  <c r="X312" i="4"/>
  <c r="I41" i="19"/>
  <c r="X140" i="4"/>
  <c r="E44" i="18"/>
  <c r="T44" i="18" s="1"/>
  <c r="X336" i="4"/>
  <c r="K40" i="19"/>
  <c r="X195" i="4"/>
  <c r="G49" i="18"/>
  <c r="V49" i="18" s="1"/>
  <c r="X48" i="4"/>
  <c r="I53" i="11"/>
  <c r="X123" i="4"/>
  <c r="E53" i="11"/>
  <c r="V53" i="11" s="1"/>
  <c r="X171" i="4"/>
  <c r="G51" i="11"/>
  <c r="X51" i="11" s="1"/>
  <c r="X163" i="4"/>
  <c r="G43" i="11"/>
  <c r="X43" i="11" s="1"/>
  <c r="X54" i="4"/>
  <c r="K34" i="11"/>
  <c r="AB34" i="11" s="1"/>
  <c r="X273" i="4"/>
  <c r="E52" i="19"/>
  <c r="X137" i="4"/>
  <c r="E41" i="18"/>
  <c r="T41" i="18" s="1"/>
  <c r="X132" i="4"/>
  <c r="E36" i="18"/>
  <c r="T36" i="18" s="1"/>
  <c r="X197" i="4"/>
  <c r="G51" i="18"/>
  <c r="V51" i="18" s="1"/>
  <c r="X272" i="4"/>
  <c r="E51" i="19"/>
  <c r="X303" i="4"/>
  <c r="I32" i="19"/>
  <c r="X294" i="4"/>
  <c r="G48" i="19"/>
  <c r="X372" i="4"/>
  <c r="M51" i="19"/>
  <c r="X216" i="4"/>
  <c r="I45" i="18"/>
  <c r="X45" i="18" s="1"/>
  <c r="AA161" i="6"/>
  <c r="G70" i="11"/>
  <c r="X70" i="11" s="1"/>
  <c r="AA79" i="6"/>
  <c r="C62" i="18"/>
  <c r="R62" i="18" s="1"/>
  <c r="X173" i="4"/>
  <c r="G53" i="11"/>
  <c r="X53" i="11" s="1"/>
  <c r="X69" i="4"/>
  <c r="K49" i="11"/>
  <c r="AB49" i="11" s="1"/>
  <c r="X354" i="4"/>
  <c r="M33" i="19"/>
  <c r="X198" i="4"/>
  <c r="G52" i="18"/>
  <c r="V52" i="18" s="1"/>
  <c r="X190" i="4"/>
  <c r="G44" i="18"/>
  <c r="V44" i="18" s="1"/>
  <c r="X333" i="4"/>
  <c r="K37" i="19"/>
  <c r="X64" i="4"/>
  <c r="K44" i="11"/>
  <c r="AB44" i="11" s="1"/>
  <c r="X189" i="4"/>
  <c r="G43" i="18"/>
  <c r="V43" i="18" s="1"/>
  <c r="X284" i="4"/>
  <c r="G38" i="19"/>
  <c r="X253" i="4"/>
  <c r="E32" i="19"/>
  <c r="X332" i="4"/>
  <c r="K36" i="19"/>
  <c r="X209" i="4"/>
  <c r="I38" i="18"/>
  <c r="X38" i="18" s="1"/>
  <c r="X9" i="4"/>
  <c r="C39" i="11"/>
  <c r="T39" i="11" s="1"/>
  <c r="X153" i="4"/>
  <c r="G33" i="11"/>
  <c r="X33" i="11" s="1"/>
  <c r="X88" i="4"/>
  <c r="C42" i="18"/>
  <c r="R42" i="18" s="1"/>
  <c r="AA134" i="6"/>
  <c r="E67" i="18"/>
  <c r="T67" i="18" s="1"/>
  <c r="AA210" i="6"/>
  <c r="I68" i="18"/>
  <c r="X68" i="18" s="1"/>
  <c r="AA218" i="6"/>
  <c r="I76" i="18"/>
  <c r="X76" i="18" s="1"/>
  <c r="AA96" i="6"/>
  <c r="C79" i="18"/>
  <c r="R79" i="18" s="1"/>
  <c r="AA209" i="6"/>
  <c r="I67" i="18"/>
  <c r="X67" i="18" s="1"/>
  <c r="AA182" i="6"/>
  <c r="G65" i="18"/>
  <c r="V65" i="18" s="1"/>
  <c r="AA189" i="6"/>
  <c r="G72" i="18"/>
  <c r="V72" i="18" s="1"/>
  <c r="AA234" i="6"/>
  <c r="C66" i="19"/>
  <c r="AA261" i="6"/>
  <c r="E68" i="19"/>
  <c r="AA262" i="6"/>
  <c r="E69" i="19"/>
  <c r="AA292" i="6"/>
  <c r="G74" i="19"/>
  <c r="AA304" i="6"/>
  <c r="I61" i="19"/>
  <c r="AA312" i="6"/>
  <c r="I69" i="19"/>
  <c r="AA332" i="6"/>
  <c r="K64" i="19"/>
  <c r="AA360" i="6"/>
  <c r="M67" i="19"/>
  <c r="X98" i="4"/>
  <c r="C52" i="18"/>
  <c r="R52" i="18" s="1"/>
  <c r="X80" i="4"/>
  <c r="C34" i="18"/>
  <c r="R34" i="18" s="1"/>
  <c r="X63" i="4"/>
  <c r="K43" i="11"/>
  <c r="AB43" i="11" s="1"/>
  <c r="X55" i="4"/>
  <c r="K35" i="11"/>
  <c r="AB35" i="11" s="1"/>
  <c r="X31" i="4"/>
  <c r="I36" i="11"/>
  <c r="Z36" i="11" s="1"/>
  <c r="X193" i="4"/>
  <c r="G47" i="18"/>
  <c r="V47" i="18" s="1"/>
  <c r="X157" i="4"/>
  <c r="G37" i="11"/>
  <c r="X37" i="11" s="1"/>
  <c r="X222" i="4"/>
  <c r="I51" i="18"/>
  <c r="X51" i="18" s="1"/>
  <c r="X317" i="4"/>
  <c r="I46" i="19"/>
  <c r="X168" i="4"/>
  <c r="G48" i="11"/>
  <c r="X48" i="11" s="1"/>
  <c r="X95" i="4"/>
  <c r="C49" i="18"/>
  <c r="R49" i="18" s="1"/>
  <c r="X144" i="4"/>
  <c r="E48" i="18"/>
  <c r="T48" i="18" s="1"/>
  <c r="X337" i="4"/>
  <c r="K41" i="19"/>
  <c r="X235" i="4"/>
  <c r="C39" i="19"/>
  <c r="X268" i="4"/>
  <c r="E47" i="19"/>
  <c r="X207" i="4"/>
  <c r="I36" i="18"/>
  <c r="X36" i="18" s="1"/>
  <c r="X306" i="4"/>
  <c r="I35" i="19"/>
  <c r="X114" i="4"/>
  <c r="E44" i="11"/>
  <c r="V44" i="11" s="1"/>
  <c r="X135" i="4"/>
  <c r="E39" i="18"/>
  <c r="T39" i="18" s="1"/>
  <c r="X367" i="4"/>
  <c r="M46" i="19"/>
  <c r="X246" i="4"/>
  <c r="C50" i="19"/>
  <c r="X113" i="4"/>
  <c r="E43" i="11"/>
  <c r="V43" i="11" s="1"/>
  <c r="X178" i="4"/>
  <c r="G32" i="18"/>
  <c r="V32" i="18" s="1"/>
  <c r="X259" i="4"/>
  <c r="E38" i="19"/>
  <c r="X204" i="4"/>
  <c r="I33" i="18"/>
  <c r="X33" i="18" s="1"/>
  <c r="X167" i="4"/>
  <c r="G47" i="11"/>
  <c r="X47" i="11" s="1"/>
  <c r="X155" i="4"/>
  <c r="G35" i="11"/>
  <c r="X35" i="11" s="1"/>
  <c r="X329" i="4"/>
  <c r="K33" i="19"/>
  <c r="X347" i="4"/>
  <c r="K51" i="19"/>
  <c r="X357" i="4"/>
  <c r="M36" i="19"/>
  <c r="AA321" i="6"/>
  <c r="I78" i="19"/>
  <c r="AA320" i="6"/>
  <c r="I77" i="19"/>
  <c r="W304" i="4"/>
  <c r="Z117" i="6"/>
  <c r="V8" i="6"/>
  <c r="W8" i="6" s="1"/>
  <c r="Z197" i="6"/>
  <c r="V293" i="6"/>
  <c r="W293" i="6" s="1"/>
  <c r="W348" i="4"/>
  <c r="S104" i="4"/>
  <c r="T104" i="4" s="1"/>
  <c r="V166" i="6"/>
  <c r="W166" i="6" s="1"/>
  <c r="V116" i="6"/>
  <c r="W116" i="6" s="1"/>
  <c r="Z270" i="6"/>
  <c r="V21" i="6"/>
  <c r="W21" i="6" s="1"/>
  <c r="V22" i="6"/>
  <c r="W22" i="6" s="1"/>
  <c r="V120" i="6"/>
  <c r="W120" i="6" s="1"/>
  <c r="W368" i="4"/>
  <c r="V321" i="6"/>
  <c r="W321" i="6" s="1"/>
  <c r="V162" i="6"/>
  <c r="W162" i="6" s="1"/>
  <c r="V320" i="6"/>
  <c r="W320" i="6" s="1"/>
  <c r="V7" i="6"/>
  <c r="W7" i="6" s="1"/>
  <c r="AA78" i="6"/>
  <c r="V123" i="6"/>
  <c r="W123" i="6" s="1"/>
  <c r="V14" i="6"/>
  <c r="W14" i="6" s="1"/>
  <c r="V15" i="6"/>
  <c r="W15" i="6" s="1"/>
  <c r="V111" i="6"/>
  <c r="W111" i="6" s="1"/>
  <c r="V4" i="6"/>
  <c r="W4" i="6" s="1"/>
  <c r="V106" i="6"/>
  <c r="W106" i="6" s="1"/>
  <c r="S357" i="4"/>
  <c r="T357" i="4" s="1"/>
  <c r="V121" i="6"/>
  <c r="W121" i="6" s="1"/>
  <c r="V114" i="6"/>
  <c r="W114" i="6" s="1"/>
  <c r="Z20" i="6"/>
  <c r="V122" i="6"/>
  <c r="W122" i="6" s="1"/>
  <c r="S28" i="4"/>
  <c r="T28" i="4" s="1"/>
  <c r="V107" i="6"/>
  <c r="W107" i="6" s="1"/>
  <c r="V113" i="6"/>
  <c r="W113" i="6" s="1"/>
  <c r="V6" i="6"/>
  <c r="W6" i="6" s="1"/>
  <c r="S359" i="4"/>
  <c r="T359" i="4" s="1"/>
  <c r="S329" i="4"/>
  <c r="T329" i="4" s="1"/>
  <c r="W42" i="4"/>
  <c r="S167" i="4"/>
  <c r="T167" i="4" s="1"/>
  <c r="S129" i="4"/>
  <c r="T129" i="4" s="1"/>
  <c r="T323" i="4"/>
  <c r="S347" i="4"/>
  <c r="T347" i="4" s="1"/>
  <c r="S95" i="4"/>
  <c r="T95" i="4" s="1"/>
  <c r="S353" i="4"/>
  <c r="T353" i="4" s="1"/>
  <c r="S264" i="4"/>
  <c r="T264" i="4" s="1"/>
  <c r="S367" i="4"/>
  <c r="T367" i="4" s="1"/>
  <c r="W328" i="4"/>
  <c r="S271" i="4"/>
  <c r="T271" i="4" s="1"/>
  <c r="W343" i="4"/>
  <c r="S87" i="4"/>
  <c r="T87" i="4" s="1"/>
  <c r="S256" i="4"/>
  <c r="T256" i="4" s="1"/>
  <c r="W208" i="4"/>
  <c r="S317" i="4"/>
  <c r="T317" i="4" s="1"/>
  <c r="S372" i="4"/>
  <c r="T372" i="4" s="1"/>
  <c r="S259" i="4"/>
  <c r="T259" i="4" s="1"/>
  <c r="W172" i="4"/>
  <c r="S53" i="4"/>
  <c r="T53" i="4" s="1"/>
  <c r="W60" i="4"/>
  <c r="S63" i="4"/>
  <c r="T63" i="4" s="1"/>
  <c r="S228" i="4"/>
  <c r="T228" i="4" s="1"/>
  <c r="W111" i="4"/>
  <c r="S303" i="4"/>
  <c r="T303" i="4" s="1"/>
  <c r="S91" i="4"/>
  <c r="T91" i="4" s="1"/>
  <c r="S168" i="4"/>
  <c r="T168" i="4" s="1"/>
  <c r="W307" i="4"/>
  <c r="S336" i="4"/>
  <c r="T336" i="4" s="1"/>
  <c r="S89" i="4"/>
  <c r="T89" i="4" s="1"/>
  <c r="S193" i="4"/>
  <c r="T193" i="4" s="1"/>
  <c r="S330" i="4"/>
  <c r="T330" i="4" s="1"/>
  <c r="S260" i="4"/>
  <c r="T260" i="4" s="1"/>
  <c r="S266" i="4"/>
  <c r="T266" i="4" s="1"/>
  <c r="S155" i="4"/>
  <c r="T155" i="4" s="1"/>
  <c r="W364" i="4"/>
  <c r="S287" i="4"/>
  <c r="T287" i="4" s="1"/>
  <c r="S255" i="4"/>
  <c r="T255" i="4" s="1"/>
  <c r="S358" i="4"/>
  <c r="T358" i="4" s="1"/>
  <c r="S90" i="4"/>
  <c r="T90" i="4" s="1"/>
  <c r="W192" i="4"/>
  <c r="S146" i="4"/>
  <c r="T146" i="4" s="1"/>
  <c r="W360" i="4"/>
  <c r="S56" i="4"/>
  <c r="T56" i="4" s="1"/>
  <c r="S173" i="4"/>
  <c r="T173" i="4" s="1"/>
  <c r="W322" i="4"/>
  <c r="W179" i="4"/>
  <c r="S222" i="4"/>
  <c r="T222" i="4" s="1"/>
  <c r="S366" i="4"/>
  <c r="T366" i="4" s="1"/>
  <c r="W93" i="4"/>
  <c r="S163" i="4"/>
  <c r="T163" i="4" s="1"/>
  <c r="S294" i="4"/>
  <c r="T294" i="4" s="1"/>
  <c r="S268" i="4"/>
  <c r="T268" i="4" s="1"/>
  <c r="W291" i="4"/>
  <c r="S354" i="4"/>
  <c r="T354" i="4" s="1"/>
  <c r="S314" i="4"/>
  <c r="T314" i="4" s="1"/>
  <c r="S236" i="4"/>
  <c r="T236" i="4" s="1"/>
  <c r="S258" i="4"/>
  <c r="T258" i="4" s="1"/>
  <c r="S362" i="4"/>
  <c r="T362" i="4" s="1"/>
  <c r="S263" i="4"/>
  <c r="T263" i="4" s="1"/>
  <c r="S140" i="4"/>
  <c r="T140" i="4" s="1"/>
  <c r="S338" i="4"/>
  <c r="T338" i="4" s="1"/>
  <c r="S94" i="4"/>
  <c r="T94" i="4" s="1"/>
  <c r="S297" i="4"/>
  <c r="T297" i="4" s="1"/>
  <c r="W365" i="4"/>
  <c r="S203" i="4"/>
  <c r="T203" i="4" s="1"/>
  <c r="S232" i="4"/>
  <c r="T232" i="4" s="1"/>
  <c r="S283" i="4"/>
  <c r="T283" i="4" s="1"/>
  <c r="S197" i="4"/>
  <c r="T197" i="4" s="1"/>
  <c r="S186" i="4"/>
  <c r="T186" i="4" s="1"/>
  <c r="W248" i="4"/>
  <c r="S214" i="4"/>
  <c r="T214" i="4" s="1"/>
  <c r="S269" i="4"/>
  <c r="T269" i="4" s="1"/>
  <c r="S171" i="4"/>
  <c r="T171" i="4" s="1"/>
  <c r="S133" i="4"/>
  <c r="T133" i="4" s="1"/>
  <c r="W261" i="4"/>
  <c r="S105" i="4"/>
  <c r="T105" i="4" s="1"/>
  <c r="S273" i="4"/>
  <c r="T273" i="4" s="1"/>
  <c r="S144" i="4"/>
  <c r="T144" i="4" s="1"/>
  <c r="S238" i="4"/>
  <c r="T238" i="4" s="1"/>
  <c r="S38" i="4"/>
  <c r="T38" i="4" s="1"/>
  <c r="W29" i="4"/>
  <c r="S147" i="4"/>
  <c r="T147" i="4" s="1"/>
  <c r="W211" i="4"/>
  <c r="W44" i="4"/>
  <c r="W85" i="4"/>
  <c r="S137" i="4"/>
  <c r="T137" i="4" s="1"/>
  <c r="S69" i="4"/>
  <c r="T69" i="4" s="1"/>
  <c r="S191" i="4"/>
  <c r="T191" i="4" s="1"/>
  <c r="S207" i="4"/>
  <c r="T207" i="4" s="1"/>
  <c r="S178" i="4"/>
  <c r="T178" i="4" s="1"/>
  <c r="W159" i="4"/>
  <c r="S223" i="4"/>
  <c r="T223" i="4" s="1"/>
  <c r="S135" i="4"/>
  <c r="T135" i="4" s="1"/>
  <c r="S165" i="4"/>
  <c r="T165" i="4" s="1"/>
  <c r="S194" i="4"/>
  <c r="T194" i="4" s="1"/>
  <c r="S86" i="4"/>
  <c r="T86" i="4" s="1"/>
  <c r="S180" i="4"/>
  <c r="T180" i="4" s="1"/>
  <c r="S106" i="4"/>
  <c r="T106" i="4" s="1"/>
  <c r="S216" i="4"/>
  <c r="T216" i="4" s="1"/>
  <c r="S32" i="4"/>
  <c r="T32" i="4" s="1"/>
  <c r="S188" i="4"/>
  <c r="T188" i="4" s="1"/>
  <c r="S213" i="4"/>
  <c r="T213" i="4" s="1"/>
  <c r="W61" i="4"/>
  <c r="S23" i="4"/>
  <c r="T23" i="4" s="1"/>
  <c r="S204" i="4"/>
  <c r="T204" i="4" s="1"/>
  <c r="W212" i="4"/>
  <c r="S46" i="4"/>
  <c r="T46" i="4" s="1"/>
  <c r="S316" i="4"/>
  <c r="T316" i="4" s="1"/>
  <c r="S230" i="4"/>
  <c r="T230" i="4" s="1"/>
  <c r="W278" i="4"/>
  <c r="W245" i="4"/>
  <c r="W295" i="4"/>
  <c r="W205" i="4"/>
  <c r="S160" i="4"/>
  <c r="T160" i="4" s="1"/>
  <c r="W128" i="4"/>
  <c r="S290" i="4"/>
  <c r="T290" i="4" s="1"/>
  <c r="W335" i="4"/>
  <c r="S235" i="4"/>
  <c r="T235" i="4" s="1"/>
  <c r="W345" i="4"/>
  <c r="S122" i="4"/>
  <c r="T122" i="4" s="1"/>
  <c r="W229" i="4"/>
  <c r="S183" i="4"/>
  <c r="T183" i="4" s="1"/>
  <c r="W136" i="4"/>
  <c r="S195" i="4"/>
  <c r="T195" i="4" s="1"/>
  <c r="W121" i="4"/>
  <c r="W139" i="4"/>
  <c r="W346" i="4"/>
  <c r="W145" i="4"/>
  <c r="S48" i="4"/>
  <c r="T48" i="4" s="1"/>
  <c r="W36" i="4"/>
  <c r="S54" i="4"/>
  <c r="T54" i="4" s="1"/>
  <c r="S184" i="4"/>
  <c r="T184" i="4" s="1"/>
  <c r="S240" i="4"/>
  <c r="T240" i="4" s="1"/>
  <c r="W67" i="4"/>
  <c r="S113" i="4"/>
  <c r="T113" i="4" s="1"/>
  <c r="W298" i="4"/>
  <c r="S272" i="4"/>
  <c r="T272" i="4" s="1"/>
  <c r="S306" i="4"/>
  <c r="T306" i="4" s="1"/>
  <c r="S246" i="4"/>
  <c r="T246" i="4" s="1"/>
  <c r="S296" i="4"/>
  <c r="T296" i="4" s="1"/>
  <c r="W66" i="4"/>
  <c r="S119" i="4"/>
  <c r="T119" i="4" s="1"/>
  <c r="S123" i="4"/>
  <c r="T123" i="4" s="1"/>
  <c r="W47" i="4"/>
  <c r="W72" i="4"/>
  <c r="S132" i="4"/>
  <c r="T132" i="4" s="1"/>
  <c r="S373" i="4"/>
  <c r="T373" i="4" s="1"/>
  <c r="S71" i="4"/>
  <c r="T71" i="4" s="1"/>
  <c r="W71" i="4"/>
  <c r="S315" i="4"/>
  <c r="T315" i="4" s="1"/>
  <c r="S337" i="4"/>
  <c r="T337" i="4" s="1"/>
  <c r="W237" i="4"/>
  <c r="S157" i="4"/>
  <c r="T157" i="4" s="1"/>
  <c r="W221" i="4"/>
  <c r="W282" i="4"/>
  <c r="S143" i="4"/>
  <c r="T143" i="4" s="1"/>
  <c r="S219" i="4"/>
  <c r="T219" i="4" s="1"/>
  <c r="W339" i="4"/>
  <c r="W164" i="4"/>
  <c r="W356" i="4"/>
  <c r="W331" i="4"/>
  <c r="S114" i="4"/>
  <c r="T114" i="4" s="1"/>
  <c r="W45" i="4"/>
  <c r="W103" i="4"/>
  <c r="X148" i="4"/>
  <c r="S231" i="4"/>
  <c r="T231" i="4" s="1"/>
  <c r="W73" i="4"/>
  <c r="W57" i="4"/>
  <c r="W37" i="4"/>
  <c r="S30" i="4"/>
  <c r="T30" i="4" s="1"/>
  <c r="W58" i="4"/>
  <c r="S31" i="4"/>
  <c r="T31" i="4" s="1"/>
  <c r="W35" i="4"/>
  <c r="S55" i="4"/>
  <c r="T55" i="4" s="1"/>
  <c r="S62" i="4"/>
  <c r="T62" i="4" s="1"/>
  <c r="W33" i="4"/>
  <c r="S59" i="4"/>
  <c r="T59" i="4" s="1"/>
  <c r="S70" i="4"/>
  <c r="T70" i="4" s="1"/>
  <c r="W40" i="4"/>
  <c r="S39" i="4"/>
  <c r="T39" i="4" s="1"/>
  <c r="W41" i="4"/>
  <c r="S68" i="4"/>
  <c r="T68" i="4" s="1"/>
  <c r="W43" i="4"/>
  <c r="Z41" i="6"/>
  <c r="V41" i="6"/>
  <c r="W41" i="6" s="1"/>
  <c r="Z44" i="6"/>
  <c r="V44" i="6"/>
  <c r="W44" i="6" s="1"/>
  <c r="Z28" i="6"/>
  <c r="V28" i="6"/>
  <c r="W28" i="6" s="1"/>
  <c r="Z34" i="6"/>
  <c r="V34" i="6"/>
  <c r="W34" i="6" s="1"/>
  <c r="Z54" i="6"/>
  <c r="V54" i="6"/>
  <c r="W54" i="6" s="1"/>
  <c r="Z72" i="6"/>
  <c r="V72" i="6"/>
  <c r="W72" i="6" s="1"/>
  <c r="Z62" i="6"/>
  <c r="V62" i="6"/>
  <c r="W62" i="6" s="1"/>
  <c r="Z63" i="6"/>
  <c r="V63" i="6"/>
  <c r="W63" i="6" s="1"/>
  <c r="Z68" i="6"/>
  <c r="V68" i="6"/>
  <c r="W68" i="6" s="1"/>
  <c r="Z40" i="6"/>
  <c r="V40" i="6"/>
  <c r="W40" i="6" s="1"/>
  <c r="Z42" i="6"/>
  <c r="V42" i="6"/>
  <c r="W42" i="6" s="1"/>
  <c r="Z36" i="6"/>
  <c r="V36" i="6"/>
  <c r="W36" i="6" s="1"/>
  <c r="Z39" i="6"/>
  <c r="V39" i="6"/>
  <c r="W39" i="6" s="1"/>
  <c r="Z64" i="6"/>
  <c r="V64" i="6"/>
  <c r="W64" i="6" s="1"/>
  <c r="Z53" i="6"/>
  <c r="V53" i="6"/>
  <c r="W53" i="6" s="1"/>
  <c r="Z48" i="6"/>
  <c r="V48" i="6"/>
  <c r="W48" i="6" s="1"/>
  <c r="Z69" i="6"/>
  <c r="V69" i="6"/>
  <c r="W69" i="6" s="1"/>
  <c r="Z33" i="6"/>
  <c r="V33" i="6"/>
  <c r="W33" i="6" s="1"/>
  <c r="Z56" i="6"/>
  <c r="V56" i="6"/>
  <c r="W56" i="6" s="1"/>
  <c r="Z60" i="6"/>
  <c r="V60" i="6"/>
  <c r="W60" i="6" s="1"/>
  <c r="Z59" i="6"/>
  <c r="V59" i="6"/>
  <c r="W59" i="6" s="1"/>
  <c r="Z32" i="6"/>
  <c r="V32" i="6"/>
  <c r="W32" i="6" s="1"/>
  <c r="Z70" i="6"/>
  <c r="V70" i="6"/>
  <c r="W70" i="6" s="1"/>
  <c r="Z61" i="6"/>
  <c r="V61" i="6"/>
  <c r="W61" i="6" s="1"/>
  <c r="T117" i="4"/>
  <c r="T43" i="4"/>
  <c r="T284" i="4"/>
  <c r="W34" i="4"/>
  <c r="S34" i="4"/>
  <c r="T234" i="4"/>
  <c r="T154" i="4"/>
  <c r="T72" i="4"/>
  <c r="T131" i="4"/>
  <c r="T181" i="4"/>
  <c r="T61" i="4"/>
  <c r="T41" i="4"/>
  <c r="T40" i="4"/>
  <c r="T42" i="4"/>
  <c r="T321" i="4"/>
  <c r="T142" i="4"/>
  <c r="T33" i="4"/>
  <c r="T304" i="4"/>
  <c r="T333" i="4"/>
  <c r="T96" i="4"/>
  <c r="T36" i="4"/>
  <c r="T332" i="4"/>
  <c r="T44" i="4"/>
  <c r="T9" i="4"/>
  <c r="T60" i="4"/>
  <c r="T120" i="4"/>
  <c r="AA254" i="6" l="1"/>
  <c r="AC46" i="11"/>
  <c r="AC64" i="11"/>
  <c r="T51" i="11"/>
  <c r="Z53" i="11"/>
  <c r="AC53" i="11"/>
  <c r="AC82" i="11"/>
  <c r="T80" i="11"/>
  <c r="AC80" i="11"/>
  <c r="V49" i="11"/>
  <c r="AC49" i="11"/>
  <c r="V34" i="11"/>
  <c r="AC34" i="11"/>
  <c r="Z44" i="11"/>
  <c r="AC44" i="11"/>
  <c r="AB50" i="11"/>
  <c r="AC50" i="11"/>
  <c r="AC66" i="11"/>
  <c r="R51" i="18"/>
  <c r="T37" i="18"/>
  <c r="G75" i="18"/>
  <c r="V75" i="18" s="1"/>
  <c r="G66" i="19"/>
  <c r="O66" i="19" s="1"/>
  <c r="P66" i="19" s="1"/>
  <c r="Q66" i="19" s="1"/>
  <c r="C65" i="18"/>
  <c r="R65" i="18" s="1"/>
  <c r="AA339" i="6"/>
  <c r="AB339" i="6" s="1"/>
  <c r="C76" i="19"/>
  <c r="G63" i="18"/>
  <c r="V63" i="18" s="1"/>
  <c r="C73" i="19"/>
  <c r="AA87" i="6"/>
  <c r="AB87" i="6" s="1"/>
  <c r="E75" i="19"/>
  <c r="G79" i="18"/>
  <c r="V79" i="18" s="1"/>
  <c r="C36" i="18"/>
  <c r="R36" i="18" s="1"/>
  <c r="G65" i="11"/>
  <c r="X65" i="11" s="1"/>
  <c r="AA281" i="6"/>
  <c r="AC281" i="6" s="1"/>
  <c r="I79" i="18"/>
  <c r="X79" i="18" s="1"/>
  <c r="E80" i="19"/>
  <c r="X6" i="4"/>
  <c r="Y6" i="4" s="1"/>
  <c r="E39" i="11"/>
  <c r="V39" i="11" s="1"/>
  <c r="G63" i="11"/>
  <c r="X63" i="11" s="1"/>
  <c r="E74" i="18"/>
  <c r="T74" i="18" s="1"/>
  <c r="G78" i="11"/>
  <c r="X78" i="11" s="1"/>
  <c r="M64" i="19"/>
  <c r="O64" i="19" s="1"/>
  <c r="P64" i="19" s="1"/>
  <c r="Q64" i="19" s="1"/>
  <c r="AA217" i="6"/>
  <c r="AB217" i="6" s="1"/>
  <c r="M74" i="19"/>
  <c r="O74" i="19" s="1"/>
  <c r="P74" i="19" s="1"/>
  <c r="Q74" i="19" s="1"/>
  <c r="M75" i="19"/>
  <c r="O34" i="19"/>
  <c r="P34" i="19" s="1"/>
  <c r="Q34" i="19" s="1"/>
  <c r="K80" i="19"/>
  <c r="AB310" i="6"/>
  <c r="AC310" i="6"/>
  <c r="AB241" i="6"/>
  <c r="AC241" i="6"/>
  <c r="Y244" i="4"/>
  <c r="Z244" i="4"/>
  <c r="Y330" i="4"/>
  <c r="Z330" i="4"/>
  <c r="Y360" i="22"/>
  <c r="Z360" i="22"/>
  <c r="AB230" i="6"/>
  <c r="AC230" i="6"/>
  <c r="AB329" i="6"/>
  <c r="AC329" i="6"/>
  <c r="AB364" i="6"/>
  <c r="AC364" i="6"/>
  <c r="AB263" i="6"/>
  <c r="AC263" i="6"/>
  <c r="Y268" i="4"/>
  <c r="Z268" i="4"/>
  <c r="AB368" i="6"/>
  <c r="AC368" i="6"/>
  <c r="AB312" i="6"/>
  <c r="AC312" i="6"/>
  <c r="AB262" i="6"/>
  <c r="AC262" i="6"/>
  <c r="AB268" i="6"/>
  <c r="AC268" i="6"/>
  <c r="Y294" i="4"/>
  <c r="Z294" i="4"/>
  <c r="Y293" i="4"/>
  <c r="Z293" i="4"/>
  <c r="Y297" i="4"/>
  <c r="Z297" i="4"/>
  <c r="Y323" i="4"/>
  <c r="Z323" i="4"/>
  <c r="Y228" i="4"/>
  <c r="Z228" i="4"/>
  <c r="Y256" i="4"/>
  <c r="Z256" i="4"/>
  <c r="Y269" i="4"/>
  <c r="Z269" i="4"/>
  <c r="AA264" i="6"/>
  <c r="Y242" i="4"/>
  <c r="Z242" i="4"/>
  <c r="AB372" i="6"/>
  <c r="AC372" i="6"/>
  <c r="Y240" i="4"/>
  <c r="Z240" i="4"/>
  <c r="Y270" i="4"/>
  <c r="Z270" i="4"/>
  <c r="Y226" i="20"/>
  <c r="Z226" i="20"/>
  <c r="Y225" i="20"/>
  <c r="Z225" i="20"/>
  <c r="Y253" i="20"/>
  <c r="Z253" i="20"/>
  <c r="Y303" i="22"/>
  <c r="Z303" i="22"/>
  <c r="Y304" i="22"/>
  <c r="Z304" i="22"/>
  <c r="Y253" i="22"/>
  <c r="Z253" i="22"/>
  <c r="Y304" i="20"/>
  <c r="Z304" i="20"/>
  <c r="Y225" i="22"/>
  <c r="Z225" i="22"/>
  <c r="AB247" i="6"/>
  <c r="AC247" i="6"/>
  <c r="AB240" i="6"/>
  <c r="AC240" i="6"/>
  <c r="AB245" i="6"/>
  <c r="AC245" i="6"/>
  <c r="Y288" i="4"/>
  <c r="Z288" i="4"/>
  <c r="AB346" i="6"/>
  <c r="AC346" i="6"/>
  <c r="Y239" i="4"/>
  <c r="Z239" i="4"/>
  <c r="Y281" i="4"/>
  <c r="Z281" i="4"/>
  <c r="Y329" i="4"/>
  <c r="Z329" i="4"/>
  <c r="Y312" i="4"/>
  <c r="Z312" i="4"/>
  <c r="Y271" i="4"/>
  <c r="Z271" i="4"/>
  <c r="Y312" i="22"/>
  <c r="Z312" i="22"/>
  <c r="Y353" i="20"/>
  <c r="Z353" i="20"/>
  <c r="Y344" i="22"/>
  <c r="Z344" i="22"/>
  <c r="AB320" i="6"/>
  <c r="AC320" i="6"/>
  <c r="I67" i="19"/>
  <c r="AB361" i="6"/>
  <c r="AC361" i="6"/>
  <c r="AB305" i="6"/>
  <c r="AC305" i="6"/>
  <c r="AB253" i="6"/>
  <c r="AC253" i="6"/>
  <c r="Y305" i="20"/>
  <c r="Z305" i="20"/>
  <c r="Y325" i="20"/>
  <c r="Z325" i="20"/>
  <c r="Y324" i="20"/>
  <c r="Z324" i="20"/>
  <c r="Y297" i="20"/>
  <c r="Z297" i="20"/>
  <c r="Y313" i="20"/>
  <c r="Z313" i="20"/>
  <c r="Y340" i="20"/>
  <c r="Z340" i="20"/>
  <c r="AB337" i="6"/>
  <c r="AC337" i="6"/>
  <c r="AB282" i="6"/>
  <c r="AC282" i="6"/>
  <c r="AB272" i="6"/>
  <c r="AC272" i="6"/>
  <c r="AB291" i="6"/>
  <c r="AC291" i="6"/>
  <c r="AB296" i="6"/>
  <c r="AC296" i="6"/>
  <c r="AB294" i="6"/>
  <c r="AC294" i="6"/>
  <c r="AB354" i="6"/>
  <c r="AC354" i="6"/>
  <c r="AB297" i="6"/>
  <c r="AC297" i="6"/>
  <c r="AB336" i="6"/>
  <c r="AC336" i="6"/>
  <c r="AB231" i="6"/>
  <c r="AC231" i="6"/>
  <c r="AB315" i="6"/>
  <c r="AC315" i="6"/>
  <c r="AB373" i="6"/>
  <c r="AC373" i="6"/>
  <c r="AB335" i="6"/>
  <c r="AC335" i="6"/>
  <c r="Y321" i="4"/>
  <c r="Z321" i="4"/>
  <c r="Y370" i="4"/>
  <c r="Z370" i="4"/>
  <c r="AB258" i="6"/>
  <c r="AC258" i="6"/>
  <c r="AB292" i="6"/>
  <c r="AC292" i="6"/>
  <c r="Y284" i="4"/>
  <c r="Z284" i="4"/>
  <c r="AB233" i="6"/>
  <c r="AC233" i="6"/>
  <c r="Y260" i="22"/>
  <c r="Z260" i="22"/>
  <c r="Y357" i="4"/>
  <c r="Z357" i="4"/>
  <c r="Y235" i="4"/>
  <c r="Z235" i="4"/>
  <c r="AB304" i="6"/>
  <c r="AC304" i="6"/>
  <c r="AB261" i="6"/>
  <c r="AC261" i="6"/>
  <c r="Y332" i="4"/>
  <c r="Z332" i="4"/>
  <c r="Y354" i="4"/>
  <c r="Z354" i="4"/>
  <c r="Y303" i="4"/>
  <c r="Z303" i="4"/>
  <c r="Y336" i="4"/>
  <c r="Z336" i="4"/>
  <c r="Y230" i="4"/>
  <c r="Z230" i="4"/>
  <c r="Y231" i="4"/>
  <c r="Z231" i="4"/>
  <c r="Y362" i="4"/>
  <c r="Z362" i="4"/>
  <c r="AB367" i="6"/>
  <c r="AC367" i="6"/>
  <c r="Y255" i="4"/>
  <c r="Z255" i="4"/>
  <c r="Y266" i="4"/>
  <c r="Z266" i="4"/>
  <c r="Y264" i="4"/>
  <c r="Z264" i="4"/>
  <c r="Y320" i="4"/>
  <c r="Z320" i="4"/>
  <c r="Y366" i="4"/>
  <c r="Z366" i="4"/>
  <c r="Y287" i="4"/>
  <c r="Z287" i="4"/>
  <c r="Y358" i="4"/>
  <c r="Z358" i="4"/>
  <c r="Y236" i="4"/>
  <c r="Z236" i="4"/>
  <c r="Y338" i="4"/>
  <c r="Z338" i="4"/>
  <c r="Y285" i="4"/>
  <c r="Z285" i="4"/>
  <c r="Y353" i="4"/>
  <c r="Z353" i="4"/>
  <c r="Y352" i="22"/>
  <c r="Z352" i="22"/>
  <c r="Y351" i="22"/>
  <c r="Z351" i="22"/>
  <c r="Y252" i="22"/>
  <c r="Z252" i="22"/>
  <c r="Y331" i="22"/>
  <c r="Z331" i="22"/>
  <c r="Y284" i="20"/>
  <c r="Z284" i="20"/>
  <c r="Y339" i="22"/>
  <c r="Z339" i="22"/>
  <c r="Y233" i="20"/>
  <c r="Z233" i="20"/>
  <c r="O61" i="19"/>
  <c r="P61" i="19" s="1"/>
  <c r="Q61" i="19" s="1"/>
  <c r="AB309" i="6"/>
  <c r="AC309" i="6"/>
  <c r="AB236" i="6"/>
  <c r="AC236" i="6"/>
  <c r="AB303" i="6"/>
  <c r="AC303" i="6"/>
  <c r="AB370" i="6"/>
  <c r="AC370" i="6"/>
  <c r="AB285" i="6"/>
  <c r="AC285" i="6"/>
  <c r="Y259" i="4"/>
  <c r="Z259" i="4"/>
  <c r="Y372" i="4"/>
  <c r="Z372" i="4"/>
  <c r="Y263" i="4"/>
  <c r="Z263" i="4"/>
  <c r="Y359" i="4"/>
  <c r="Z359" i="4"/>
  <c r="Y275" i="22"/>
  <c r="Z275" i="22"/>
  <c r="AB356" i="6"/>
  <c r="AC356" i="6"/>
  <c r="Y344" i="4"/>
  <c r="Z344" i="4"/>
  <c r="AB360" i="6"/>
  <c r="AC360" i="6"/>
  <c r="AB273" i="6"/>
  <c r="AC273" i="6"/>
  <c r="AB321" i="6"/>
  <c r="AC321" i="6"/>
  <c r="O37" i="19"/>
  <c r="P37" i="19" s="1"/>
  <c r="Q37" i="19" s="1"/>
  <c r="AB333" i="6"/>
  <c r="AC333" i="6"/>
  <c r="AB313" i="6"/>
  <c r="AC313" i="6"/>
  <c r="AB242" i="6"/>
  <c r="AC242" i="6"/>
  <c r="Y254" i="20"/>
  <c r="Z254" i="20"/>
  <c r="Y283" i="22"/>
  <c r="Z283" i="22"/>
  <c r="Y234" i="20"/>
  <c r="Z234" i="20"/>
  <c r="Y333" i="20"/>
  <c r="Z333" i="20"/>
  <c r="Y311" i="22"/>
  <c r="Z311" i="22"/>
  <c r="Y355" i="4"/>
  <c r="Z355" i="4"/>
  <c r="AB359" i="6"/>
  <c r="AC359" i="6"/>
  <c r="AB255" i="6"/>
  <c r="AC255" i="6"/>
  <c r="AB317" i="6"/>
  <c r="AC317" i="6"/>
  <c r="AB328" i="6"/>
  <c r="AC328" i="6"/>
  <c r="AB256" i="6"/>
  <c r="AC256" i="6"/>
  <c r="AB358" i="6"/>
  <c r="AC358" i="6"/>
  <c r="AB235" i="6"/>
  <c r="AC235" i="6"/>
  <c r="AB344" i="6"/>
  <c r="AC344" i="6"/>
  <c r="AB279" i="6"/>
  <c r="AC279" i="6"/>
  <c r="AB316" i="6"/>
  <c r="AC316" i="6"/>
  <c r="AB345" i="6"/>
  <c r="AC345" i="6"/>
  <c r="AB259" i="6"/>
  <c r="AC259" i="6"/>
  <c r="Y334" i="4"/>
  <c r="Z334" i="4"/>
  <c r="AB307" i="6"/>
  <c r="AC307" i="6"/>
  <c r="AB353" i="6"/>
  <c r="AC353" i="6"/>
  <c r="Y337" i="4"/>
  <c r="Z337" i="4"/>
  <c r="AB348" i="6"/>
  <c r="AC348" i="6"/>
  <c r="Y253" i="4"/>
  <c r="Z253" i="4"/>
  <c r="Y273" i="4"/>
  <c r="Z273" i="4"/>
  <c r="Y315" i="4"/>
  <c r="Z315" i="4"/>
  <c r="Y313" i="4"/>
  <c r="Z313" i="4"/>
  <c r="Y290" i="4"/>
  <c r="Z290" i="4"/>
  <c r="Y296" i="4"/>
  <c r="Z296" i="4"/>
  <c r="Y314" i="4"/>
  <c r="Z314" i="4"/>
  <c r="Y261" i="20"/>
  <c r="Z261" i="20"/>
  <c r="Y232" i="22"/>
  <c r="Z232" i="22"/>
  <c r="Y284" i="22"/>
  <c r="Z284" i="22"/>
  <c r="Y276" i="20"/>
  <c r="Z276" i="20"/>
  <c r="Y276" i="22"/>
  <c r="Z276" i="22"/>
  <c r="Y285" i="20"/>
  <c r="Z285" i="20"/>
  <c r="Y296" i="20"/>
  <c r="Z296" i="20"/>
  <c r="Y332" i="22"/>
  <c r="Z332" i="22"/>
  <c r="Y261" i="22"/>
  <c r="Z261" i="22"/>
  <c r="Y277" i="20"/>
  <c r="Z277" i="20"/>
  <c r="Y305" i="4"/>
  <c r="Z305" i="4"/>
  <c r="AB308" i="6"/>
  <c r="AC308" i="6"/>
  <c r="AB290" i="6"/>
  <c r="AC290" i="6"/>
  <c r="AB287" i="6"/>
  <c r="AC287" i="6"/>
  <c r="AB343" i="6"/>
  <c r="AC343" i="6"/>
  <c r="Y318" i="4"/>
  <c r="Z318" i="4"/>
  <c r="Y247" i="4"/>
  <c r="Z247" i="4"/>
  <c r="AB298" i="6"/>
  <c r="AC298" i="6"/>
  <c r="AB332" i="6"/>
  <c r="AC332" i="6"/>
  <c r="Y347" i="4"/>
  <c r="Z347" i="4"/>
  <c r="Y246" i="4"/>
  <c r="Z246" i="4"/>
  <c r="Y306" i="4"/>
  <c r="Z306" i="4"/>
  <c r="Y317" i="4"/>
  <c r="Z317" i="4"/>
  <c r="AB284" i="6"/>
  <c r="AC284" i="6"/>
  <c r="AB234" i="6"/>
  <c r="AC234" i="6"/>
  <c r="Y333" i="4"/>
  <c r="Z333" i="4"/>
  <c r="Y272" i="4"/>
  <c r="Z272" i="4"/>
  <c r="Y292" i="4"/>
  <c r="Z292" i="4"/>
  <c r="AB244" i="6"/>
  <c r="AC244" i="6"/>
  <c r="Y241" i="4"/>
  <c r="Z241" i="4"/>
  <c r="Y260" i="4"/>
  <c r="Z260" i="4"/>
  <c r="Y238" i="4"/>
  <c r="Z238" i="4"/>
  <c r="Y254" i="4"/>
  <c r="Z254" i="4"/>
  <c r="Y258" i="4"/>
  <c r="Z258" i="4"/>
  <c r="Y283" i="4"/>
  <c r="Z283" i="4"/>
  <c r="Y369" i="4"/>
  <c r="Z369" i="4"/>
  <c r="Y361" i="4"/>
  <c r="Z361" i="4"/>
  <c r="AB293" i="6"/>
  <c r="AC293" i="6"/>
  <c r="Y316" i="4"/>
  <c r="Z316" i="4"/>
  <c r="Y234" i="4"/>
  <c r="Z234" i="4"/>
  <c r="O38" i="19"/>
  <c r="P38" i="19" s="1"/>
  <c r="Q38" i="19" s="1"/>
  <c r="AB340" i="6"/>
  <c r="AC340" i="6"/>
  <c r="AB254" i="6"/>
  <c r="AC254" i="6"/>
  <c r="Y359" i="22"/>
  <c r="Z359" i="22"/>
  <c r="Y360" i="20"/>
  <c r="Z360" i="20"/>
  <c r="AB280" i="6"/>
  <c r="AC280" i="6"/>
  <c r="AB239" i="6"/>
  <c r="AC239" i="6"/>
  <c r="Y289" i="4"/>
  <c r="Z289" i="4"/>
  <c r="AB271" i="6"/>
  <c r="AC271" i="6"/>
  <c r="AB347" i="6"/>
  <c r="AC347" i="6"/>
  <c r="AB229" i="6"/>
  <c r="AC229" i="6"/>
  <c r="AB266" i="6"/>
  <c r="AC266" i="6"/>
  <c r="Y309" i="4"/>
  <c r="Z309" i="4"/>
  <c r="Y363" i="4"/>
  <c r="Z363" i="4"/>
  <c r="AB278" i="6"/>
  <c r="AC278" i="6"/>
  <c r="AB265" i="6"/>
  <c r="AC265" i="6"/>
  <c r="AB248" i="6"/>
  <c r="AC248" i="6"/>
  <c r="AB267" i="6"/>
  <c r="AC267" i="6"/>
  <c r="Y267" i="4"/>
  <c r="Z267" i="4"/>
  <c r="Y341" i="4"/>
  <c r="Z341" i="4"/>
  <c r="AB232" i="6"/>
  <c r="AC232" i="6"/>
  <c r="AB357" i="6"/>
  <c r="AC357" i="6"/>
  <c r="AB331" i="6"/>
  <c r="AC331" i="6"/>
  <c r="Y367" i="4"/>
  <c r="Z367" i="4"/>
  <c r="Y232" i="4"/>
  <c r="Z232" i="4"/>
  <c r="Y373" i="4"/>
  <c r="Z373" i="4"/>
  <c r="Y312" i="20"/>
  <c r="Z312" i="20"/>
  <c r="Y332" i="20"/>
  <c r="Z332" i="20"/>
  <c r="AB365" i="6"/>
  <c r="AC365" i="6"/>
  <c r="O48" i="19"/>
  <c r="P48" i="19" s="1"/>
  <c r="Q48" i="19" s="1"/>
  <c r="Y233" i="4"/>
  <c r="Z233" i="4"/>
  <c r="AB369" i="6"/>
  <c r="AC369" i="6"/>
  <c r="AB341" i="6"/>
  <c r="AC341" i="6"/>
  <c r="AB269" i="6"/>
  <c r="AC269" i="6"/>
  <c r="Y361" i="20"/>
  <c r="Z361" i="20"/>
  <c r="Y233" i="22"/>
  <c r="Z233" i="22"/>
  <c r="Y262" i="20"/>
  <c r="Z262" i="20"/>
  <c r="Y224" i="22"/>
  <c r="Z224" i="22"/>
  <c r="AB371" i="6"/>
  <c r="AC371" i="6"/>
  <c r="AB295" i="6"/>
  <c r="AC295" i="6"/>
  <c r="AB238" i="6"/>
  <c r="AC238" i="6"/>
  <c r="AB334" i="6"/>
  <c r="AC334" i="6"/>
  <c r="AB362" i="6"/>
  <c r="AC362" i="6"/>
  <c r="Y371" i="4"/>
  <c r="Z371" i="4"/>
  <c r="Y280" i="4"/>
  <c r="Z280" i="4"/>
  <c r="AB318" i="6"/>
  <c r="AC318" i="6"/>
  <c r="AB342" i="6"/>
  <c r="AC342" i="6"/>
  <c r="Y265" i="4"/>
  <c r="Z265" i="4"/>
  <c r="AB286" i="6"/>
  <c r="AC286" i="6"/>
  <c r="K52" i="18"/>
  <c r="L52" i="18" s="1"/>
  <c r="M52" i="18" s="1"/>
  <c r="Z52" i="18" s="1"/>
  <c r="Y323" i="22"/>
  <c r="Z323" i="22"/>
  <c r="Y324" i="22"/>
  <c r="Z324" i="22"/>
  <c r="Y245" i="22"/>
  <c r="Z245" i="22"/>
  <c r="Y244" i="22"/>
  <c r="Z244" i="22"/>
  <c r="Y296" i="22"/>
  <c r="Z296" i="22"/>
  <c r="Y295" i="22"/>
  <c r="Z295" i="22"/>
  <c r="Y352" i="20"/>
  <c r="Z352" i="20"/>
  <c r="Y345" i="20"/>
  <c r="Z345" i="20"/>
  <c r="Y245" i="20"/>
  <c r="Z245" i="20"/>
  <c r="Y246" i="20"/>
  <c r="Z246" i="20"/>
  <c r="AB5" i="6"/>
  <c r="AC5" i="6"/>
  <c r="AB55" i="6"/>
  <c r="AC55" i="6"/>
  <c r="AB4" i="6"/>
  <c r="AC4" i="6"/>
  <c r="AB121" i="6"/>
  <c r="AC121" i="6"/>
  <c r="AB109" i="6"/>
  <c r="AC109" i="6"/>
  <c r="AB106" i="6"/>
  <c r="AC106" i="6"/>
  <c r="AB116" i="6"/>
  <c r="AC116" i="6"/>
  <c r="AB17" i="6"/>
  <c r="AC17" i="6"/>
  <c r="AB105" i="6"/>
  <c r="AC105" i="6"/>
  <c r="AB115" i="6"/>
  <c r="AC115" i="6"/>
  <c r="K45" i="18"/>
  <c r="L45" i="18" s="1"/>
  <c r="M45" i="18" s="1"/>
  <c r="Z45" i="18" s="1"/>
  <c r="AB15" i="6"/>
  <c r="AC15" i="6"/>
  <c r="AB65" i="6"/>
  <c r="AC65" i="6"/>
  <c r="AB11" i="6"/>
  <c r="AC11" i="6"/>
  <c r="AB57" i="6"/>
  <c r="AC57" i="6"/>
  <c r="AB123" i="6"/>
  <c r="AC123" i="6"/>
  <c r="K61" i="18"/>
  <c r="L61" i="18" s="1"/>
  <c r="M61" i="18" s="1"/>
  <c r="Z61" i="18" s="1"/>
  <c r="AB47" i="6"/>
  <c r="AC47" i="6"/>
  <c r="K62" i="18"/>
  <c r="L62" i="18" s="1"/>
  <c r="M62" i="18" s="1"/>
  <c r="Z62" i="18" s="1"/>
  <c r="AB12" i="6"/>
  <c r="AC12" i="6"/>
  <c r="AB7" i="6"/>
  <c r="AC7" i="6"/>
  <c r="AB58" i="6"/>
  <c r="AC58" i="6"/>
  <c r="AB110" i="6"/>
  <c r="AC110" i="6"/>
  <c r="AB9" i="6"/>
  <c r="AC9" i="6"/>
  <c r="AB10" i="6"/>
  <c r="AC10" i="6"/>
  <c r="AB122" i="6"/>
  <c r="AC122" i="6"/>
  <c r="AB18" i="6"/>
  <c r="AC18" i="6"/>
  <c r="M80" i="11"/>
  <c r="N80" i="11" s="1"/>
  <c r="O80" i="11" s="1"/>
  <c r="AD80" i="11" s="1"/>
  <c r="G80" i="19"/>
  <c r="AB14" i="6"/>
  <c r="AC14" i="6"/>
  <c r="AB45" i="6"/>
  <c r="AC45" i="6"/>
  <c r="AB31" i="6"/>
  <c r="AC31" i="6"/>
  <c r="AB22" i="6"/>
  <c r="AC22" i="6"/>
  <c r="AB73" i="6"/>
  <c r="AC73" i="6"/>
  <c r="AB19" i="6"/>
  <c r="AC19" i="6"/>
  <c r="AB103" i="6"/>
  <c r="AC103" i="6"/>
  <c r="AB37" i="6"/>
  <c r="AC37" i="6"/>
  <c r="K48" i="18"/>
  <c r="L48" i="18" s="1"/>
  <c r="M48" i="18" s="1"/>
  <c r="Z48" i="18" s="1"/>
  <c r="X120" i="4"/>
  <c r="Y120" i="4" s="1"/>
  <c r="AB43" i="6"/>
  <c r="AC43" i="6"/>
  <c r="AB66" i="6"/>
  <c r="AC66" i="6"/>
  <c r="C64" i="11"/>
  <c r="M64" i="11" s="1"/>
  <c r="N64" i="11" s="1"/>
  <c r="O64" i="11" s="1"/>
  <c r="AD64" i="11" s="1"/>
  <c r="AB13" i="6"/>
  <c r="AC13" i="6"/>
  <c r="AB38" i="6"/>
  <c r="AC38" i="6"/>
  <c r="AB107" i="6"/>
  <c r="AC107" i="6"/>
  <c r="AB112" i="6"/>
  <c r="AC112" i="6"/>
  <c r="AB30" i="6"/>
  <c r="AC30" i="6"/>
  <c r="AB67" i="6"/>
  <c r="AC67" i="6"/>
  <c r="AB118" i="6"/>
  <c r="AC118" i="6"/>
  <c r="AB111" i="6"/>
  <c r="AC111" i="6"/>
  <c r="AB46" i="6"/>
  <c r="AC46" i="6"/>
  <c r="AB35" i="6"/>
  <c r="AC35" i="6"/>
  <c r="AB29" i="6"/>
  <c r="AC29" i="6"/>
  <c r="AB8" i="6"/>
  <c r="AC8" i="6"/>
  <c r="AB114" i="6"/>
  <c r="AC114" i="6"/>
  <c r="AB120" i="6"/>
  <c r="AC120" i="6"/>
  <c r="AB21" i="6"/>
  <c r="AC21" i="6"/>
  <c r="M36" i="11"/>
  <c r="N36" i="11" s="1"/>
  <c r="O36" i="11" s="1"/>
  <c r="AD36" i="11" s="1"/>
  <c r="AB113" i="6"/>
  <c r="AC113" i="6"/>
  <c r="AB104" i="6"/>
  <c r="AC104" i="6"/>
  <c r="AB71" i="6"/>
  <c r="AC71" i="6"/>
  <c r="AB6" i="6"/>
  <c r="AC6" i="6"/>
  <c r="AB108" i="6"/>
  <c r="AC108" i="6"/>
  <c r="AB119" i="6"/>
  <c r="AC119" i="6"/>
  <c r="Y148" i="4"/>
  <c r="Z148" i="4"/>
  <c r="Y207" i="4"/>
  <c r="Z207" i="4"/>
  <c r="Y144" i="4"/>
  <c r="Z144" i="4"/>
  <c r="Y222" i="4"/>
  <c r="Z222" i="4"/>
  <c r="Y55" i="4"/>
  <c r="Z55" i="4"/>
  <c r="K78" i="18"/>
  <c r="L78" i="18" s="1"/>
  <c r="M78" i="18" s="1"/>
  <c r="Z78" i="18" s="1"/>
  <c r="Y210" i="4"/>
  <c r="Z210" i="4"/>
  <c r="AB80" i="6"/>
  <c r="AC80" i="6"/>
  <c r="AB98" i="6"/>
  <c r="AC98" i="6"/>
  <c r="AB89" i="6"/>
  <c r="AC89" i="6"/>
  <c r="Y161" i="4"/>
  <c r="Z161" i="4"/>
  <c r="Y14" i="4"/>
  <c r="Z14" i="4"/>
  <c r="Y78" i="4"/>
  <c r="Z78" i="4"/>
  <c r="AB203" i="6"/>
  <c r="AC203" i="6"/>
  <c r="AB146" i="6"/>
  <c r="AC146" i="6"/>
  <c r="AB184" i="6"/>
  <c r="AC184" i="6"/>
  <c r="Y11" i="4"/>
  <c r="Z11" i="4"/>
  <c r="AB147" i="6"/>
  <c r="AC147" i="6"/>
  <c r="AB204" i="6"/>
  <c r="AC204" i="6"/>
  <c r="Y12" i="4"/>
  <c r="Z12" i="4"/>
  <c r="AB168" i="6"/>
  <c r="AC168" i="6"/>
  <c r="AB159" i="6"/>
  <c r="AC159" i="6"/>
  <c r="AB173" i="6"/>
  <c r="AC173" i="6"/>
  <c r="Y98" i="4"/>
  <c r="Z98" i="4"/>
  <c r="AB209" i="6"/>
  <c r="AC209" i="6"/>
  <c r="AB210" i="6"/>
  <c r="AC210" i="6"/>
  <c r="Y9" i="4"/>
  <c r="Z9" i="4"/>
  <c r="Y190" i="4"/>
  <c r="Z190" i="4"/>
  <c r="Y173" i="4"/>
  <c r="Z173" i="4"/>
  <c r="AB156" i="6"/>
  <c r="AC156" i="6"/>
  <c r="Y197" i="4"/>
  <c r="Z197" i="4"/>
  <c r="Y54" i="4"/>
  <c r="Z54" i="4"/>
  <c r="Y48" i="4"/>
  <c r="Z48" i="4"/>
  <c r="Y106" i="4"/>
  <c r="Z106" i="4"/>
  <c r="Y183" i="4"/>
  <c r="Z183" i="4"/>
  <c r="Y122" i="4"/>
  <c r="Z122" i="4"/>
  <c r="AB158" i="6"/>
  <c r="AC158" i="6"/>
  <c r="AB192" i="6"/>
  <c r="AC192" i="6"/>
  <c r="AB95" i="6"/>
  <c r="AC95" i="6"/>
  <c r="Y81" i="4"/>
  <c r="Z81" i="4"/>
  <c r="Y223" i="4"/>
  <c r="Z223" i="4"/>
  <c r="Y32" i="4"/>
  <c r="Z32" i="4"/>
  <c r="Y112" i="4"/>
  <c r="Z112" i="4"/>
  <c r="AB166" i="6"/>
  <c r="AC166" i="6"/>
  <c r="Y70" i="4"/>
  <c r="Z70" i="4"/>
  <c r="Y165" i="4"/>
  <c r="Z165" i="4"/>
  <c r="Y105" i="4"/>
  <c r="Z105" i="4"/>
  <c r="Y133" i="4"/>
  <c r="Z133" i="4"/>
  <c r="AB180" i="6"/>
  <c r="AC180" i="6"/>
  <c r="K67" i="18"/>
  <c r="L67" i="18" s="1"/>
  <c r="M67" i="18" s="1"/>
  <c r="Z67" i="18" s="1"/>
  <c r="K66" i="18"/>
  <c r="L66" i="18" s="1"/>
  <c r="M66" i="18" s="1"/>
  <c r="Z66" i="18" s="1"/>
  <c r="Y118" i="4"/>
  <c r="Z118" i="4"/>
  <c r="Y87" i="4"/>
  <c r="Z87" i="4"/>
  <c r="Y129" i="4"/>
  <c r="Z129" i="4"/>
  <c r="Y82" i="4"/>
  <c r="Z82" i="4"/>
  <c r="AB212" i="6"/>
  <c r="AC212" i="6"/>
  <c r="AB219" i="6"/>
  <c r="AC219" i="6"/>
  <c r="AB85" i="6"/>
  <c r="AC85" i="6"/>
  <c r="Y5" i="4"/>
  <c r="Z5" i="4"/>
  <c r="Y220" i="4"/>
  <c r="Z220" i="4"/>
  <c r="AB172" i="6"/>
  <c r="AC172" i="6"/>
  <c r="Y155" i="4"/>
  <c r="Z155" i="4"/>
  <c r="AB83" i="6"/>
  <c r="AC83" i="6"/>
  <c r="Y170" i="4"/>
  <c r="Z170" i="4"/>
  <c r="K68" i="18"/>
  <c r="L68" i="18" s="1"/>
  <c r="M68" i="18" s="1"/>
  <c r="Z68" i="18" s="1"/>
  <c r="AB206" i="6"/>
  <c r="AC206" i="6"/>
  <c r="K70" i="18"/>
  <c r="L70" i="18" s="1"/>
  <c r="M70" i="18" s="1"/>
  <c r="Z70" i="18" s="1"/>
  <c r="AB82" i="6"/>
  <c r="AC82" i="6"/>
  <c r="Y209" i="4"/>
  <c r="Z209" i="4"/>
  <c r="AB221" i="6"/>
  <c r="AC221" i="6"/>
  <c r="Y132" i="4"/>
  <c r="Z132" i="4"/>
  <c r="Y195" i="4"/>
  <c r="Z195" i="4"/>
  <c r="Y86" i="4"/>
  <c r="Z86" i="4"/>
  <c r="Y90" i="4"/>
  <c r="Z90" i="4"/>
  <c r="AB220" i="6"/>
  <c r="AC220" i="6"/>
  <c r="Y169" i="4"/>
  <c r="Z169" i="4"/>
  <c r="AB92" i="6"/>
  <c r="AC92" i="6"/>
  <c r="AB142" i="6"/>
  <c r="AC142" i="6"/>
  <c r="Y46" i="4"/>
  <c r="Z46" i="4"/>
  <c r="Y147" i="4"/>
  <c r="Z147" i="4"/>
  <c r="Y92" i="4"/>
  <c r="Z92" i="4"/>
  <c r="Y91" i="4"/>
  <c r="Z91" i="4"/>
  <c r="Y89" i="4"/>
  <c r="Z89" i="4"/>
  <c r="Y184" i="4"/>
  <c r="Z184" i="4"/>
  <c r="Y39" i="4"/>
  <c r="Z39" i="4"/>
  <c r="Y134" i="4"/>
  <c r="Z134" i="4"/>
  <c r="Y104" i="4"/>
  <c r="Z104" i="4"/>
  <c r="Y186" i="4"/>
  <c r="Z186" i="4"/>
  <c r="Y38" i="4"/>
  <c r="Z38" i="4"/>
  <c r="AB133" i="6"/>
  <c r="AC133" i="6"/>
  <c r="AB216" i="6"/>
  <c r="AC216" i="6"/>
  <c r="AB186" i="6"/>
  <c r="AC186" i="6"/>
  <c r="Y22" i="4"/>
  <c r="Z22" i="4"/>
  <c r="AB179" i="6"/>
  <c r="AC179" i="6"/>
  <c r="Y4" i="4"/>
  <c r="Z4" i="4"/>
  <c r="Y135" i="4"/>
  <c r="Z135" i="4"/>
  <c r="Y131" i="4"/>
  <c r="Z131" i="4"/>
  <c r="Y79" i="4"/>
  <c r="Z79" i="4"/>
  <c r="Y215" i="4"/>
  <c r="Z215" i="4"/>
  <c r="AB138" i="6"/>
  <c r="AC138" i="6"/>
  <c r="AB215" i="6"/>
  <c r="AC215" i="6"/>
  <c r="AB189" i="6"/>
  <c r="AC189" i="6"/>
  <c r="Y189" i="4"/>
  <c r="Z189" i="4"/>
  <c r="Y119" i="4"/>
  <c r="Z119" i="4"/>
  <c r="Y143" i="4"/>
  <c r="Z143" i="4"/>
  <c r="Y167" i="4"/>
  <c r="Z167" i="4"/>
  <c r="Y113" i="4"/>
  <c r="Z113" i="4"/>
  <c r="Y114" i="4"/>
  <c r="Z114" i="4"/>
  <c r="Y168" i="4"/>
  <c r="Z168" i="4"/>
  <c r="Y193" i="4"/>
  <c r="Z193" i="4"/>
  <c r="K42" i="18"/>
  <c r="L42" i="18" s="1"/>
  <c r="M42" i="18" s="1"/>
  <c r="Z42" i="18" s="1"/>
  <c r="K51" i="18"/>
  <c r="L51" i="18" s="1"/>
  <c r="M51" i="18" s="1"/>
  <c r="Z51" i="18" s="1"/>
  <c r="K64" i="18"/>
  <c r="L64" i="18" s="1"/>
  <c r="M64" i="18" s="1"/>
  <c r="Z64" i="18" s="1"/>
  <c r="Y19" i="4"/>
  <c r="Z19" i="4"/>
  <c r="AB97" i="6"/>
  <c r="AC97" i="6"/>
  <c r="AB198" i="6"/>
  <c r="AC198" i="6"/>
  <c r="AB141" i="6"/>
  <c r="AC141" i="6"/>
  <c r="Y141" i="4"/>
  <c r="Z141" i="4"/>
  <c r="Y181" i="4"/>
  <c r="Z181" i="4"/>
  <c r="Y18" i="4"/>
  <c r="Z18" i="4"/>
  <c r="AB139" i="6"/>
  <c r="AC139" i="6"/>
  <c r="AB214" i="6"/>
  <c r="AC214" i="6"/>
  <c r="Y20" i="4"/>
  <c r="Z20" i="4"/>
  <c r="AB164" i="6"/>
  <c r="AC164" i="6"/>
  <c r="Y187" i="4"/>
  <c r="Z187" i="4"/>
  <c r="AB136" i="6"/>
  <c r="AC136" i="6"/>
  <c r="AB128" i="6"/>
  <c r="AC128" i="6"/>
  <c r="AB187" i="6"/>
  <c r="AC187" i="6"/>
  <c r="Y15" i="4"/>
  <c r="Z15" i="4"/>
  <c r="AB135" i="6"/>
  <c r="AC135" i="6"/>
  <c r="Y107" i="4"/>
  <c r="Z107" i="4"/>
  <c r="Y157" i="4"/>
  <c r="Z157" i="4"/>
  <c r="AB167" i="6"/>
  <c r="AC167" i="6"/>
  <c r="AB129" i="6"/>
  <c r="AC129" i="6"/>
  <c r="M43" i="11"/>
  <c r="N43" i="11" s="1"/>
  <c r="O43" i="11" s="1"/>
  <c r="AD43" i="11" s="1"/>
  <c r="AB134" i="6"/>
  <c r="AC134" i="6"/>
  <c r="Y198" i="4"/>
  <c r="Z198" i="4"/>
  <c r="Y163" i="4"/>
  <c r="Z163" i="4"/>
  <c r="Y68" i="4"/>
  <c r="Z68" i="4"/>
  <c r="AB90" i="6"/>
  <c r="AC90" i="6"/>
  <c r="AB169" i="6"/>
  <c r="AC169" i="6"/>
  <c r="AB96" i="6"/>
  <c r="AC96" i="6"/>
  <c r="Y88" i="4"/>
  <c r="Z88" i="4"/>
  <c r="Y64" i="4"/>
  <c r="Z64" i="4"/>
  <c r="AB79" i="6"/>
  <c r="AC79" i="6"/>
  <c r="Y137" i="4"/>
  <c r="Z137" i="4"/>
  <c r="Y171" i="4"/>
  <c r="Z171" i="4"/>
  <c r="Y30" i="4"/>
  <c r="Z30" i="4"/>
  <c r="AB190" i="6"/>
  <c r="AC190" i="6"/>
  <c r="Y154" i="4"/>
  <c r="Z154" i="4"/>
  <c r="Y97" i="4"/>
  <c r="Z97" i="4"/>
  <c r="AB81" i="6"/>
  <c r="AC81" i="6"/>
  <c r="AB162" i="6"/>
  <c r="AC162" i="6"/>
  <c r="Y191" i="4"/>
  <c r="Z191" i="4"/>
  <c r="Y180" i="4"/>
  <c r="Z180" i="4"/>
  <c r="Y62" i="4"/>
  <c r="Z62" i="4"/>
  <c r="K71" i="18"/>
  <c r="L71" i="18" s="1"/>
  <c r="M71" i="18" s="1"/>
  <c r="Z71" i="18" s="1"/>
  <c r="Y219" i="4"/>
  <c r="Z219" i="4"/>
  <c r="Y160" i="4"/>
  <c r="Z160" i="4"/>
  <c r="Y56" i="4"/>
  <c r="Z56" i="4"/>
  <c r="Y84" i="4"/>
  <c r="Z84" i="4"/>
  <c r="AB155" i="6"/>
  <c r="AC155" i="6"/>
  <c r="AB185" i="6"/>
  <c r="AC185" i="6"/>
  <c r="AB178" i="6"/>
  <c r="AC178" i="6"/>
  <c r="Y95" i="4"/>
  <c r="Z95" i="4"/>
  <c r="K44" i="18"/>
  <c r="L44" i="18" s="1"/>
  <c r="M44" i="18" s="1"/>
  <c r="Z44" i="18" s="1"/>
  <c r="AB84" i="6"/>
  <c r="AC84" i="6"/>
  <c r="Y108" i="4"/>
  <c r="Z108" i="4"/>
  <c r="Y110" i="4"/>
  <c r="Z110" i="4"/>
  <c r="AB207" i="6"/>
  <c r="AC207" i="6"/>
  <c r="Y96" i="4"/>
  <c r="Z96" i="4"/>
  <c r="Y204" i="4"/>
  <c r="Z204" i="4"/>
  <c r="Y31" i="4"/>
  <c r="Z31" i="4"/>
  <c r="Y109" i="4"/>
  <c r="Z109" i="4"/>
  <c r="Y115" i="4"/>
  <c r="Z115" i="4"/>
  <c r="AB88" i="6"/>
  <c r="AC88" i="6"/>
  <c r="AB153" i="6"/>
  <c r="AC153" i="6"/>
  <c r="AB181" i="6"/>
  <c r="AC181" i="6"/>
  <c r="Y142" i="4"/>
  <c r="Z142" i="4"/>
  <c r="Y217" i="4"/>
  <c r="Z217" i="4"/>
  <c r="Y83" i="4"/>
  <c r="Z83" i="4"/>
  <c r="K76" i="18"/>
  <c r="L76" i="18" s="1"/>
  <c r="M76" i="18" s="1"/>
  <c r="Z76" i="18" s="1"/>
  <c r="Y17" i="4"/>
  <c r="Z17" i="4"/>
  <c r="Y13" i="4"/>
  <c r="Z13" i="4"/>
  <c r="AB143" i="6"/>
  <c r="AC143" i="6"/>
  <c r="AB140" i="6"/>
  <c r="AC140" i="6"/>
  <c r="AB171" i="6"/>
  <c r="AC171" i="6"/>
  <c r="Y166" i="4"/>
  <c r="Z166" i="4"/>
  <c r="AB193" i="6"/>
  <c r="AC193" i="6"/>
  <c r="AB191" i="6"/>
  <c r="AC191" i="6"/>
  <c r="Y138" i="4"/>
  <c r="Z138" i="4"/>
  <c r="AB223" i="6"/>
  <c r="AC223" i="6"/>
  <c r="AB183" i="6"/>
  <c r="AC183" i="6"/>
  <c r="Y158" i="4"/>
  <c r="Z158" i="4"/>
  <c r="AB91" i="6"/>
  <c r="AC91" i="6"/>
  <c r="AB205" i="6"/>
  <c r="AC205" i="6"/>
  <c r="AB208" i="6"/>
  <c r="AC208" i="6"/>
  <c r="Y182" i="4"/>
  <c r="Z182" i="4"/>
  <c r="Y178" i="4"/>
  <c r="Z178" i="4"/>
  <c r="Y63" i="4"/>
  <c r="Z63" i="4"/>
  <c r="AB131" i="6"/>
  <c r="AC131" i="6"/>
  <c r="Y10" i="4"/>
  <c r="Z10" i="4"/>
  <c r="AB78" i="6"/>
  <c r="AC78" i="6"/>
  <c r="AB196" i="6"/>
  <c r="AC196" i="6"/>
  <c r="Y80" i="4"/>
  <c r="Z80" i="4"/>
  <c r="AB182" i="6"/>
  <c r="AC182" i="6"/>
  <c r="AB218" i="6"/>
  <c r="AC218" i="6"/>
  <c r="Y153" i="4"/>
  <c r="Z153" i="4"/>
  <c r="Y69" i="4"/>
  <c r="Z69" i="4"/>
  <c r="AB161" i="6"/>
  <c r="AC161" i="6"/>
  <c r="Y216" i="4"/>
  <c r="Z216" i="4"/>
  <c r="Y123" i="4"/>
  <c r="Z123" i="4"/>
  <c r="Y140" i="4"/>
  <c r="Z140" i="4"/>
  <c r="Y94" i="4"/>
  <c r="Z94" i="4"/>
  <c r="Y28" i="4"/>
  <c r="Z28" i="4"/>
  <c r="Y59" i="4"/>
  <c r="Z59" i="4"/>
  <c r="AB154" i="6"/>
  <c r="AC154" i="6"/>
  <c r="Y162" i="4"/>
  <c r="Z162" i="4"/>
  <c r="Y203" i="4"/>
  <c r="Z203" i="4"/>
  <c r="AB170" i="6"/>
  <c r="AC170" i="6"/>
  <c r="Y194" i="4"/>
  <c r="Z194" i="4"/>
  <c r="Y214" i="4"/>
  <c r="Z214" i="4"/>
  <c r="Y146" i="4"/>
  <c r="Z146" i="4"/>
  <c r="Y53" i="4"/>
  <c r="Z53" i="4"/>
  <c r="K81" i="18"/>
  <c r="L81" i="18" s="1"/>
  <c r="M81" i="18" s="1"/>
  <c r="Z81" i="18" s="1"/>
  <c r="K72" i="18"/>
  <c r="L72" i="18" s="1"/>
  <c r="M72" i="18" s="1"/>
  <c r="Z72" i="18" s="1"/>
  <c r="Y188" i="4"/>
  <c r="Z188" i="4"/>
  <c r="Y213" i="4"/>
  <c r="Z213" i="4"/>
  <c r="Y116" i="4"/>
  <c r="Z116" i="4"/>
  <c r="AB165" i="6"/>
  <c r="AC165" i="6"/>
  <c r="Y218" i="4"/>
  <c r="Z218" i="4"/>
  <c r="K77" i="18"/>
  <c r="L77" i="18" s="1"/>
  <c r="M77" i="18" s="1"/>
  <c r="Z77" i="18" s="1"/>
  <c r="AB145" i="6"/>
  <c r="AC145" i="6"/>
  <c r="AB148" i="6"/>
  <c r="AC148" i="6"/>
  <c r="Y8" i="4"/>
  <c r="Z8" i="4"/>
  <c r="AB188" i="6"/>
  <c r="AC188" i="6"/>
  <c r="Y185" i="4"/>
  <c r="Z185" i="4"/>
  <c r="Y21" i="4"/>
  <c r="Z21" i="4"/>
  <c r="AB194" i="6"/>
  <c r="AC194" i="6"/>
  <c r="E65" i="19"/>
  <c r="G77" i="11"/>
  <c r="X77" i="11" s="1"/>
  <c r="E78" i="11"/>
  <c r="V78" i="11" s="1"/>
  <c r="X342" i="4"/>
  <c r="C34" i="11"/>
  <c r="T34" i="11" s="1"/>
  <c r="X319" i="4"/>
  <c r="X286" i="4"/>
  <c r="M72" i="19"/>
  <c r="O72" i="19" s="1"/>
  <c r="P72" i="19" s="1"/>
  <c r="Q72" i="19" s="1"/>
  <c r="M71" i="19"/>
  <c r="G68" i="19"/>
  <c r="E70" i="19"/>
  <c r="E74" i="11"/>
  <c r="V74" i="11" s="1"/>
  <c r="C51" i="19"/>
  <c r="X311" i="4"/>
  <c r="X279" i="4"/>
  <c r="C35" i="11"/>
  <c r="X340" i="4"/>
  <c r="G36" i="18"/>
  <c r="V36" i="18" s="1"/>
  <c r="M77" i="19"/>
  <c r="M60" i="19"/>
  <c r="O60" i="19" s="1"/>
  <c r="P60" i="19" s="1"/>
  <c r="Q60" i="19" s="1"/>
  <c r="AA228" i="6"/>
  <c r="G82" i="11"/>
  <c r="X82" i="11" s="1"/>
  <c r="G81" i="11"/>
  <c r="X81" i="11" s="1"/>
  <c r="K78" i="19"/>
  <c r="E46" i="19"/>
  <c r="O46" i="19" s="1"/>
  <c r="P46" i="19" s="1"/>
  <c r="Q46" i="19" s="1"/>
  <c r="C68" i="19"/>
  <c r="C43" i="19"/>
  <c r="X117" i="4"/>
  <c r="G41" i="11"/>
  <c r="X41" i="11" s="1"/>
  <c r="K63" i="19"/>
  <c r="O63" i="19" s="1"/>
  <c r="P63" i="19" s="1"/>
  <c r="Q63" i="19" s="1"/>
  <c r="E44" i="19"/>
  <c r="M49" i="19"/>
  <c r="C50" i="18"/>
  <c r="R50" i="18" s="1"/>
  <c r="G67" i="19"/>
  <c r="AA260" i="6"/>
  <c r="K75" i="19"/>
  <c r="I73" i="18"/>
  <c r="X73" i="18" s="1"/>
  <c r="K45" i="19"/>
  <c r="C40" i="11"/>
  <c r="T40" i="11" s="1"/>
  <c r="I50" i="19"/>
  <c r="C38" i="18"/>
  <c r="R38" i="18" s="1"/>
  <c r="G42" i="19"/>
  <c r="O42" i="19" s="1"/>
  <c r="P42" i="19" s="1"/>
  <c r="Q42" i="19" s="1"/>
  <c r="I68" i="19"/>
  <c r="AA311" i="6"/>
  <c r="AA283" i="6"/>
  <c r="G65" i="19"/>
  <c r="X262" i="4"/>
  <c r="E41" i="19"/>
  <c r="C42" i="11"/>
  <c r="T42" i="11" s="1"/>
  <c r="M80" i="19"/>
  <c r="AA117" i="6"/>
  <c r="E76" i="11"/>
  <c r="V76" i="11" s="1"/>
  <c r="AA243" i="6"/>
  <c r="C75" i="19"/>
  <c r="AA319" i="6"/>
  <c r="I76" i="19"/>
  <c r="AA59" i="6"/>
  <c r="K68" i="11"/>
  <c r="AB68" i="11" s="1"/>
  <c r="AA69" i="6"/>
  <c r="K78" i="11"/>
  <c r="AB78" i="11" s="1"/>
  <c r="AA39" i="6"/>
  <c r="I73" i="11"/>
  <c r="Z73" i="11" s="1"/>
  <c r="AA68" i="6"/>
  <c r="K77" i="11"/>
  <c r="AB77" i="11" s="1"/>
  <c r="AA54" i="6"/>
  <c r="K63" i="11"/>
  <c r="AB63" i="11" s="1"/>
  <c r="AA41" i="6"/>
  <c r="I75" i="11"/>
  <c r="X7" i="4"/>
  <c r="C37" i="11"/>
  <c r="T37" i="11" s="1"/>
  <c r="C69" i="18"/>
  <c r="R69" i="18" s="1"/>
  <c r="AA86" i="6"/>
  <c r="AA132" i="6"/>
  <c r="E65" i="18"/>
  <c r="T65" i="18" s="1"/>
  <c r="AA20" i="6"/>
  <c r="C79" i="11"/>
  <c r="T79" i="11" s="1"/>
  <c r="AA314" i="6"/>
  <c r="I71" i="19"/>
  <c r="M62" i="19"/>
  <c r="O62" i="19" s="1"/>
  <c r="P62" i="19" s="1"/>
  <c r="Q62" i="19" s="1"/>
  <c r="AA355" i="6"/>
  <c r="AA61" i="6"/>
  <c r="K70" i="11"/>
  <c r="AB70" i="11" s="1"/>
  <c r="AA60" i="6"/>
  <c r="K69" i="11"/>
  <c r="AA48" i="6"/>
  <c r="I82" i="11"/>
  <c r="Z82" i="11" s="1"/>
  <c r="AA36" i="6"/>
  <c r="I70" i="11"/>
  <c r="Z70" i="11" s="1"/>
  <c r="AA63" i="6"/>
  <c r="K72" i="11"/>
  <c r="AB72" i="11" s="1"/>
  <c r="AA34" i="6"/>
  <c r="I68" i="11"/>
  <c r="Z68" i="11" s="1"/>
  <c r="X206" i="4"/>
  <c r="I35" i="18"/>
  <c r="X243" i="4"/>
  <c r="C47" i="19"/>
  <c r="X257" i="4"/>
  <c r="E36" i="19"/>
  <c r="AA366" i="6"/>
  <c r="M73" i="19"/>
  <c r="AA237" i="6"/>
  <c r="C69" i="19"/>
  <c r="O69" i="19" s="1"/>
  <c r="P69" i="19" s="1"/>
  <c r="Q69" i="19" s="1"/>
  <c r="AA70" i="6"/>
  <c r="K79" i="11"/>
  <c r="AB79" i="11" s="1"/>
  <c r="AA56" i="6"/>
  <c r="K65" i="11"/>
  <c r="AB65" i="11" s="1"/>
  <c r="AA53" i="6"/>
  <c r="K62" i="11"/>
  <c r="AB62" i="11" s="1"/>
  <c r="AA42" i="6"/>
  <c r="I76" i="11"/>
  <c r="Z76" i="11" s="1"/>
  <c r="AA62" i="6"/>
  <c r="K71" i="11"/>
  <c r="AA28" i="6"/>
  <c r="I62" i="11"/>
  <c r="Z62" i="11" s="1"/>
  <c r="AA246" i="6"/>
  <c r="C78" i="19"/>
  <c r="AA163" i="6"/>
  <c r="G72" i="11"/>
  <c r="X72" i="11" s="1"/>
  <c r="K45" i="11"/>
  <c r="AB45" i="11" s="1"/>
  <c r="X65" i="4"/>
  <c r="AA32" i="6"/>
  <c r="I66" i="11"/>
  <c r="M66" i="11" s="1"/>
  <c r="N66" i="11" s="1"/>
  <c r="O66" i="11" s="1"/>
  <c r="AD66" i="11" s="1"/>
  <c r="AA33" i="6"/>
  <c r="I67" i="11"/>
  <c r="AA64" i="6"/>
  <c r="K73" i="11"/>
  <c r="AB73" i="11" s="1"/>
  <c r="AA40" i="6"/>
  <c r="I74" i="11"/>
  <c r="Z74" i="11" s="1"/>
  <c r="AA72" i="6"/>
  <c r="K81" i="11"/>
  <c r="AB81" i="11" s="1"/>
  <c r="AA44" i="6"/>
  <c r="I78" i="11"/>
  <c r="Z78" i="11" s="1"/>
  <c r="C82" i="11"/>
  <c r="T82" i="11" s="1"/>
  <c r="AA338" i="6"/>
  <c r="K70" i="19"/>
  <c r="I79" i="19"/>
  <c r="O79" i="19" s="1"/>
  <c r="P79" i="19" s="1"/>
  <c r="Q79" i="19" s="1"/>
  <c r="AA322" i="6"/>
  <c r="X43" i="4"/>
  <c r="I48" i="11"/>
  <c r="X40" i="4"/>
  <c r="I45" i="11"/>
  <c r="Z45" i="11" s="1"/>
  <c r="X45" i="4"/>
  <c r="I50" i="11"/>
  <c r="X237" i="4"/>
  <c r="C41" i="19"/>
  <c r="X339" i="4"/>
  <c r="K43" i="19"/>
  <c r="X282" i="4"/>
  <c r="G36" i="19"/>
  <c r="X346" i="4"/>
  <c r="K50" i="19"/>
  <c r="X136" i="4"/>
  <c r="E40" i="18"/>
  <c r="T40" i="18" s="1"/>
  <c r="X345" i="4"/>
  <c r="K49" i="19"/>
  <c r="X128" i="4"/>
  <c r="E32" i="18"/>
  <c r="T32" i="18" s="1"/>
  <c r="X245" i="4"/>
  <c r="C49" i="19"/>
  <c r="X61" i="4"/>
  <c r="K41" i="11"/>
  <c r="AB41" i="11" s="1"/>
  <c r="X159" i="4"/>
  <c r="G39" i="11"/>
  <c r="X39" i="11" s="1"/>
  <c r="X211" i="4"/>
  <c r="I40" i="18"/>
  <c r="X40" i="18" s="1"/>
  <c r="X261" i="4"/>
  <c r="E40" i="19"/>
  <c r="O40" i="19" s="1"/>
  <c r="P40" i="19" s="1"/>
  <c r="Q40" i="19" s="1"/>
  <c r="X364" i="4"/>
  <c r="M43" i="19"/>
  <c r="X307" i="4"/>
  <c r="I36" i="19"/>
  <c r="X111" i="4"/>
  <c r="E41" i="11"/>
  <c r="V41" i="11" s="1"/>
  <c r="X343" i="4"/>
  <c r="K47" i="19"/>
  <c r="X304" i="4"/>
  <c r="I33" i="19"/>
  <c r="X58" i="4"/>
  <c r="K38" i="11"/>
  <c r="AB38" i="11" s="1"/>
  <c r="X73" i="4"/>
  <c r="K53" i="11"/>
  <c r="X164" i="4"/>
  <c r="G44" i="11"/>
  <c r="X47" i="4"/>
  <c r="I52" i="11"/>
  <c r="Z52" i="11" s="1"/>
  <c r="X298" i="4"/>
  <c r="G52" i="19"/>
  <c r="X145" i="4"/>
  <c r="E49" i="18"/>
  <c r="X295" i="4"/>
  <c r="G49" i="19"/>
  <c r="X44" i="4"/>
  <c r="I49" i="11"/>
  <c r="X192" i="4"/>
  <c r="G46" i="18"/>
  <c r="V46" i="18" s="1"/>
  <c r="X60" i="4"/>
  <c r="K40" i="11"/>
  <c r="AB40" i="11" s="1"/>
  <c r="X368" i="4"/>
  <c r="M47" i="19"/>
  <c r="X348" i="4"/>
  <c r="K52" i="19"/>
  <c r="X41" i="4"/>
  <c r="I46" i="11"/>
  <c r="Z46" i="11" s="1"/>
  <c r="X35" i="4"/>
  <c r="I40" i="11"/>
  <c r="Z40" i="11" s="1"/>
  <c r="X37" i="4"/>
  <c r="I42" i="11"/>
  <c r="Z42" i="11" s="1"/>
  <c r="X331" i="4"/>
  <c r="K35" i="19"/>
  <c r="X221" i="4"/>
  <c r="I50" i="18"/>
  <c r="X50" i="18" s="1"/>
  <c r="X67" i="4"/>
  <c r="K47" i="11"/>
  <c r="AB47" i="11" s="1"/>
  <c r="X36" i="4"/>
  <c r="I41" i="11"/>
  <c r="Z41" i="11" s="1"/>
  <c r="X139" i="4"/>
  <c r="E43" i="18"/>
  <c r="T43" i="18" s="1"/>
  <c r="X278" i="4"/>
  <c r="G32" i="19"/>
  <c r="X212" i="4"/>
  <c r="I41" i="18"/>
  <c r="X248" i="4"/>
  <c r="C52" i="19"/>
  <c r="X179" i="4"/>
  <c r="G33" i="18"/>
  <c r="V33" i="18" s="1"/>
  <c r="X360" i="4"/>
  <c r="M39" i="19"/>
  <c r="X172" i="4"/>
  <c r="G52" i="11"/>
  <c r="X52" i="11" s="1"/>
  <c r="X208" i="4"/>
  <c r="I37" i="18"/>
  <c r="AA197" i="6"/>
  <c r="G80" i="18"/>
  <c r="X365" i="4"/>
  <c r="M44" i="19"/>
  <c r="X42" i="4"/>
  <c r="I47" i="11"/>
  <c r="Z47" i="11" s="1"/>
  <c r="AA270" i="6"/>
  <c r="E77" i="19"/>
  <c r="X34" i="4"/>
  <c r="I39" i="11"/>
  <c r="Z39" i="11" s="1"/>
  <c r="X33" i="4"/>
  <c r="I38" i="11"/>
  <c r="Z38" i="11" s="1"/>
  <c r="X57" i="4"/>
  <c r="K37" i="11"/>
  <c r="AB37" i="11" s="1"/>
  <c r="X103" i="4"/>
  <c r="E33" i="11"/>
  <c r="X356" i="4"/>
  <c r="M35" i="19"/>
  <c r="Y196" i="4"/>
  <c r="G50" i="18"/>
  <c r="V50" i="18" s="1"/>
  <c r="X71" i="4"/>
  <c r="K51" i="11"/>
  <c r="AB51" i="11" s="1"/>
  <c r="X72" i="4"/>
  <c r="K52" i="11"/>
  <c r="AB52" i="11" s="1"/>
  <c r="X66" i="4"/>
  <c r="K46" i="11"/>
  <c r="AB46" i="11" s="1"/>
  <c r="X121" i="4"/>
  <c r="E51" i="11"/>
  <c r="V51" i="11" s="1"/>
  <c r="X229" i="4"/>
  <c r="C33" i="19"/>
  <c r="X335" i="4"/>
  <c r="K39" i="19"/>
  <c r="X205" i="4"/>
  <c r="I34" i="18"/>
  <c r="X34" i="18" s="1"/>
  <c r="X85" i="4"/>
  <c r="C39" i="18"/>
  <c r="R39" i="18" s="1"/>
  <c r="X29" i="4"/>
  <c r="I34" i="11"/>
  <c r="Z34" i="11" s="1"/>
  <c r="X291" i="4"/>
  <c r="G45" i="19"/>
  <c r="X93" i="4"/>
  <c r="C47" i="18"/>
  <c r="R47" i="18" s="1"/>
  <c r="X322" i="4"/>
  <c r="I51" i="19"/>
  <c r="X328" i="4"/>
  <c r="K32" i="19"/>
  <c r="T34" i="4"/>
  <c r="Z66" i="11" l="1"/>
  <c r="K80" i="18"/>
  <c r="L80" i="18" s="1"/>
  <c r="M80" i="18" s="1"/>
  <c r="Z80" i="18" s="1"/>
  <c r="V80" i="18"/>
  <c r="K75" i="18"/>
  <c r="L75" i="18" s="1"/>
  <c r="M75" i="18" s="1"/>
  <c r="Z75" i="18" s="1"/>
  <c r="M33" i="11"/>
  <c r="N33" i="11" s="1"/>
  <c r="O33" i="11" s="1"/>
  <c r="AD33" i="11" s="1"/>
  <c r="V33" i="11"/>
  <c r="M49" i="11"/>
  <c r="N49" i="11" s="1"/>
  <c r="O49" i="11" s="1"/>
  <c r="AD49" i="11" s="1"/>
  <c r="Z49" i="11"/>
  <c r="M69" i="11"/>
  <c r="N69" i="11" s="1"/>
  <c r="O69" i="11" s="1"/>
  <c r="AD69" i="11" s="1"/>
  <c r="AB69" i="11"/>
  <c r="M71" i="11"/>
  <c r="N71" i="11" s="1"/>
  <c r="O71" i="11" s="1"/>
  <c r="AD71" i="11" s="1"/>
  <c r="AB71" i="11"/>
  <c r="M35" i="11"/>
  <c r="N35" i="11" s="1"/>
  <c r="O35" i="11" s="1"/>
  <c r="AD35" i="11" s="1"/>
  <c r="T35" i="11"/>
  <c r="M50" i="11"/>
  <c r="N50" i="11" s="1"/>
  <c r="O50" i="11" s="1"/>
  <c r="AD50" i="11" s="1"/>
  <c r="Z50" i="11"/>
  <c r="M44" i="11"/>
  <c r="N44" i="11" s="1"/>
  <c r="O44" i="11" s="1"/>
  <c r="AD44" i="11" s="1"/>
  <c r="X44" i="11"/>
  <c r="T64" i="11"/>
  <c r="M75" i="11"/>
  <c r="N75" i="11" s="1"/>
  <c r="O75" i="11" s="1"/>
  <c r="AD75" i="11" s="1"/>
  <c r="Z75" i="11"/>
  <c r="M67" i="11"/>
  <c r="N67" i="11" s="1"/>
  <c r="O67" i="11" s="1"/>
  <c r="AD67" i="11" s="1"/>
  <c r="Z67" i="11"/>
  <c r="M53" i="11"/>
  <c r="N53" i="11" s="1"/>
  <c r="O53" i="11" s="1"/>
  <c r="AD53" i="11" s="1"/>
  <c r="AB53" i="11"/>
  <c r="M48" i="11"/>
  <c r="N48" i="11" s="1"/>
  <c r="O48" i="11" s="1"/>
  <c r="AD48" i="11" s="1"/>
  <c r="Z48" i="11"/>
  <c r="K63" i="18"/>
  <c r="L63" i="18" s="1"/>
  <c r="M63" i="18" s="1"/>
  <c r="Z63" i="18" s="1"/>
  <c r="K35" i="18"/>
  <c r="L35" i="18" s="1"/>
  <c r="M35" i="18" s="1"/>
  <c r="Z35" i="18" s="1"/>
  <c r="X35" i="18"/>
  <c r="K49" i="18"/>
  <c r="L49" i="18" s="1"/>
  <c r="M49" i="18" s="1"/>
  <c r="Z49" i="18" s="1"/>
  <c r="T49" i="18"/>
  <c r="K69" i="18"/>
  <c r="L69" i="18" s="1"/>
  <c r="M69" i="18" s="1"/>
  <c r="Z69" i="18" s="1"/>
  <c r="K37" i="18"/>
  <c r="L37" i="18" s="1"/>
  <c r="M37" i="18" s="1"/>
  <c r="Z37" i="18" s="1"/>
  <c r="X37" i="18"/>
  <c r="K41" i="18"/>
  <c r="X41" i="18"/>
  <c r="K74" i="18"/>
  <c r="L74" i="18" s="1"/>
  <c r="M74" i="18" s="1"/>
  <c r="Z74" i="18" s="1"/>
  <c r="K73" i="18"/>
  <c r="L73" i="18" s="1"/>
  <c r="M73" i="18" s="1"/>
  <c r="Z73" i="18" s="1"/>
  <c r="AB281" i="6"/>
  <c r="M47" i="11"/>
  <c r="N47" i="11" s="1"/>
  <c r="O47" i="11" s="1"/>
  <c r="AD47" i="11" s="1"/>
  <c r="M38" i="11"/>
  <c r="N38" i="11" s="1"/>
  <c r="O38" i="11" s="1"/>
  <c r="AD38" i="11" s="1"/>
  <c r="M34" i="11"/>
  <c r="N34" i="11" s="1"/>
  <c r="O34" i="11" s="1"/>
  <c r="AD34" i="11" s="1"/>
  <c r="K65" i="18"/>
  <c r="L65" i="18" s="1"/>
  <c r="M65" i="18" s="1"/>
  <c r="Z65" i="18" s="1"/>
  <c r="AC339" i="6"/>
  <c r="O76" i="19"/>
  <c r="P76" i="19" s="1"/>
  <c r="Q76" i="19" s="1"/>
  <c r="O73" i="19"/>
  <c r="P73" i="19" s="1"/>
  <c r="Q73" i="19" s="1"/>
  <c r="K36" i="18"/>
  <c r="L36" i="18" s="1"/>
  <c r="M36" i="18" s="1"/>
  <c r="Z36" i="18" s="1"/>
  <c r="M65" i="11"/>
  <c r="N65" i="11" s="1"/>
  <c r="O65" i="11" s="1"/>
  <c r="AD65" i="11" s="1"/>
  <c r="AC87" i="6"/>
  <c r="K79" i="18"/>
  <c r="L79" i="18" s="1"/>
  <c r="M79" i="18" s="1"/>
  <c r="Z79" i="18" s="1"/>
  <c r="M63" i="11"/>
  <c r="N63" i="11" s="1"/>
  <c r="O63" i="11" s="1"/>
  <c r="AD63" i="11" s="1"/>
  <c r="AC217" i="6"/>
  <c r="Z6" i="4"/>
  <c r="M37" i="11"/>
  <c r="N37" i="11" s="1"/>
  <c r="O37" i="11" s="1"/>
  <c r="AD37" i="11" s="1"/>
  <c r="O51" i="19"/>
  <c r="P51" i="19" s="1"/>
  <c r="Q51" i="19" s="1"/>
  <c r="M70" i="11"/>
  <c r="N70" i="11" s="1"/>
  <c r="O70" i="11" s="1"/>
  <c r="AD70" i="11" s="1"/>
  <c r="O45" i="19"/>
  <c r="P45" i="19" s="1"/>
  <c r="Q45" i="19" s="1"/>
  <c r="O67" i="19"/>
  <c r="P67" i="19" s="1"/>
  <c r="Q67" i="19" s="1"/>
  <c r="M79" i="11"/>
  <c r="N79" i="11" s="1"/>
  <c r="O79" i="11" s="1"/>
  <c r="AD79" i="11" s="1"/>
  <c r="O39" i="19"/>
  <c r="P39" i="19" s="1"/>
  <c r="Q39" i="19" s="1"/>
  <c r="O71" i="19"/>
  <c r="P71" i="19" s="1"/>
  <c r="Q71" i="19" s="1"/>
  <c r="O65" i="19"/>
  <c r="P65" i="19" s="1"/>
  <c r="Q65" i="19" s="1"/>
  <c r="Z120" i="4"/>
  <c r="O75" i="19"/>
  <c r="P75" i="19" s="1"/>
  <c r="Q75" i="19" s="1"/>
  <c r="O33" i="19"/>
  <c r="P33" i="19" s="1"/>
  <c r="Q33" i="19" s="1"/>
  <c r="O43" i="19"/>
  <c r="P43" i="19" s="1"/>
  <c r="Q43" i="19" s="1"/>
  <c r="O35" i="19"/>
  <c r="P35" i="19" s="1"/>
  <c r="Q35" i="19" s="1"/>
  <c r="O36" i="19"/>
  <c r="P36" i="19" s="1"/>
  <c r="Q36" i="19" s="1"/>
  <c r="M68" i="11"/>
  <c r="N68" i="11" s="1"/>
  <c r="O68" i="11" s="1"/>
  <c r="AD68" i="11" s="1"/>
  <c r="O70" i="19"/>
  <c r="P70" i="19" s="1"/>
  <c r="Q70" i="19" s="1"/>
  <c r="O44" i="19"/>
  <c r="P44" i="19" s="1"/>
  <c r="Q44" i="19" s="1"/>
  <c r="O77" i="19"/>
  <c r="P77" i="19" s="1"/>
  <c r="Q77" i="19" s="1"/>
  <c r="O47" i="19"/>
  <c r="P47" i="19" s="1"/>
  <c r="Q47" i="19" s="1"/>
  <c r="O41" i="19"/>
  <c r="P41" i="19" s="1"/>
  <c r="Q41" i="19" s="1"/>
  <c r="O50" i="19"/>
  <c r="P50" i="19" s="1"/>
  <c r="Q50" i="19" s="1"/>
  <c r="O78" i="19"/>
  <c r="P78" i="19" s="1"/>
  <c r="Q78" i="19" s="1"/>
  <c r="Y331" i="4"/>
  <c r="Z331" i="4"/>
  <c r="AB355" i="6"/>
  <c r="AC355" i="6"/>
  <c r="O49" i="19"/>
  <c r="P49" i="19" s="1"/>
  <c r="Q49" i="19" s="1"/>
  <c r="Y243" i="4"/>
  <c r="Z243" i="4"/>
  <c r="AB319" i="6"/>
  <c r="AC319" i="6"/>
  <c r="Y262" i="4"/>
  <c r="Z262" i="4"/>
  <c r="Y279" i="4"/>
  <c r="Z279" i="4"/>
  <c r="Y286" i="4"/>
  <c r="Z286" i="4"/>
  <c r="Y348" i="4"/>
  <c r="Z348" i="4"/>
  <c r="Y291" i="4"/>
  <c r="Z291" i="4"/>
  <c r="Y335" i="4"/>
  <c r="Z335" i="4"/>
  <c r="AB270" i="6"/>
  <c r="AC270" i="6"/>
  <c r="Y248" i="4"/>
  <c r="Z248" i="4"/>
  <c r="Y368" i="4"/>
  <c r="Z368" i="4"/>
  <c r="Y295" i="4"/>
  <c r="Z295" i="4"/>
  <c r="Y343" i="4"/>
  <c r="Z343" i="4"/>
  <c r="Y261" i="4"/>
  <c r="Z261" i="4"/>
  <c r="Y245" i="4"/>
  <c r="Z245" i="4"/>
  <c r="Y346" i="4"/>
  <c r="Z346" i="4"/>
  <c r="AB338" i="6"/>
  <c r="AC338" i="6"/>
  <c r="Y311" i="4"/>
  <c r="Z311" i="4"/>
  <c r="Y319" i="4"/>
  <c r="Z319" i="4"/>
  <c r="AB264" i="6"/>
  <c r="AC264" i="6"/>
  <c r="Y237" i="4"/>
  <c r="Z237" i="4"/>
  <c r="AB283" i="6"/>
  <c r="AC283" i="6"/>
  <c r="Y328" i="4"/>
  <c r="Z328" i="4"/>
  <c r="Y229" i="4"/>
  <c r="Z229" i="4"/>
  <c r="Y282" i="4"/>
  <c r="Z282" i="4"/>
  <c r="AB311" i="6"/>
  <c r="AC311" i="6"/>
  <c r="Y342" i="4"/>
  <c r="Z342" i="4"/>
  <c r="Y304" i="4"/>
  <c r="Z304" i="4"/>
  <c r="O32" i="19"/>
  <c r="P32" i="19" s="1"/>
  <c r="Q32" i="19" s="1"/>
  <c r="O52" i="19"/>
  <c r="P52" i="19" s="1"/>
  <c r="Q52" i="19" s="1"/>
  <c r="AB246" i="6"/>
  <c r="AC246" i="6"/>
  <c r="AB366" i="6"/>
  <c r="AC366" i="6"/>
  <c r="AB260" i="6"/>
  <c r="AC260" i="6"/>
  <c r="Y364" i="4"/>
  <c r="Z364" i="4"/>
  <c r="AB237" i="6"/>
  <c r="AC237" i="6"/>
  <c r="AB314" i="6"/>
  <c r="AC314" i="6"/>
  <c r="AB243" i="6"/>
  <c r="AC243" i="6"/>
  <c r="Y322" i="4"/>
  <c r="Z322" i="4"/>
  <c r="Y365" i="4"/>
  <c r="Z365" i="4"/>
  <c r="Y360" i="4"/>
  <c r="Z360" i="4"/>
  <c r="Y278" i="4"/>
  <c r="Z278" i="4"/>
  <c r="Y298" i="4"/>
  <c r="Z298" i="4"/>
  <c r="Y307" i="4"/>
  <c r="Z307" i="4"/>
  <c r="Y345" i="4"/>
  <c r="Z345" i="4"/>
  <c r="Y339" i="4"/>
  <c r="Z339" i="4"/>
  <c r="O68" i="19"/>
  <c r="P68" i="19" s="1"/>
  <c r="Q68" i="19" s="1"/>
  <c r="Y356" i="4"/>
  <c r="Z356" i="4"/>
  <c r="AB228" i="6"/>
  <c r="AC228" i="6"/>
  <c r="AB322" i="6"/>
  <c r="AC322" i="6"/>
  <c r="Y257" i="4"/>
  <c r="Z257" i="4"/>
  <c r="Y340" i="4"/>
  <c r="Z340" i="4"/>
  <c r="O80" i="19"/>
  <c r="P80" i="19" s="1"/>
  <c r="Q80" i="19" s="1"/>
  <c r="M40" i="11"/>
  <c r="N40" i="11" s="1"/>
  <c r="O40" i="11" s="1"/>
  <c r="AD40" i="11" s="1"/>
  <c r="M45" i="11"/>
  <c r="N45" i="11" s="1"/>
  <c r="O45" i="11" s="1"/>
  <c r="AD45" i="11" s="1"/>
  <c r="M72" i="11"/>
  <c r="N72" i="11" s="1"/>
  <c r="O72" i="11" s="1"/>
  <c r="AD72" i="11" s="1"/>
  <c r="M52" i="11"/>
  <c r="N52" i="11" s="1"/>
  <c r="O52" i="11" s="1"/>
  <c r="AD52" i="11" s="1"/>
  <c r="K40" i="18"/>
  <c r="L40" i="18" s="1"/>
  <c r="M40" i="18" s="1"/>
  <c r="Z40" i="18" s="1"/>
  <c r="M42" i="11"/>
  <c r="N42" i="11" s="1"/>
  <c r="O42" i="11" s="1"/>
  <c r="AD42" i="11" s="1"/>
  <c r="M73" i="11"/>
  <c r="N73" i="11" s="1"/>
  <c r="O73" i="11" s="1"/>
  <c r="AD73" i="11" s="1"/>
  <c r="M76" i="11"/>
  <c r="N76" i="11" s="1"/>
  <c r="O76" i="11" s="1"/>
  <c r="AD76" i="11" s="1"/>
  <c r="M74" i="11"/>
  <c r="N74" i="11" s="1"/>
  <c r="O74" i="11" s="1"/>
  <c r="AD74" i="11" s="1"/>
  <c r="M46" i="11"/>
  <c r="N46" i="11" s="1"/>
  <c r="O46" i="11" s="1"/>
  <c r="AD46" i="11" s="1"/>
  <c r="M39" i="11"/>
  <c r="N39" i="11" s="1"/>
  <c r="O39" i="11" s="1"/>
  <c r="AD39" i="11" s="1"/>
  <c r="M78" i="11"/>
  <c r="N78" i="11" s="1"/>
  <c r="O78" i="11" s="1"/>
  <c r="AD78" i="11" s="1"/>
  <c r="M62" i="11"/>
  <c r="N62" i="11" s="1"/>
  <c r="O62" i="11" s="1"/>
  <c r="AD62" i="11" s="1"/>
  <c r="AB69" i="6"/>
  <c r="AC69" i="6"/>
  <c r="M77" i="11"/>
  <c r="N77" i="11" s="1"/>
  <c r="O77" i="11" s="1"/>
  <c r="AD77" i="11" s="1"/>
  <c r="AB33" i="6"/>
  <c r="AC33" i="6"/>
  <c r="AB20" i="6"/>
  <c r="AC20" i="6"/>
  <c r="AB59" i="6"/>
  <c r="AC59" i="6"/>
  <c r="AB41" i="6"/>
  <c r="AC41" i="6"/>
  <c r="AB72" i="6"/>
  <c r="AC72" i="6"/>
  <c r="AB63" i="6"/>
  <c r="AC63" i="6"/>
  <c r="K50" i="18"/>
  <c r="L50" i="18" s="1"/>
  <c r="M50" i="18" s="1"/>
  <c r="Z50" i="18" s="1"/>
  <c r="AB40" i="6"/>
  <c r="AC40" i="6"/>
  <c r="AB62" i="6"/>
  <c r="AC62" i="6"/>
  <c r="AB70" i="6"/>
  <c r="AC70" i="6"/>
  <c r="AB36" i="6"/>
  <c r="AC36" i="6"/>
  <c r="AB68" i="6"/>
  <c r="AC68" i="6"/>
  <c r="M81" i="11"/>
  <c r="N81" i="11" s="1"/>
  <c r="O81" i="11" s="1"/>
  <c r="AD81" i="11" s="1"/>
  <c r="AB34" i="6"/>
  <c r="AC34" i="6"/>
  <c r="AB117" i="6"/>
  <c r="AC117" i="6"/>
  <c r="AB56" i="6"/>
  <c r="AC56" i="6"/>
  <c r="AB54" i="6"/>
  <c r="AC54" i="6"/>
  <c r="M82" i="11"/>
  <c r="N82" i="11" s="1"/>
  <c r="O82" i="11" s="1"/>
  <c r="AD82" i="11" s="1"/>
  <c r="AB53" i="6"/>
  <c r="AC53" i="6"/>
  <c r="AB28" i="6"/>
  <c r="AC28" i="6"/>
  <c r="AB64" i="6"/>
  <c r="AC64" i="6"/>
  <c r="AB42" i="6"/>
  <c r="AC42" i="6"/>
  <c r="AB48" i="6"/>
  <c r="AC48" i="6"/>
  <c r="AB39" i="6"/>
  <c r="AC39" i="6"/>
  <c r="AB44" i="6"/>
  <c r="AC44" i="6"/>
  <c r="AB60" i="6"/>
  <c r="AC60" i="6"/>
  <c r="AB32" i="6"/>
  <c r="AC32" i="6"/>
  <c r="AB61" i="6"/>
  <c r="AC61" i="6"/>
  <c r="Y221" i="4"/>
  <c r="Z221" i="4"/>
  <c r="Y205" i="4"/>
  <c r="Z205" i="4"/>
  <c r="Y34" i="4"/>
  <c r="Z34" i="4"/>
  <c r="Y179" i="4"/>
  <c r="Z179" i="4"/>
  <c r="Y139" i="4"/>
  <c r="Z139" i="4"/>
  <c r="Y44" i="4"/>
  <c r="Z44" i="4"/>
  <c r="Y47" i="4"/>
  <c r="Z47" i="4"/>
  <c r="Y61" i="4"/>
  <c r="Z61" i="4"/>
  <c r="Y136" i="4"/>
  <c r="Z136" i="4"/>
  <c r="Y65" i="4"/>
  <c r="Z65" i="4"/>
  <c r="AB86" i="6"/>
  <c r="AC86" i="6"/>
  <c r="Y85" i="4"/>
  <c r="Z85" i="4"/>
  <c r="Y58" i="4"/>
  <c r="Z58" i="4"/>
  <c r="Y93" i="4"/>
  <c r="Z93" i="4"/>
  <c r="Y66" i="4"/>
  <c r="Z66" i="4"/>
  <c r="AB197" i="6"/>
  <c r="AC197" i="6"/>
  <c r="Y192" i="4"/>
  <c r="Z192" i="4"/>
  <c r="Y43" i="4"/>
  <c r="Z43" i="4"/>
  <c r="M41" i="11"/>
  <c r="N41" i="11" s="1"/>
  <c r="O41" i="11" s="1"/>
  <c r="AD41" i="11" s="1"/>
  <c r="AB163" i="6"/>
  <c r="AC163" i="6"/>
  <c r="Y206" i="4"/>
  <c r="Z206" i="4"/>
  <c r="Y7" i="4"/>
  <c r="Z7" i="4"/>
  <c r="Y33" i="4"/>
  <c r="Z33" i="4"/>
  <c r="Y159" i="4"/>
  <c r="Z159" i="4"/>
  <c r="AB132" i="6"/>
  <c r="AC132" i="6"/>
  <c r="K38" i="18"/>
  <c r="L38" i="18" s="1"/>
  <c r="M38" i="18" s="1"/>
  <c r="Z38" i="18" s="1"/>
  <c r="Y103" i="4"/>
  <c r="Z103" i="4"/>
  <c r="Y29" i="4"/>
  <c r="Z29" i="4"/>
  <c r="Y57" i="4"/>
  <c r="Z57" i="4"/>
  <c r="Y172" i="4"/>
  <c r="Z172" i="4"/>
  <c r="Y212" i="4"/>
  <c r="Z212" i="4"/>
  <c r="Y35" i="4"/>
  <c r="Z35" i="4"/>
  <c r="Y60" i="4"/>
  <c r="Z60" i="4"/>
  <c r="Y145" i="4"/>
  <c r="Z145" i="4"/>
  <c r="Y73" i="4"/>
  <c r="Z73" i="4"/>
  <c r="Y111" i="4"/>
  <c r="Z111" i="4"/>
  <c r="Y211" i="4"/>
  <c r="Z211" i="4"/>
  <c r="Y128" i="4"/>
  <c r="Z128" i="4"/>
  <c r="Y40" i="4"/>
  <c r="Z40" i="4"/>
  <c r="Y117" i="4"/>
  <c r="Z117" i="4"/>
  <c r="K32" i="18"/>
  <c r="L32" i="18" s="1"/>
  <c r="M32" i="18" s="1"/>
  <c r="Z32" i="18" s="1"/>
  <c r="K43" i="18"/>
  <c r="L43" i="18" s="1"/>
  <c r="M43" i="18" s="1"/>
  <c r="Z43" i="18" s="1"/>
  <c r="Y121" i="4"/>
  <c r="Z121" i="4"/>
  <c r="Y41" i="4"/>
  <c r="Z41" i="4"/>
  <c r="K47" i="18"/>
  <c r="L47" i="18" s="1"/>
  <c r="M47" i="18" s="1"/>
  <c r="Z47" i="18" s="1"/>
  <c r="Y72" i="4"/>
  <c r="Z72" i="4"/>
  <c r="Y208" i="4"/>
  <c r="Z208" i="4"/>
  <c r="Y36" i="4"/>
  <c r="Z36" i="4"/>
  <c r="Y37" i="4"/>
  <c r="Z37" i="4"/>
  <c r="Y164" i="4"/>
  <c r="Z164" i="4"/>
  <c r="Y45" i="4"/>
  <c r="Z45" i="4"/>
  <c r="L41" i="18"/>
  <c r="M41" i="18" s="1"/>
  <c r="Z41" i="18" s="1"/>
  <c r="Y71" i="4"/>
  <c r="Z71" i="4"/>
  <c r="Y42" i="4"/>
  <c r="Z42" i="4"/>
  <c r="Y67" i="4"/>
  <c r="Z67" i="4"/>
  <c r="K39" i="18"/>
  <c r="L39" i="18" s="1"/>
  <c r="M39" i="18" s="1"/>
  <c r="Z39" i="18" s="1"/>
  <c r="M51" i="11"/>
  <c r="N51" i="11" s="1"/>
  <c r="O51" i="11" s="1"/>
  <c r="AD51" i="11" s="1"/>
  <c r="K46" i="18"/>
  <c r="L46" i="18" s="1"/>
  <c r="M46" i="18" s="1"/>
  <c r="Z46" i="18" s="1"/>
  <c r="K34" i="18"/>
  <c r="L34" i="18" s="1"/>
  <c r="M34" i="18" s="1"/>
  <c r="Z34" i="18" s="1"/>
  <c r="K33" i="18"/>
  <c r="L33" i="18" s="1"/>
  <c r="M33" i="18" s="1"/>
  <c r="Z33" i="18" s="1"/>
  <c r="I292" i="20"/>
  <c r="W292" i="20" s="1"/>
  <c r="X292" i="20" s="1"/>
  <c r="H292" i="20"/>
  <c r="V292" i="20" s="1"/>
  <c r="Z292" i="20" l="1"/>
  <c r="Y292" i="20"/>
  <c r="J292" i="20"/>
  <c r="K292" i="20" s="1"/>
  <c r="I342" i="20"/>
  <c r="J342" i="20" s="1"/>
  <c r="K342" i="20" s="1"/>
  <c r="H342" i="20"/>
  <c r="V342" i="20" s="1"/>
  <c r="W342" i="20" l="1"/>
  <c r="X342" i="20" s="1"/>
  <c r="Y342" i="20" l="1"/>
  <c r="Z342" i="20"/>
  <c r="I291" i="22"/>
  <c r="J291" i="22" s="1"/>
  <c r="K291" i="22" s="1"/>
  <c r="H291" i="22"/>
  <c r="V291" i="22" s="1"/>
  <c r="W291" i="22" l="1"/>
  <c r="X291" i="22" s="1"/>
  <c r="Y291" i="22" l="1"/>
  <c r="Z291" i="22"/>
  <c r="I341" i="22"/>
  <c r="J341" i="22" s="1"/>
  <c r="K341" i="22" s="1"/>
  <c r="H341" i="22"/>
  <c r="V341" i="22" s="1"/>
  <c r="W341" i="22" l="1"/>
  <c r="X341" i="22" s="1"/>
  <c r="Y341" i="22" l="1"/>
  <c r="Z341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tc={775795E9-59A4-4C2B-9D0B-970CC03CF14A}</author>
    <author>tc={85D5FC7A-24C2-4223-8707-6B719028EF92}</author>
    <author>tc={AA9E4D02-CF20-4B46-8624-D9D4257BE7DB}</author>
    <author>tc={6ED5C177-5F75-486B-AE5C-4D8904CC603D}</author>
    <author>tc={4A58EEE8-6932-45F5-8E80-9D47700F3E80}</author>
    <author>tc={DB4E246C-B848-44B5-B5A0-4074E6099624}</author>
    <author>Webster, Sarah R (DFG)</author>
    <author>tc={2689698F-4480-4BF6-8F1C-64C50F490E59}</author>
    <author>tc={AF43EECD-E180-4969-BCA0-8F194CBC2935}</author>
    <author>tc={7833E81E-5A68-4F98-88DC-EE589F8A9AB2}</author>
    <author>tc={B501C9FD-FEB3-406B-AA02-8E4333B814F1}</author>
    <author>tc={C0F93926-8F3D-4088-BC55-955E3C876275}</author>
    <author>tc={FA48B479-4D71-4F49-B8DE-41DB973984FD}</author>
    <author>tc={5A0F5DCC-2B3C-438C-A0B4-9B74718FE666}</author>
    <author>tc={9AD36856-1E35-4919-B19C-A9099B07E2B6}</author>
    <author>tc={B4C9B029-743D-4159-8E82-DD6FC0D07EEE}</author>
    <author>tc={F0FFDDEE-A4DA-447F-A4D5-31BFD562B243}</author>
    <author>tc={0801D007-3BFC-4CE0-9126-DB22DD3E18C0}</author>
  </authors>
  <commentList>
    <comment ref="D1" authorId="0" shapeId="0" xr:uid="{775795E9-59A4-4C2B-9D0B-970CC03CF14A}">
      <text>
        <t>[Threaded comment]
Your version of Excel allows you to read this threaded comment; however, any edits to it will get removed if the file is opened in a newer version of Excel. Learn more: https://go.microsoft.com/fwlink/?linkid=870924
Comment:
    C:\Users\kghoward\Desktop\Rockfish SF Harvest reconstruction\R code\logbook_harvest</t>
      </text>
    </comment>
    <comment ref="E1" authorId="1" shapeId="0" xr:uid="{85D5FC7A-24C2-4223-8707-6B719028EF92}">
      <text>
        <t>[Threaded comment]
Your version of Excel allows you to read this threaded comment; however, any edits to it will get removed if the file is opened in a newer version of Excel. Learn more: https://go.microsoft.com/fwlink/?linkid=870924
Comment:
    SWHS data with too few respondents: 
mainland and westside=WKMA
SOUTHEAST, SOUTHWEST = SKMA
EYKT and IBS=EWYKT</t>
      </text>
    </comment>
    <comment ref="K1" authorId="2" shapeId="0" xr:uid="{AA9E4D02-CF20-4B46-8624-D9D4257BE7DB}">
      <text>
        <t>[Threaded comment]
Your version of Excel allows you to read this threaded comment; however, any edits to it will get removed if the file is opened in a newer version of Excel. Learn more: https://go.microsoft.com/fwlink/?linkid=870924
Comment:
    =logbook CFMU RF harvest /guided proportion SWHS RF harvest</t>
      </text>
    </comment>
    <comment ref="L1" authorId="3" shapeId="0" xr:uid="{6ED5C177-5F75-486B-AE5C-4D8904CC603D}">
      <text>
        <t>[Threaded comment]
Your version of Excel allows you to read this threaded comment; however, any edits to it will get removed if the file is opened in a newer version of Excel. Learn more: https://go.microsoft.com/fwlink/?linkid=870924
Comment:
    =logbook CFMU RF harvest /guided proportion SWHS RF harvest
Reply:
    pre-2011 bootstrapping needed for variance estimates</t>
      </text>
    </comment>
    <comment ref="P1" authorId="4" shapeId="0" xr:uid="{4A58EEE8-6932-45F5-8E80-9D47700F3E8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variances of log_rfharv and TOTAL_rfharv. since logbook assume variance of zero, variance = that of total harvest estimate</t>
      </text>
    </comment>
    <comment ref="E26" authorId="5" shapeId="0" xr:uid="{DB4E246C-B848-44B5-B5A0-4074E6099624}">
      <text>
        <t>[Threaded comment]
Your version of Excel allows you to read this threaded comment; however, any edits to it will get removed if the file is opened in a newer version of Excel. Learn more: https://go.microsoft.com/fwlink/?linkid=870924
Comment:
    47 respondents under 50, but using anyway since it would match recent years and no other alternatives.</t>
      </text>
    </comment>
    <comment ref="E50" authorId="6" shapeId="0" xr:uid="{71778DE7-2B1C-4FA2-932B-E5152DEBDA56}">
      <text>
        <r>
          <rPr>
            <b/>
            <sz val="9"/>
            <color indexed="81"/>
            <rFont val="Tahoma"/>
            <family val="2"/>
          </rPr>
          <t>Webster, Sarah R (DFG):</t>
        </r>
        <r>
          <rPr>
            <sz val="9"/>
            <color indexed="81"/>
            <rFont val="Tahoma"/>
            <family val="2"/>
          </rPr>
          <t xml:space="preserve">
Subbed Afognak due to low sample size</t>
        </r>
      </text>
    </comment>
    <comment ref="E51" authorId="7" shapeId="0" xr:uid="{2689698F-4480-4BF6-8F1C-64C50F490E5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Low sample size (41) but don’t want to use Afognak because also low sample size. </t>
      </text>
    </comment>
    <comment ref="E65" authorId="8" shapeId="0" xr:uid="{AF43EECD-E180-4969-BCA0-8F194CBC2935}">
      <text>
        <t>[Threaded comment]
Your version of Excel allows you to read this threaded comment; however, any edits to it will get removed if the file is opened in a newer version of Excel. Learn more: https://go.microsoft.com/fwlink/?linkid=870924
Comment:
    substitute WKMA as best surrogate</t>
      </text>
    </comment>
    <comment ref="E70" authorId="6" shapeId="0" xr:uid="{BBD3AEE7-598F-42D5-9937-D952ADCB520E}">
      <text>
        <r>
          <rPr>
            <b/>
            <sz val="9"/>
            <color indexed="81"/>
            <rFont val="Tahoma"/>
            <family val="2"/>
          </rPr>
          <t>Webster, Sarah R (DFG):</t>
        </r>
        <r>
          <rPr>
            <sz val="9"/>
            <color indexed="81"/>
            <rFont val="Tahoma"/>
            <family val="2"/>
          </rPr>
          <t xml:space="preserve">
Subbed Eastside due to low sample size</t>
        </r>
      </text>
    </comment>
    <comment ref="E73" authorId="6" shapeId="0" xr:uid="{C49A57B3-5033-468C-AAA2-FC321DE24580}">
      <text>
        <r>
          <rPr>
            <b/>
            <sz val="9"/>
            <color indexed="81"/>
            <rFont val="Tahoma"/>
            <family val="2"/>
          </rPr>
          <t>Webster, Sarah R (DFG):</t>
        </r>
        <r>
          <rPr>
            <sz val="9"/>
            <color indexed="81"/>
            <rFont val="Tahoma"/>
            <family val="2"/>
          </rPr>
          <t xml:space="preserve">
Subbed Eastside due to low sample size</t>
        </r>
      </text>
    </comment>
    <comment ref="E75" authorId="6" shapeId="0" xr:uid="{4CA7A858-C07D-4C61-8223-169CF13CB087}">
      <text>
        <r>
          <rPr>
            <b/>
            <sz val="9"/>
            <color indexed="81"/>
            <rFont val="Tahoma"/>
            <family val="2"/>
          </rPr>
          <t>Webster, Sarah R (DFG):</t>
        </r>
        <r>
          <rPr>
            <sz val="9"/>
            <color indexed="81"/>
            <rFont val="Tahoma"/>
            <family val="2"/>
          </rPr>
          <t xml:space="preserve">
Subbed Afognak due to low sample size</t>
        </r>
      </text>
    </comment>
    <comment ref="E76" authorId="9" shapeId="0" xr:uid="{7833E81E-5A68-4F98-88DC-EE589F8A9AB2}">
      <text>
        <t>[Threaded comment]
Your version of Excel allows you to read this threaded comment; however, any edits to it will get removed if the file is opened in a newer version of Excel. Learn more: https://go.microsoft.com/fwlink/?linkid=870924
Comment:
    Subbed Afognak because of low sample size</t>
      </text>
    </comment>
    <comment ref="F76" authorId="10" shapeId="0" xr:uid="{B501C9FD-FEB3-406B-AA02-8E4333B814F1}">
      <text>
        <t>[Threaded comment]
Your version of Excel allows you to read this threaded comment; however, any edits to it will get removed if the file is opened in a newer version of Excel. Learn more: https://go.microsoft.com/fwlink/?linkid=870924
Comment:
    Subbed Afognak because of low sample size</t>
      </text>
    </comment>
    <comment ref="G76" authorId="11" shapeId="0" xr:uid="{C0F93926-8F3D-4088-BC55-955E3C876275}">
      <text>
        <t>[Threaded comment]
Your version of Excel allows you to read this threaded comment; however, any edits to it will get removed if the file is opened in a newer version of Excel. Learn more: https://go.microsoft.com/fwlink/?linkid=870924
Comment:
    Subbed Afognak because of low sample size</t>
      </text>
    </comment>
    <comment ref="H76" authorId="12" shapeId="0" xr:uid="{FA48B479-4D71-4F49-B8DE-41DB973984FD}">
      <text>
        <t>[Threaded comment]
Your version of Excel allows you to read this threaded comment; however, any edits to it will get removed if the file is opened in a newer version of Excel. Learn more: https://go.microsoft.com/fwlink/?linkid=870924
Comment:
    Subbed Afognak because of low sample size</t>
      </text>
    </comment>
    <comment ref="E121" authorId="13" shapeId="0" xr:uid="{5A0F5DCC-2B3C-438C-A0B4-9B74718FE666}">
      <text>
        <t>[Threaded comment]
Your version of Excel allows you to read this threaded comment; however, any edits to it will get removed if the file is opened in a newer version of Excel. Learn more: https://go.microsoft.com/fwlink/?linkid=870924
Comment:
    Subbed Westside due to low sample - more consistent proportions than northeast (nearest neighbor)</t>
      </text>
    </comment>
    <comment ref="E125" authorId="6" shapeId="0" xr:uid="{8AA296C9-3967-4130-8608-2EF0CD13FCDA}">
      <text>
        <r>
          <rPr>
            <b/>
            <sz val="9"/>
            <color indexed="81"/>
            <rFont val="Tahoma"/>
            <family val="2"/>
          </rPr>
          <t>Webster, Sarah R (DFG):</t>
        </r>
        <r>
          <rPr>
            <sz val="9"/>
            <color indexed="81"/>
            <rFont val="Tahoma"/>
            <family val="2"/>
          </rPr>
          <t xml:space="preserve">
Subbed Afognak due to low sample size</t>
        </r>
      </text>
    </comment>
    <comment ref="E126" authorId="14" shapeId="0" xr:uid="{9AD36856-1E35-4919-B19C-A9099B07E2B6}">
      <text>
        <t>[Threaded comment]
Your version of Excel allows you to read this threaded comment; however, any edits to it will get removed if the file is opened in a newer version of Excel. Learn more: https://go.microsoft.com/fwlink/?linkid=870924
Comment:
    Subbed Afognak because of low sample size</t>
      </text>
    </comment>
    <comment ref="F126" authorId="15" shapeId="0" xr:uid="{B4C9B029-743D-4159-8E82-DD6FC0D07EEE}">
      <text>
        <t>[Threaded comment]
Your version of Excel allows you to read this threaded comment; however, any edits to it will get removed if the file is opened in a newer version of Excel. Learn more: https://go.microsoft.com/fwlink/?linkid=870924
Comment:
    Subbed Afognak because of low sample size</t>
      </text>
    </comment>
    <comment ref="G126" authorId="16" shapeId="0" xr:uid="{F0FFDDEE-A4DA-447F-A4D5-31BFD562B243}">
      <text>
        <t>[Threaded comment]
Your version of Excel allows you to read this threaded comment; however, any edits to it will get removed if the file is opened in a newer version of Excel. Learn more: https://go.microsoft.com/fwlink/?linkid=870924
Comment:
    Subbed Afognak because of low sample size</t>
      </text>
    </comment>
    <comment ref="H126" authorId="17" shapeId="0" xr:uid="{0801D007-3BFC-4CE0-9126-DB22DD3E18C0}">
      <text>
        <t>[Threaded comment]
Your version of Excel allows you to read this threaded comment; however, any edits to it will get removed if the file is opened in a newer version of Excel. Learn more: https://go.microsoft.com/fwlink/?linkid=870924
Comment:
    Subbed Afognak because of low sample size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tc={CDEF81F2-575A-4396-92F0-157572F31FB5}</author>
    <author>tc={F6C31A2C-E692-40FE-9BCF-418DC29BCE93}</author>
    <author>tc={37717508-8924-41EE-BD2E-DBB495D51F38}</author>
    <author>tc={35011469-C84D-4FE4-9515-70FC1774D3C5}</author>
  </authors>
  <commentList>
    <comment ref="D2" authorId="0" shapeId="0" xr:uid="{CDEF81F2-575A-4396-92F0-157572F31FB5}">
      <text>
        <t>[Threaded comment]
Your version of Excel allows you to read this threaded comment; however, any edits to it will get removed if the file is opened in a newer version of Excel. Learn more: https://go.microsoft.com/fwlink/?linkid=870924
Comment:
    C:\Users\kghoward\Desktop\Rockfish SF Harvest reconstruction\R code\logbook_harvest</t>
      </text>
    </comment>
    <comment ref="F2" authorId="1" shapeId="0" xr:uid="{F6C31A2C-E692-40FE-9BCF-418DC29BCE93}">
      <text>
        <t>[Threaded comment]
Your version of Excel allows you to read this threaded comment; however, any edits to it will get removed if the file is opened in a newer version of Excel. Learn more: https://go.microsoft.com/fwlink/?linkid=870924
Comment:
    Substitutions when no port sample data available:
1. AFOGNAK &amp; WKMA = NORTHEAST
2. SKMA = EASTSIDE</t>
      </text>
    </comment>
    <comment ref="N2" authorId="2" shapeId="0" xr:uid="{37717508-8924-41EE-BD2E-DBB495D51F38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variances of log_rfharv and TOTAL_rfharv. since logbook assume variance of zero, variance = that of total harvest estimate</t>
      </text>
    </comment>
    <comment ref="O2" authorId="3" shapeId="0" xr:uid="{35011469-C84D-4FE4-9515-70FC1774D3C5}">
      <text>
        <t>[Threaded comment]
Your version of Excel allows you to read this threaded comment; however, any edits to it will get removed if the file is opened in a newer version of Excel. Learn more: https://go.microsoft.com/fwlink/?linkid=870924
Comment:
    Substitutions when no port sample data available:
1. AFOGNAK &amp; WKMA &amp; SKMA &amp; EASTSIDE = NORTHEAST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tc={5536D63F-8920-4E36-8CC8-1A7F12ED2E6C}</author>
    <author>tc={D3FDD8F1-8010-4BF3-997A-CBBA4560959A}</author>
  </authors>
  <commentList>
    <comment ref="G2" authorId="0" shapeId="0" xr:uid="{5536D63F-8920-4E36-8CC8-1A7F12ED2E6C}">
      <text>
        <t>[Threaded comment]
Your version of Excel allows you to read this threaded comment; however, any edits to it will get removed if the file is opened in a newer version of Excel. Learn more: https://go.microsoft.com/fwlink/?linkid=870924
Comment:
    Substitutions when no port sample data available from mean logbook proportions (AFOGNAK, WKMA, SKMA, CI, EASTSIDE, NORTHEAST)</t>
      </text>
    </comment>
    <comment ref="O2" authorId="1" shapeId="0" xr:uid="{D3FDD8F1-8010-4BF3-997A-CBBA4560959A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variances of log_rfharv and TOTAL_rfharv. since logbook assume variance of zero, variance = that of total harvest estimate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tc={A42CC030-ACEC-4060-8312-7F444929EA9A}</author>
    <author>tc={395E7875-D433-406A-9CB6-B8379504EDE7}</author>
  </authors>
  <commentList>
    <comment ref="F2" authorId="0" shapeId="0" xr:uid="{A42CC030-ACEC-4060-8312-7F444929EA9A}">
      <text>
        <t>[Threaded comment]
Your version of Excel allows you to read this threaded comment; however, any edits to it will get removed if the file is opened in a newer version of Excel. Learn more: https://go.microsoft.com/fwlink/?linkid=870924
Comment:
    Substitutions when no port sample data available from mean logbook proportions (AFOGNAK, WKMA, SKMA, CI, EASTSIDE, NORTHEAST)</t>
      </text>
    </comment>
    <comment ref="N2" authorId="1" shapeId="0" xr:uid="{395E7875-D433-406A-9CB6-B8379504EDE7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variances of log_rfharv and TOTAL_rfharv. since logbook assume variance of zero, variance = that of total harvest estimate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tc={08A33481-555A-4897-B499-BB6394654238}</author>
    <author>tc={214489EA-54E8-488C-9644-E3D8984FBD97}</author>
  </authors>
  <commentList>
    <comment ref="F2" authorId="0" shapeId="0" xr:uid="{08A33481-555A-4897-B499-BB6394654238}">
      <text>
        <t>[Threaded comment]
Your version of Excel allows you to read this threaded comment; however, any edits to it will get removed if the file is opened in a newer version of Excel. Learn more: https://go.microsoft.com/fwlink/?linkid=870924
Comment:
    Substitutions when no port sample data available from mean logbook proportions (AFOGNAK, WKMA, SKMA, CI, EASTSIDE, NORTHEAST)</t>
      </text>
    </comment>
    <comment ref="N2" authorId="1" shapeId="0" xr:uid="{214489EA-54E8-488C-9644-E3D8984FBD97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variances of log_rfharv and TOTAL_rfharv. since logbook assume variance of zero, variance = that of total harvest estimate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tc={6A782F1B-EE30-4623-A70E-0F248925A880}</author>
    <author>tc={8C8DE39C-9C9D-4C4C-AFEE-9B7D1EB24BE1}</author>
  </authors>
  <commentList>
    <comment ref="C1" authorId="0" shapeId="0" xr:uid="{6A782F1B-EE30-4623-A70E-0F248925A880}">
      <text>
        <t>[Threaded comment]
Your version of Excel allows you to read this threaded comment; however, any edits to it will get removed if the file is opened in a newer version of Excel. Learn more: https://go.microsoft.com/fwlink/?linkid=870924
Comment:
    C:\Users\kghoward\Desktop\Rockfish SF Harvest reconstruction\R code\logbook_harvest</t>
      </text>
    </comment>
    <comment ref="D1" authorId="1" shapeId="0" xr:uid="{8C8DE39C-9C9D-4C4C-AFEE-9B7D1EB24BE1}">
      <text>
        <t>[Threaded comment]
Your version of Excel allows you to read this threaded comment; however, any edits to it will get removed if the file is opened in a newer version of Excel. Learn more: https://go.microsoft.com/fwlink/?linkid=870924
Comment:
    SWHS data with too few respondents: BSAI - Bering and aleutian
mainland and westside=WKMA
Chignik, SAKPEN, SOUTHEAST, SOUTHWEST = SOKO2SAP
EYKT and IBS=EWT</t>
      </text>
    </comment>
  </commentList>
</comments>
</file>

<file path=xl/sharedStrings.xml><?xml version="1.0" encoding="utf-8"?>
<sst xmlns="http://schemas.openxmlformats.org/spreadsheetml/2006/main" count="1855" uniqueCount="326">
  <si>
    <t>Excel version SF harvest reconstruction</t>
  </si>
  <si>
    <t>Region</t>
  </si>
  <si>
    <t>year</t>
  </si>
  <si>
    <t>RptArea</t>
  </si>
  <si>
    <t>Log_rfharv</t>
  </si>
  <si>
    <t>PRIV_rfharv</t>
  </si>
  <si>
    <t>guiSWHS_rfharv</t>
  </si>
  <si>
    <t>var_guiSWHS_rfharv</t>
  </si>
  <si>
    <t>var_PRIV_rfharv</t>
  </si>
  <si>
    <t>BRF</t>
  </si>
  <si>
    <t>YE</t>
  </si>
  <si>
    <t xml:space="preserve">a. CFMUs with port samples </t>
  </si>
  <si>
    <t>4. Sum private and guided harvests</t>
  </si>
  <si>
    <t>Release - same methods as above steps 1-4</t>
  </si>
  <si>
    <t>Gui_rfharv</t>
  </si>
  <si>
    <t>sqrt_GuiBRF</t>
  </si>
  <si>
    <t>GUIDED</t>
  </si>
  <si>
    <t>UNGUIDED</t>
  </si>
  <si>
    <t>sqrt_GuiYE</t>
  </si>
  <si>
    <t>sqrt_PrivBRF</t>
  </si>
  <si>
    <t>GuiBRF_UPRLWR95</t>
  </si>
  <si>
    <t>PrivBRF_UPRLWR95</t>
  </si>
  <si>
    <t>sqrt_totalBRF</t>
  </si>
  <si>
    <t>TotalBRF_UPRLWR95</t>
  </si>
  <si>
    <t>GuiYE_UPRLWR95</t>
  </si>
  <si>
    <t>sqrt_PRivYE</t>
  </si>
  <si>
    <t>PrivYE_UPRLWR95</t>
  </si>
  <si>
    <t>sqrt_TotalYE</t>
  </si>
  <si>
    <t>TotalYE_UPRLWR95</t>
  </si>
  <si>
    <t>TOTAL</t>
  </si>
  <si>
    <t>RFharv_UPRLWR95</t>
  </si>
  <si>
    <t>sd_privrfharv</t>
  </si>
  <si>
    <t>privrfharv_UPERLWR95</t>
  </si>
  <si>
    <t>sd_Rfharv</t>
  </si>
  <si>
    <t>Year</t>
  </si>
  <si>
    <t>Afognak</t>
  </si>
  <si>
    <t>Northeast</t>
  </si>
  <si>
    <t>95% CI</t>
  </si>
  <si>
    <t>NSEI</t>
  </si>
  <si>
    <t>SSEI</t>
  </si>
  <si>
    <t>SSEO</t>
  </si>
  <si>
    <t>NSEO</t>
  </si>
  <si>
    <t>CSEO</t>
  </si>
  <si>
    <t>sd_guiSWHS_rfharv</t>
  </si>
  <si>
    <t>IBS/EYKT</t>
  </si>
  <si>
    <t>AFOGNAK</t>
  </si>
  <si>
    <t>BSAI</t>
  </si>
  <si>
    <t>CI</t>
  </si>
  <si>
    <t>EASTSIDE</t>
  </si>
  <si>
    <t>NG</t>
  </si>
  <si>
    <t>NORTHEAS</t>
  </si>
  <si>
    <t>PWSI</t>
  </si>
  <si>
    <t>PWSO</t>
  </si>
  <si>
    <t>SOKO2SAP</t>
  </si>
  <si>
    <t>WKMA</t>
  </si>
  <si>
    <t>Report Area</t>
  </si>
  <si>
    <t>% Years SWHS guided estimate 95% CI includes logbook census</t>
  </si>
  <si>
    <t>SWHS doesn't meet sample size for accurate SE estimation</t>
  </si>
  <si>
    <r>
      <t>Log_rfharv (</t>
    </r>
    <r>
      <rPr>
        <i/>
        <sz val="11"/>
        <color theme="1"/>
        <rFont val="Calibri"/>
        <family val="2"/>
        <scheme val="minor"/>
      </rPr>
      <t>G</t>
    </r>
    <r>
      <rPr>
        <i/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</si>
  <si>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r>
      <t>guiSWHS_rfharv (</t>
    </r>
    <r>
      <rPr>
        <i/>
        <sz val="11"/>
        <color theme="1"/>
        <rFont val="Calibri"/>
        <family val="2"/>
        <scheme val="minor"/>
      </rPr>
      <t>G-hat</t>
    </r>
    <r>
      <rPr>
        <i/>
        <vertAlign val="subscript"/>
        <sz val="11"/>
        <color theme="1"/>
        <rFont val="Calibri"/>
        <family val="2"/>
        <scheme val="minor"/>
      </rPr>
      <t>Si</t>
    </r>
    <r>
      <rPr>
        <sz val="11"/>
        <color theme="1"/>
        <rFont val="Calibri"/>
        <family val="2"/>
        <scheme val="minor"/>
      </rPr>
      <t>)</t>
    </r>
  </si>
  <si>
    <r>
      <t>var_guiSWHS_rfharv (</t>
    </r>
    <r>
      <rPr>
        <i/>
        <sz val="11"/>
        <color theme="1"/>
        <rFont val="Calibri"/>
        <family val="2"/>
        <scheme val="minor"/>
      </rPr>
      <t>var G-hat</t>
    </r>
    <r>
      <rPr>
        <i/>
        <vertAlign val="subscript"/>
        <sz val="11"/>
        <color theme="1"/>
        <rFont val="Calibri"/>
        <family val="2"/>
        <scheme val="minor"/>
      </rPr>
      <t>Si</t>
    </r>
    <r>
      <rPr>
        <sz val="11"/>
        <color theme="1"/>
        <rFont val="Calibri"/>
        <family val="2"/>
        <scheme val="minor"/>
      </rPr>
      <t>)</t>
    </r>
  </si>
  <si>
    <r>
      <t>privSWHS_rfharv (</t>
    </r>
    <r>
      <rPr>
        <i/>
        <sz val="11"/>
        <color theme="1"/>
        <rFont val="Calibri"/>
        <family val="2"/>
        <scheme val="minor"/>
      </rPr>
      <t>U-hat</t>
    </r>
    <r>
      <rPr>
        <i/>
        <vertAlign val="subscript"/>
        <sz val="11"/>
        <color theme="1"/>
        <rFont val="Calibri"/>
        <family val="2"/>
        <scheme val="minor"/>
      </rPr>
      <t>Si</t>
    </r>
    <r>
      <rPr>
        <sz val="11"/>
        <color theme="1"/>
        <rFont val="Calibri"/>
        <family val="2"/>
        <scheme val="minor"/>
      </rPr>
      <t>)</t>
    </r>
  </si>
  <si>
    <r>
      <t>var_privSWHS_rfharv (</t>
    </r>
    <r>
      <rPr>
        <i/>
        <sz val="11"/>
        <color theme="1"/>
        <rFont val="Calibri"/>
        <family val="2"/>
        <scheme val="minor"/>
      </rPr>
      <t>var U-hat</t>
    </r>
    <r>
      <rPr>
        <i/>
        <vertAlign val="subscript"/>
        <sz val="11"/>
        <color theme="1"/>
        <rFont val="Calibri"/>
        <family val="2"/>
        <scheme val="minor"/>
      </rPr>
      <t>Si</t>
    </r>
    <r>
      <rPr>
        <sz val="11"/>
        <color theme="1"/>
        <rFont val="Calibri"/>
        <family val="2"/>
        <scheme val="minor"/>
      </rPr>
      <t>)</t>
    </r>
  </si>
  <si>
    <r>
      <t>SWHS_gprop (</t>
    </r>
    <r>
      <rPr>
        <i/>
        <sz val="11"/>
        <color theme="1"/>
        <rFont val="Calibri"/>
        <family val="2"/>
        <scheme val="minor"/>
      </rPr>
      <t>p-hat</t>
    </r>
    <r>
      <rPr>
        <i/>
        <vertAlign val="subscript"/>
        <sz val="11"/>
        <color theme="1"/>
        <rFont val="Calibri"/>
        <family val="2"/>
        <scheme val="minor"/>
      </rPr>
      <t>gi</t>
    </r>
    <r>
      <rPr>
        <sz val="11"/>
        <color theme="1"/>
        <rFont val="Calibri"/>
        <family val="2"/>
        <scheme val="minor"/>
      </rPr>
      <t>)</t>
    </r>
  </si>
  <si>
    <r>
      <t>var_SWHS_gprop (</t>
    </r>
    <r>
      <rPr>
        <i/>
        <sz val="11"/>
        <color theme="1"/>
        <rFont val="Calibri"/>
        <family val="2"/>
        <scheme val="minor"/>
      </rPr>
      <t>var p-hat</t>
    </r>
    <r>
      <rPr>
        <i/>
        <vertAlign val="subscript"/>
        <sz val="11"/>
        <color theme="1"/>
        <rFont val="Calibri"/>
        <family val="2"/>
        <scheme val="minor"/>
      </rPr>
      <t>gi</t>
    </r>
    <r>
      <rPr>
        <sz val="11"/>
        <color theme="1"/>
        <rFont val="Calibri"/>
        <family val="2"/>
        <scheme val="minor"/>
      </rPr>
      <t>)</t>
    </r>
  </si>
  <si>
    <r>
      <t>PRIV_rfharv (</t>
    </r>
    <r>
      <rPr>
        <i/>
        <sz val="11"/>
        <color theme="1"/>
        <rFont val="Calibri"/>
        <family val="2"/>
        <scheme val="minor"/>
      </rPr>
      <t>U-hat</t>
    </r>
    <r>
      <rPr>
        <i/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</si>
  <si>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r>
      <t>var_PRIV_rfharv (</t>
    </r>
    <r>
      <rPr>
        <i/>
        <sz val="11"/>
        <color theme="1"/>
        <rFont val="Calibri"/>
        <family val="2"/>
        <scheme val="minor"/>
      </rPr>
      <t>var U-hat</t>
    </r>
    <r>
      <rPr>
        <i/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</si>
  <si>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Calibri"/>
        <family val="2"/>
        <scheme val="minor"/>
      </rPr>
      <t xml:space="preserve">TOTAL_rfharv </t>
    </r>
    <r>
      <rPr>
        <i/>
        <sz val="11"/>
        <color theme="1"/>
        <rFont val="Calibri"/>
        <family val="2"/>
        <scheme val="minor"/>
      </rPr>
      <t>(H-hati)</t>
    </r>
  </si>
  <si>
    <r>
      <rPr>
        <sz val="11"/>
        <color theme="1"/>
        <rFont val="Calibri"/>
        <family val="2"/>
        <scheme val="minor"/>
      </rPr>
      <t xml:space="preserve">var_TOTAL_rfharv </t>
    </r>
    <r>
      <rPr>
        <i/>
        <sz val="11"/>
        <color theme="1"/>
        <rFont val="Calibri"/>
        <family val="2"/>
        <scheme val="minor"/>
      </rPr>
      <t>(var H-hati)</t>
    </r>
  </si>
  <si>
    <r>
      <t>Gui_pelharv (</t>
    </r>
    <r>
      <rPr>
        <i/>
        <sz val="11"/>
        <color theme="1"/>
        <rFont val="Calibri"/>
        <family val="2"/>
        <scheme val="minor"/>
      </rPr>
      <t>G</t>
    </r>
    <r>
      <rPr>
        <i/>
        <vertAlign val="subscript"/>
        <sz val="11"/>
        <color theme="1"/>
        <rFont val="Calibri"/>
        <family val="2"/>
        <scheme val="minor"/>
      </rPr>
      <t>Pi</t>
    </r>
    <r>
      <rPr>
        <sz val="11"/>
        <color theme="1"/>
        <rFont val="Calibri"/>
        <family val="2"/>
        <scheme val="minor"/>
      </rPr>
      <t>)</t>
    </r>
  </si>
  <si>
    <r>
      <t>GuiBRF (</t>
    </r>
    <r>
      <rPr>
        <b/>
        <i/>
        <sz val="11"/>
        <color theme="1"/>
        <rFont val="Calibri"/>
        <family val="2"/>
        <scheme val="minor"/>
      </rPr>
      <t>G-hat</t>
    </r>
    <r>
      <rPr>
        <b/>
        <i/>
        <vertAlign val="subscript"/>
        <sz val="11"/>
        <color theme="1"/>
        <rFont val="Calibri"/>
        <family val="2"/>
        <scheme val="minor"/>
      </rPr>
      <t>Bi</t>
    </r>
    <r>
      <rPr>
        <b/>
        <sz val="11"/>
        <color theme="1"/>
        <rFont val="Calibri"/>
        <family val="2"/>
        <scheme val="minor"/>
      </rPr>
      <t>)</t>
    </r>
  </si>
  <si>
    <r>
      <t>var_GuiBRF (</t>
    </r>
    <r>
      <rPr>
        <i/>
        <sz val="11"/>
        <color theme="1"/>
        <rFont val="Calibri"/>
        <family val="2"/>
        <scheme val="minor"/>
      </rPr>
      <t>var G-hat</t>
    </r>
    <r>
      <rPr>
        <i/>
        <vertAlign val="subscript"/>
        <sz val="11"/>
        <color theme="1"/>
        <rFont val="Calibri"/>
        <family val="2"/>
        <scheme val="minor"/>
      </rPr>
      <t>Bi</t>
    </r>
    <r>
      <rPr>
        <sz val="11"/>
        <color theme="1"/>
        <rFont val="Calibri"/>
        <family val="2"/>
        <scheme val="minor"/>
      </rPr>
      <t>)</t>
    </r>
  </si>
  <si>
    <r>
      <t>gui_var_p(BRFinPel) (</t>
    </r>
    <r>
      <rPr>
        <i/>
        <sz val="11"/>
        <color theme="1"/>
        <rFont val="Calibri"/>
        <family val="2"/>
        <scheme val="minor"/>
      </rPr>
      <t>var p-hat</t>
    </r>
    <r>
      <rPr>
        <i/>
        <vertAlign val="subscript"/>
        <sz val="11"/>
        <color theme="1"/>
        <rFont val="Calibri"/>
        <family val="2"/>
        <scheme val="minor"/>
      </rPr>
      <t>bgi)</t>
    </r>
  </si>
  <si>
    <r>
      <t>gui_p(BRFinPel) (</t>
    </r>
    <r>
      <rPr>
        <i/>
        <sz val="11"/>
        <color theme="1"/>
        <rFont val="Calibri"/>
        <family val="2"/>
        <scheme val="minor"/>
      </rPr>
      <t>p-hat</t>
    </r>
    <r>
      <rPr>
        <i/>
        <vertAlign val="subscript"/>
        <sz val="11"/>
        <color theme="1"/>
        <rFont val="Calibri"/>
        <family val="2"/>
        <scheme val="minor"/>
      </rPr>
      <t>bgi)</t>
    </r>
  </si>
  <si>
    <r>
      <t>priv_p(BRF) (</t>
    </r>
    <r>
      <rPr>
        <i/>
        <sz val="11"/>
        <color theme="1"/>
        <rFont val="Calibri"/>
        <family val="2"/>
        <scheme val="minor"/>
      </rPr>
      <t>p-hat</t>
    </r>
    <r>
      <rPr>
        <i/>
        <vertAlign val="subscript"/>
        <sz val="11"/>
        <color theme="1"/>
        <rFont val="Calibri"/>
        <family val="2"/>
        <scheme val="minor"/>
      </rPr>
      <t>Bui</t>
    </r>
    <r>
      <rPr>
        <sz val="11"/>
        <color theme="1"/>
        <rFont val="Calibri"/>
        <family val="2"/>
        <scheme val="minor"/>
      </rPr>
      <t>)</t>
    </r>
  </si>
  <si>
    <r>
      <t>priv_var_p(BRF) (</t>
    </r>
    <r>
      <rPr>
        <i/>
        <sz val="11"/>
        <color theme="1"/>
        <rFont val="Calibri"/>
        <family val="2"/>
        <scheme val="minor"/>
      </rPr>
      <t>var p-hat</t>
    </r>
    <r>
      <rPr>
        <i/>
        <vertAlign val="subscript"/>
        <sz val="11"/>
        <color theme="1"/>
        <rFont val="Calibri"/>
        <family val="2"/>
        <scheme val="minor"/>
      </rPr>
      <t>Bui</t>
    </r>
    <r>
      <rPr>
        <sz val="11"/>
        <color theme="1"/>
        <rFont val="Calibri"/>
        <family val="2"/>
        <scheme val="minor"/>
      </rPr>
      <t>)</t>
    </r>
  </si>
  <si>
    <r>
      <t>PRIV_BRF (</t>
    </r>
    <r>
      <rPr>
        <i/>
        <sz val="11"/>
        <color theme="1"/>
        <rFont val="Calibri"/>
        <family val="2"/>
        <scheme val="minor"/>
      </rPr>
      <t>U-hat</t>
    </r>
    <r>
      <rPr>
        <i/>
        <vertAlign val="subscript"/>
        <sz val="11"/>
        <color theme="1"/>
        <rFont val="Calibri"/>
        <family val="2"/>
        <scheme val="minor"/>
      </rPr>
      <t>Bi</t>
    </r>
    <r>
      <rPr>
        <sz val="11"/>
        <color theme="1"/>
        <rFont val="Calibri"/>
        <family val="2"/>
        <scheme val="minor"/>
      </rPr>
      <t>)</t>
    </r>
  </si>
  <si>
    <r>
      <t>GuiYE (</t>
    </r>
    <r>
      <rPr>
        <b/>
        <i/>
        <sz val="11"/>
        <color theme="1"/>
        <rFont val="Calibri"/>
        <family val="2"/>
        <scheme val="minor"/>
      </rPr>
      <t>G</t>
    </r>
    <r>
      <rPr>
        <b/>
        <i/>
        <vertAlign val="subscript"/>
        <sz val="11"/>
        <color theme="1"/>
        <rFont val="Calibri"/>
        <family val="2"/>
        <scheme val="minor"/>
      </rPr>
      <t>Yi</t>
    </r>
    <r>
      <rPr>
        <b/>
        <i/>
        <sz val="11"/>
        <color theme="1"/>
        <rFont val="Calibri"/>
        <family val="2"/>
        <scheme val="minor"/>
      </rPr>
      <t xml:space="preserve"> and G-hat</t>
    </r>
    <r>
      <rPr>
        <b/>
        <i/>
        <vertAlign val="subscript"/>
        <sz val="11"/>
        <color theme="1"/>
        <rFont val="Calibri"/>
        <family val="2"/>
        <scheme val="minor"/>
      </rPr>
      <t>Yi</t>
    </r>
    <r>
      <rPr>
        <b/>
        <sz val="11"/>
        <color theme="1"/>
        <rFont val="Calibri"/>
        <family val="2"/>
        <scheme val="minor"/>
      </rPr>
      <t>)</t>
    </r>
  </si>
  <si>
    <r>
      <t>Gui_Nonpelharv (</t>
    </r>
    <r>
      <rPr>
        <i/>
        <sz val="11"/>
        <color theme="1"/>
        <rFont val="Calibri"/>
        <family val="2"/>
        <scheme val="minor"/>
      </rPr>
      <t>G</t>
    </r>
    <r>
      <rPr>
        <i/>
        <vertAlign val="subscript"/>
        <sz val="11"/>
        <color theme="1"/>
        <rFont val="Calibri"/>
        <family val="2"/>
        <scheme val="minor"/>
      </rPr>
      <t>Ni</t>
    </r>
    <r>
      <rPr>
        <sz val="11"/>
        <color theme="1"/>
        <rFont val="Calibri"/>
        <family val="2"/>
        <scheme val="minor"/>
      </rPr>
      <t>)</t>
    </r>
  </si>
  <si>
    <r>
      <t>Gui_Yeharv (</t>
    </r>
    <r>
      <rPr>
        <i/>
        <sz val="11"/>
        <color theme="1"/>
        <rFont val="Calibri"/>
        <family val="2"/>
        <scheme val="minor"/>
      </rPr>
      <t>G</t>
    </r>
    <r>
      <rPr>
        <i/>
        <vertAlign val="subscript"/>
        <sz val="11"/>
        <color theme="1"/>
        <rFont val="Calibri"/>
        <family val="2"/>
        <scheme val="minor"/>
      </rPr>
      <t>Yi</t>
    </r>
    <r>
      <rPr>
        <sz val="11"/>
        <color theme="1"/>
        <rFont val="Calibri"/>
        <family val="2"/>
        <scheme val="minor"/>
      </rPr>
      <t>)</t>
    </r>
  </si>
  <si>
    <t>Substitute neighboring CFMU values</t>
  </si>
  <si>
    <t>SC</t>
  </si>
  <si>
    <t>SKMA</t>
  </si>
  <si>
    <t>EWYKT</t>
  </si>
  <si>
    <t>average used because sample size &lt;100</t>
  </si>
  <si>
    <t>SWHS rockfish</t>
  </si>
  <si>
    <t>Est rockfish</t>
  </si>
  <si>
    <t>% diff</t>
  </si>
  <si>
    <t>SWHS g+u</t>
  </si>
  <si>
    <t>logbook g</t>
  </si>
  <si>
    <t>YEAR</t>
  </si>
  <si>
    <t>NORTHEAST</t>
  </si>
  <si>
    <t>LB</t>
  </si>
  <si>
    <t>logbook proportion used</t>
  </si>
  <si>
    <t>Total Rockfish Harvest</t>
  </si>
  <si>
    <t>BLACK Rockfish Harvest</t>
  </si>
  <si>
    <t>YELLOWEYE Rockfish Harvest</t>
  </si>
  <si>
    <t xml:space="preserve">b. CFMU without adequate SWHS responses: use proportion from neighboring CFMU </t>
  </si>
  <si>
    <t xml:space="preserve">a. CFMUs with full samples </t>
  </si>
  <si>
    <t xml:space="preserve">1. Estimate total rockfish harvest [TOTAL_rfharv (H-hati)] by expanding logbook harvest [Log_rfharv (Gi)] by the proportion of guided harvest in total harvest from SWHS estimates [SWHS_gprop (p-hatgi)] 
</t>
  </si>
  <si>
    <t>Source data: logbook_harvest_forR.cvs; SWHS rf_byMgmtUnit_20191118.xls</t>
  </si>
  <si>
    <t>i. Use neighboring CFMU</t>
  </si>
  <si>
    <t>i. Apply %BRF from port sample [priv_p(BRF) (p-hatBui)] to private rockfish harvest [PRIV_rfharv (U-hati)] to get private BRF harv [PRIV_BRF (U-hatBi)]</t>
  </si>
  <si>
    <t>b. CFMUs with small samples (&lt;50 annually)</t>
  </si>
  <si>
    <t>c. CFMU with absent samples (less than 2 years have a sample size &gt;50 for sample estimated)</t>
  </si>
  <si>
    <r>
      <t>i. Apply mean %BRFinPelagic from port samples from years with adequate sample size for those without (</t>
    </r>
    <r>
      <rPr>
        <i/>
        <sz val="11"/>
        <color rgb="FFFF0000"/>
        <rFont val="Calibri"/>
        <family val="2"/>
        <scheme val="minor"/>
      </rPr>
      <t>use R code BS_RF_1_8_20 and Appendix_Variance_1_6_19.xls and RF_VAR_PRED.xls for variance estimates</t>
    </r>
    <r>
      <rPr>
        <sz val="11"/>
        <color theme="1"/>
        <rFont val="Calibri"/>
        <family val="2"/>
        <scheme val="minor"/>
      </rPr>
      <t>)</t>
    </r>
  </si>
  <si>
    <r>
      <t>i. Apply mean %BRF from port samples from years with adequate sample size for those without (</t>
    </r>
    <r>
      <rPr>
        <i/>
        <sz val="11"/>
        <color rgb="FFFF0000"/>
        <rFont val="Calibri"/>
        <family val="2"/>
        <scheme val="minor"/>
      </rPr>
      <t>use R code BS_RF_1_8_20 and Appendix_Variance_1_6_19.xls and RF_VAR_PRED.xls for variance estimates</t>
    </r>
    <r>
      <rPr>
        <sz val="11"/>
        <color theme="1"/>
        <rFont val="Calibri"/>
        <family val="2"/>
        <scheme val="minor"/>
      </rPr>
      <t>)</t>
    </r>
  </si>
  <si>
    <r>
      <t>a. For 1998-2010, CFMU with adequate SWHS reponses 2011 to present: expand by mean SWHS proportion, variance using bootstrap</t>
    </r>
    <r>
      <rPr>
        <sz val="11"/>
        <color rgb="FFFF0000"/>
        <rFont val="Calibri"/>
        <family val="2"/>
        <scheme val="minor"/>
      </rPr>
      <t xml:space="preserve"> (use R code BS_RF_1_8_20 and Appendix_Variance_1_6_19.xls and RF_VAR_PRED.xls for variance estimates)</t>
    </r>
  </si>
  <si>
    <t>i. Apply %BRFinPelagic from port sample [gui_p(BRFinPel) (p-hatbgi)] to Pelagic harvest number from logbook [Log_rfharv (Gi)] to get guided BRF harvest [GuiBRF (G-hatBi)]</t>
  </si>
  <si>
    <t>2. Estimate private rockfish harvest [PRIV_rfharv (U-hati)] by subtracting logbook harvest  [Log_rfharv (Gi)] from the total [TOTAL_rfharv (H-hati)]</t>
  </si>
  <si>
    <r>
      <t>var_PrivBRF (</t>
    </r>
    <r>
      <rPr>
        <i/>
        <sz val="11"/>
        <color theme="1"/>
        <rFont val="Calibri"/>
        <family val="2"/>
        <scheme val="minor"/>
      </rPr>
      <t>var U-hat</t>
    </r>
    <r>
      <rPr>
        <i/>
        <vertAlign val="subscript"/>
        <sz val="11"/>
        <color theme="1"/>
        <rFont val="Calibri"/>
        <family val="2"/>
        <scheme val="minor"/>
      </rPr>
      <t>Bi</t>
    </r>
    <r>
      <rPr>
        <sz val="11"/>
        <color theme="1"/>
        <rFont val="Calibri"/>
        <family val="2"/>
        <scheme val="minor"/>
      </rPr>
      <t>)</t>
    </r>
  </si>
  <si>
    <r>
      <t>a. Guided YE harvest [GuiYE (GYi)] is logbook YE harvest [Gui_Yeharv (GYi)] since 2006 (</t>
    </r>
    <r>
      <rPr>
        <i/>
        <sz val="11"/>
        <color rgb="FFFF0000"/>
        <rFont val="Calibri"/>
        <family val="2"/>
        <scheme val="minor"/>
      </rPr>
      <t>Source data: logbook_harvest_forR.cvs)</t>
    </r>
  </si>
  <si>
    <t>b. Prior to 2006</t>
  </si>
  <si>
    <t xml:space="preserve">i. CFMUs with full samples </t>
  </si>
  <si>
    <t>1. Apply %YEinNonpel from port sample [gui_p(YEinNonpel) (p-hatygi)] to nonpelagic harvest number from logbook [Gui_Nonpelharv (GNi)] to get guided YE harvest [GuiYE (G-hatYi)]</t>
  </si>
  <si>
    <r>
      <t>1. Apply average %YEinNonpel from port sample for years with adequate sample size for those without</t>
    </r>
    <r>
      <rPr>
        <sz val="11"/>
        <color rgb="FFFF0000"/>
        <rFont val="Calibri"/>
        <family val="2"/>
        <scheme val="minor"/>
      </rPr>
      <t xml:space="preserve"> (use R code BS_RF_1_8_20 and Appendix_Variance_1_6_19.xls and RF_VAR_PRED.xls for variance estimates)</t>
    </r>
  </si>
  <si>
    <t>iii. CFMUs with absent samples (less than 2 years have a sample size &gt;50 for sample estimated)</t>
  </si>
  <si>
    <r>
      <t xml:space="preserve">gui_p(YEinNonpel) </t>
    </r>
    <r>
      <rPr>
        <i/>
        <sz val="11"/>
        <color theme="1"/>
        <rFont val="Calibri"/>
        <family val="2"/>
        <scheme val="minor"/>
      </rPr>
      <t>(p-hat</t>
    </r>
    <r>
      <rPr>
        <i/>
        <vertAlign val="subscript"/>
        <sz val="11"/>
        <color theme="1"/>
        <rFont val="Calibri"/>
        <family val="2"/>
        <scheme val="minor"/>
      </rPr>
      <t xml:space="preserve">ygi </t>
    </r>
    <r>
      <rPr>
        <i/>
        <sz val="11"/>
        <color theme="1"/>
        <rFont val="Calibri"/>
        <family val="2"/>
        <scheme val="minor"/>
      </rPr>
      <t>and p-bar</t>
    </r>
    <r>
      <rPr>
        <i/>
        <vertAlign val="subscript"/>
        <sz val="11"/>
        <color theme="1"/>
        <rFont val="Calibri"/>
        <family val="2"/>
        <scheme val="minor"/>
      </rPr>
      <t>ygi</t>
    </r>
    <r>
      <rPr>
        <sz val="11"/>
        <color theme="1"/>
        <rFont val="Calibri"/>
        <family val="2"/>
        <scheme val="minor"/>
      </rPr>
      <t>)</t>
    </r>
  </si>
  <si>
    <r>
      <t>gui_var_p(YEinNonpel) (</t>
    </r>
    <r>
      <rPr>
        <i/>
        <sz val="11"/>
        <color theme="1"/>
        <rFont val="Calibri"/>
        <family val="2"/>
        <scheme val="minor"/>
      </rPr>
      <t>var p-hat</t>
    </r>
    <r>
      <rPr>
        <i/>
        <vertAlign val="subscript"/>
        <sz val="11"/>
        <color theme="1"/>
        <rFont val="Calibri"/>
        <family val="2"/>
        <scheme val="minor"/>
      </rPr>
      <t xml:space="preserve">ygi </t>
    </r>
    <r>
      <rPr>
        <i/>
        <sz val="11"/>
        <color theme="1"/>
        <rFont val="Calibri"/>
        <family val="2"/>
        <scheme val="minor"/>
      </rPr>
      <t>and var p-bar</t>
    </r>
    <r>
      <rPr>
        <i/>
        <vertAlign val="subscript"/>
        <sz val="11"/>
        <color theme="1"/>
        <rFont val="Calibri"/>
        <family val="2"/>
        <scheme val="minor"/>
      </rPr>
      <t>ygi</t>
    </r>
    <r>
      <rPr>
        <sz val="11"/>
        <color theme="1"/>
        <rFont val="Calibri"/>
        <family val="2"/>
        <scheme val="minor"/>
      </rPr>
      <t>)</t>
    </r>
  </si>
  <si>
    <r>
      <t xml:space="preserve">1. Apply mean proportion of yelloweye in nonpelagic rockfish harvest since 2006 [gui_p(YEinNonpel) (p-barygi)] to the guided logbook nonpelagic harvest [Gui_Nonpelharv (GNi)] </t>
    </r>
    <r>
      <rPr>
        <sz val="11"/>
        <color rgb="FFFF0000"/>
        <rFont val="Calibri"/>
        <family val="2"/>
        <scheme val="minor"/>
      </rPr>
      <t>(use  Appendix_Variance_1_6_19.xls for variance estimates)</t>
    </r>
  </si>
  <si>
    <r>
      <t xml:space="preserve">var_GuiYE (var </t>
    </r>
    <r>
      <rPr>
        <i/>
        <sz val="11"/>
        <color theme="1"/>
        <rFont val="Calibri"/>
        <family val="2"/>
        <scheme val="minor"/>
      </rPr>
      <t>G</t>
    </r>
    <r>
      <rPr>
        <i/>
        <vertAlign val="subscript"/>
        <sz val="11"/>
        <color theme="1"/>
        <rFont val="Calibri"/>
        <family val="2"/>
        <scheme val="minor"/>
      </rPr>
      <t>Yi</t>
    </r>
    <r>
      <rPr>
        <i/>
        <sz val="11"/>
        <color theme="1"/>
        <rFont val="Calibri"/>
        <family val="2"/>
        <scheme val="minor"/>
      </rPr>
      <t xml:space="preserve"> and G-hat</t>
    </r>
    <r>
      <rPr>
        <i/>
        <vertAlign val="subscript"/>
        <sz val="11"/>
        <color theme="1"/>
        <rFont val="Calibri"/>
        <family val="2"/>
        <scheme val="minor"/>
      </rPr>
      <t>Yi</t>
    </r>
    <r>
      <rPr>
        <sz val="11"/>
        <color theme="1"/>
        <rFont val="Calibri"/>
        <family val="2"/>
        <scheme val="minor"/>
      </rPr>
      <t>)</t>
    </r>
  </si>
  <si>
    <r>
      <t>PrivYE (U-hat</t>
    </r>
    <r>
      <rPr>
        <b/>
        <vertAlign val="subscript"/>
        <sz val="11"/>
        <color theme="1"/>
        <rFont val="Calibri"/>
        <family val="2"/>
        <scheme val="minor"/>
      </rPr>
      <t>Yi</t>
    </r>
    <r>
      <rPr>
        <b/>
        <sz val="11"/>
        <color theme="1"/>
        <rFont val="Calibri"/>
        <family val="2"/>
        <scheme val="minor"/>
      </rPr>
      <t>)</t>
    </r>
  </si>
  <si>
    <r>
      <t>var_PrivYE (var U-hat</t>
    </r>
    <r>
      <rPr>
        <vertAlign val="subscript"/>
        <sz val="11"/>
        <color theme="1"/>
        <rFont val="Calibri"/>
        <family val="2"/>
        <scheme val="minor"/>
      </rPr>
      <t>Yi</t>
    </r>
    <r>
      <rPr>
        <sz val="11"/>
        <color theme="1"/>
        <rFont val="Calibri"/>
        <family val="2"/>
        <scheme val="minor"/>
      </rPr>
      <t>)</t>
    </r>
  </si>
  <si>
    <r>
      <t>i. Apply %YE from port sample [(p-hatYui)] to private rockfish harvest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[PRIV_rfharv]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to get private YE harv [PrivYE (U-hatYi)]</t>
    </r>
  </si>
  <si>
    <r>
      <t>priv_p(YE) (p-hat</t>
    </r>
    <r>
      <rPr>
        <vertAlign val="subscript"/>
        <sz val="11"/>
        <color theme="1"/>
        <rFont val="Calibri"/>
        <family val="2"/>
        <scheme val="minor"/>
      </rPr>
      <t xml:space="preserve">Yui </t>
    </r>
    <r>
      <rPr>
        <sz val="11"/>
        <color theme="1"/>
        <rFont val="Calibri"/>
        <family val="2"/>
        <scheme val="minor"/>
      </rPr>
      <t>and p-bar</t>
    </r>
    <r>
      <rPr>
        <vertAlign val="subscript"/>
        <sz val="11"/>
        <color theme="1"/>
        <rFont val="Calibri"/>
        <family val="2"/>
        <scheme val="minor"/>
      </rPr>
      <t>Yui)</t>
    </r>
  </si>
  <si>
    <r>
      <t>priv_var_p(YE) (var p-hat</t>
    </r>
    <r>
      <rPr>
        <vertAlign val="subscript"/>
        <sz val="11"/>
        <color theme="1"/>
        <rFont val="Calibri"/>
        <family val="2"/>
        <scheme val="minor"/>
      </rPr>
      <t xml:space="preserve">Yui </t>
    </r>
    <r>
      <rPr>
        <sz val="11"/>
        <color theme="1"/>
        <rFont val="Calibri"/>
        <family val="2"/>
        <scheme val="minor"/>
      </rPr>
      <t>and var p-bar</t>
    </r>
    <r>
      <rPr>
        <vertAlign val="subscript"/>
        <sz val="11"/>
        <color theme="1"/>
        <rFont val="Calibri"/>
        <family val="2"/>
        <scheme val="minor"/>
      </rPr>
      <t>Yui)</t>
    </r>
  </si>
  <si>
    <r>
      <t>i. Apply average %YE from port sample for years with adequate sample size for those without</t>
    </r>
    <r>
      <rPr>
        <sz val="11"/>
        <color rgb="FFFF0000"/>
        <rFont val="Calibri"/>
        <family val="2"/>
        <scheme val="minor"/>
      </rPr>
      <t xml:space="preserve"> (use R code BS_RF_1_8_20 and Appendix_Variance_1_6_19.xls and RF_VAR_PRED.xls for variance estimates)</t>
    </r>
  </si>
  <si>
    <t>c. CFMUs with absent samples (less than 2 years have a sample size &gt;50 for sample estimated)</t>
  </si>
  <si>
    <r>
      <t>gui_p(YE) (p-bar</t>
    </r>
    <r>
      <rPr>
        <vertAlign val="subscript"/>
        <sz val="11"/>
        <color theme="1"/>
        <rFont val="Calibri"/>
        <family val="2"/>
        <scheme val="minor"/>
      </rPr>
      <t>Ygi</t>
    </r>
    <r>
      <rPr>
        <sz val="11"/>
        <color theme="1"/>
        <rFont val="Calibri"/>
        <family val="2"/>
        <scheme val="minor"/>
      </rPr>
      <t>)</t>
    </r>
  </si>
  <si>
    <r>
      <t>var_gui_p(YE) (var p-bar</t>
    </r>
    <r>
      <rPr>
        <vertAlign val="subscript"/>
        <sz val="11"/>
        <color theme="1"/>
        <rFont val="Calibri"/>
        <family val="2"/>
        <scheme val="minor"/>
      </rPr>
      <t>Ygi</t>
    </r>
    <r>
      <rPr>
        <sz val="11"/>
        <color theme="1"/>
        <rFont val="Calibri"/>
        <family val="2"/>
        <scheme val="minor"/>
      </rPr>
      <t>)</t>
    </r>
  </si>
  <si>
    <r>
      <t xml:space="preserve">1. Apply mean proportion of yelloweye in rockfish harvest since 2006 in guide logbook [gui_p(YE) (p-barYgi)] to the private rockfish harvest [PRIV-rfharv] </t>
    </r>
    <r>
      <rPr>
        <sz val="11"/>
        <color rgb="FFFF0000"/>
        <rFont val="Calibri"/>
        <family val="2"/>
        <scheme val="minor"/>
      </rPr>
      <t>(use  Appendix_Variance_1_6_19.xls for variance estimates)</t>
    </r>
  </si>
  <si>
    <r>
      <t>TotalYEharv (H-hat</t>
    </r>
    <r>
      <rPr>
        <b/>
        <vertAlign val="subscript"/>
        <sz val="11"/>
        <color theme="1"/>
        <rFont val="Calibri"/>
        <family val="2"/>
        <scheme val="minor"/>
      </rPr>
      <t>Yi</t>
    </r>
    <r>
      <rPr>
        <b/>
        <sz val="11"/>
        <color theme="1"/>
        <rFont val="Calibri"/>
        <family val="2"/>
        <scheme val="minor"/>
      </rPr>
      <t>)</t>
    </r>
  </si>
  <si>
    <r>
      <t>var_totalYEharv (var H-hat</t>
    </r>
    <r>
      <rPr>
        <vertAlign val="subscript"/>
        <sz val="11"/>
        <color theme="1"/>
        <rFont val="Calibri"/>
        <family val="2"/>
        <scheme val="minor"/>
      </rPr>
      <t>Yi</t>
    </r>
    <r>
      <rPr>
        <sz val="11"/>
        <color theme="1"/>
        <rFont val="Calibri"/>
        <family val="2"/>
        <scheme val="minor"/>
      </rPr>
      <t>)</t>
    </r>
  </si>
  <si>
    <r>
      <t>TotalBRFharv (H-hat</t>
    </r>
    <r>
      <rPr>
        <b/>
        <vertAlign val="subscript"/>
        <sz val="11"/>
        <color theme="1"/>
        <rFont val="Calibri"/>
        <family val="2"/>
        <scheme val="minor"/>
      </rPr>
      <t>Bi</t>
    </r>
    <r>
      <rPr>
        <b/>
        <sz val="11"/>
        <color theme="1"/>
        <rFont val="Calibri"/>
        <family val="2"/>
        <scheme val="minor"/>
      </rPr>
      <t>)</t>
    </r>
  </si>
  <si>
    <r>
      <t>var_totalBRFharv (var H-hat</t>
    </r>
    <r>
      <rPr>
        <vertAlign val="subscript"/>
        <sz val="11"/>
        <color theme="1"/>
        <rFont val="Calibri"/>
        <family val="2"/>
        <scheme val="minor"/>
      </rPr>
      <t>Bi</t>
    </r>
    <r>
      <rPr>
        <sz val="11"/>
        <color theme="1"/>
        <rFont val="Calibri"/>
        <family val="2"/>
        <scheme val="minor"/>
      </rPr>
      <t>)</t>
    </r>
  </si>
  <si>
    <t>a. BRF: SUM PRIVATE [PRIV_BRF (U-hatBi)] AND GUIDED BRF HARVESTS [GuiBRF (G-hatBi)] FOR TOTAL BRF HARVEST [TotalBRFharv (H-hatBi)] BY CFMU for each year</t>
  </si>
  <si>
    <t>b. YE: SUM PRIVATE [PrivYE (U-hatYi)] AND GUIDED YE HARVESTS [GuiYE (GYi and G-hatYi)] FOR TOTAL BRF HARVEST [TotalYEharv (H-hatYi)] BY CFMU for each year</t>
  </si>
  <si>
    <r>
      <t>3. Apportion harvests to assemblage and then species (</t>
    </r>
    <r>
      <rPr>
        <i/>
        <sz val="11"/>
        <color rgb="FFFF0000"/>
        <rFont val="Calibri"/>
        <family val="2"/>
        <scheme val="minor"/>
      </rPr>
      <t>Source data: species_comp_Region1_forR.csv; species_comp_Region2_forR.csv; logbook_harvest_forR.csv</t>
    </r>
    <r>
      <rPr>
        <sz val="11"/>
        <color theme="1"/>
        <rFont val="Calibri"/>
        <family val="2"/>
        <scheme val="minor"/>
      </rPr>
      <t>)</t>
    </r>
  </si>
  <si>
    <t>Harvest</t>
  </si>
  <si>
    <t>Var</t>
  </si>
  <si>
    <t>substitute CFMU</t>
  </si>
  <si>
    <r>
      <t xml:space="preserve">gui_p(SlopeinNonpel) </t>
    </r>
    <r>
      <rPr>
        <i/>
        <sz val="11"/>
        <color theme="1"/>
        <rFont val="Calibri"/>
        <family val="2"/>
        <scheme val="minor"/>
      </rPr>
      <t>(p-hatd</t>
    </r>
    <r>
      <rPr>
        <i/>
        <vertAlign val="subscript"/>
        <sz val="11"/>
        <color theme="1"/>
        <rFont val="Calibri"/>
        <family val="2"/>
        <scheme val="minor"/>
      </rPr>
      <t xml:space="preserve">gi </t>
    </r>
    <r>
      <rPr>
        <i/>
        <sz val="11"/>
        <color theme="1"/>
        <rFont val="Calibri"/>
        <family val="2"/>
        <scheme val="minor"/>
      </rPr>
      <t>and p-bard</t>
    </r>
    <r>
      <rPr>
        <i/>
        <vertAlign val="subscript"/>
        <sz val="11"/>
        <color theme="1"/>
        <rFont val="Calibri"/>
        <family val="2"/>
        <scheme val="minor"/>
      </rPr>
      <t>gi</t>
    </r>
    <r>
      <rPr>
        <sz val="11"/>
        <color theme="1"/>
        <rFont val="Calibri"/>
        <family val="2"/>
        <scheme val="minor"/>
      </rPr>
      <t>)</t>
    </r>
  </si>
  <si>
    <r>
      <t>gui_var_p(SlopeinNonpel) (</t>
    </r>
    <r>
      <rPr>
        <i/>
        <sz val="11"/>
        <color theme="1"/>
        <rFont val="Calibri"/>
        <family val="2"/>
        <scheme val="minor"/>
      </rPr>
      <t>var p-hatd</t>
    </r>
    <r>
      <rPr>
        <i/>
        <vertAlign val="subscript"/>
        <sz val="11"/>
        <color theme="1"/>
        <rFont val="Calibri"/>
        <family val="2"/>
        <scheme val="minor"/>
      </rPr>
      <t xml:space="preserve">gi </t>
    </r>
    <r>
      <rPr>
        <i/>
        <sz val="11"/>
        <color theme="1"/>
        <rFont val="Calibri"/>
        <family val="2"/>
        <scheme val="minor"/>
      </rPr>
      <t>and var p-bard</t>
    </r>
    <r>
      <rPr>
        <i/>
        <vertAlign val="subscript"/>
        <sz val="11"/>
        <color theme="1"/>
        <rFont val="Calibri"/>
        <family val="2"/>
        <scheme val="minor"/>
      </rPr>
      <t>gi</t>
    </r>
    <r>
      <rPr>
        <sz val="11"/>
        <color theme="1"/>
        <rFont val="Calibri"/>
        <family val="2"/>
        <scheme val="minor"/>
      </rPr>
      <t>)</t>
    </r>
  </si>
  <si>
    <r>
      <t>GuiSlope (</t>
    </r>
    <r>
      <rPr>
        <b/>
        <i/>
        <sz val="11"/>
        <color theme="1"/>
        <rFont val="Calibri"/>
        <family val="2"/>
        <scheme val="minor"/>
      </rPr>
      <t>G-hatS</t>
    </r>
    <r>
      <rPr>
        <b/>
        <i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</si>
  <si>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r>
      <t xml:space="preserve">var_GuiSlope (var </t>
    </r>
    <r>
      <rPr>
        <i/>
        <sz val="11"/>
        <color theme="1"/>
        <rFont val="Calibri"/>
        <family val="2"/>
        <scheme val="minor"/>
      </rPr>
      <t>G-hatS</t>
    </r>
    <r>
      <rPr>
        <i/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</si>
  <si>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r>
      <t>priv_p(Slope) (p-hatS</t>
    </r>
    <r>
      <rPr>
        <vertAlign val="subscript"/>
        <sz val="11"/>
        <color theme="1"/>
        <rFont val="Calibri"/>
        <family val="2"/>
        <scheme val="minor"/>
      </rPr>
      <t xml:space="preserve">ui </t>
    </r>
    <r>
      <rPr>
        <sz val="11"/>
        <color theme="1"/>
        <rFont val="Calibri"/>
        <family val="2"/>
        <scheme val="minor"/>
      </rPr>
      <t>and p-barS</t>
    </r>
    <r>
      <rPr>
        <vertAlign val="subscript"/>
        <sz val="11"/>
        <color theme="1"/>
        <rFont val="Calibri"/>
        <family val="2"/>
        <scheme val="minor"/>
      </rPr>
      <t>ui)</t>
    </r>
  </si>
  <si>
    <r>
      <t>priv_var_p(Slope) (var p-hatS</t>
    </r>
    <r>
      <rPr>
        <vertAlign val="subscript"/>
        <sz val="11"/>
        <color theme="1"/>
        <rFont val="Calibri"/>
        <family val="2"/>
        <scheme val="minor"/>
      </rPr>
      <t xml:space="preserve">ui </t>
    </r>
    <r>
      <rPr>
        <sz val="11"/>
        <color theme="1"/>
        <rFont val="Calibri"/>
        <family val="2"/>
        <scheme val="minor"/>
      </rPr>
      <t>and var p-barS</t>
    </r>
    <r>
      <rPr>
        <vertAlign val="subscript"/>
        <sz val="11"/>
        <color theme="1"/>
        <rFont val="Calibri"/>
        <family val="2"/>
        <scheme val="minor"/>
      </rPr>
      <t>ui)</t>
    </r>
  </si>
  <si>
    <r>
      <t>PrivSlope (U-hatS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</si>
  <si>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r>
      <t>var_PrivSlope (var U-hatS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</si>
  <si>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r>
      <t>TotalSlopeharv (H-hatS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</si>
  <si>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r>
      <t>var_totalSlopeharv (var H-hatS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</t>
    </r>
  </si>
  <si>
    <t>SE</t>
  </si>
  <si>
    <t>2011-2019 average used as surrogate</t>
  </si>
  <si>
    <t>Total Central</t>
  </si>
  <si>
    <t>Varience</t>
  </si>
  <si>
    <t>Sqrt(var)</t>
  </si>
  <si>
    <t>pVar</t>
  </si>
  <si>
    <t>Total Kodiak</t>
  </si>
  <si>
    <t>Total SEAK</t>
  </si>
  <si>
    <t>NA</t>
  </si>
  <si>
    <r>
      <t>ii. CFMUs with small samples (</t>
    </r>
    <r>
      <rPr>
        <b/>
        <sz val="11"/>
        <color theme="5" tint="-0.249977111117893"/>
        <rFont val="Calibri"/>
        <family val="2"/>
        <scheme val="minor"/>
      </rPr>
      <t>&lt;50 annually</t>
    </r>
    <r>
      <rPr>
        <sz val="11"/>
        <color theme="1"/>
        <rFont val="Calibri"/>
        <family val="2"/>
        <scheme val="minor"/>
      </rPr>
      <t>)</t>
    </r>
  </si>
  <si>
    <t>6.29881582262535e-05</t>
  </si>
  <si>
    <r>
      <t>Gui_Nonpelharv (</t>
    </r>
    <r>
      <rPr>
        <i/>
        <sz val="12"/>
        <color theme="1"/>
        <rFont val="Calibri"/>
        <family val="2"/>
        <scheme val="minor"/>
      </rPr>
      <t>G</t>
    </r>
    <r>
      <rPr>
        <i/>
        <vertAlign val="subscript"/>
        <sz val="12"/>
        <color theme="1"/>
        <rFont val="Calibri"/>
        <family val="2"/>
        <scheme val="minor"/>
      </rPr>
      <t>Ni</t>
    </r>
    <r>
      <rPr>
        <sz val="12"/>
        <color theme="1"/>
        <rFont val="Calibri"/>
        <family val="2"/>
        <scheme val="minor"/>
      </rPr>
      <t>)</t>
    </r>
  </si>
  <si>
    <r>
      <t xml:space="preserve">gui_p(DSRinNonpel) </t>
    </r>
    <r>
      <rPr>
        <i/>
        <sz val="12"/>
        <color theme="1"/>
        <rFont val="Calibri"/>
        <family val="2"/>
        <scheme val="minor"/>
      </rPr>
      <t>(p-hatd</t>
    </r>
    <r>
      <rPr>
        <i/>
        <vertAlign val="subscript"/>
        <sz val="12"/>
        <color theme="1"/>
        <rFont val="Calibri"/>
        <family val="2"/>
        <scheme val="minor"/>
      </rPr>
      <t xml:space="preserve">gi </t>
    </r>
    <r>
      <rPr>
        <i/>
        <sz val="12"/>
        <color theme="1"/>
        <rFont val="Calibri"/>
        <family val="2"/>
        <scheme val="minor"/>
      </rPr>
      <t>and p-bard</t>
    </r>
    <r>
      <rPr>
        <i/>
        <vertAlign val="subscript"/>
        <sz val="12"/>
        <color theme="1"/>
        <rFont val="Calibri"/>
        <family val="2"/>
        <scheme val="minor"/>
      </rPr>
      <t>gi</t>
    </r>
    <r>
      <rPr>
        <sz val="12"/>
        <color theme="1"/>
        <rFont val="Calibri"/>
        <family val="2"/>
        <scheme val="minor"/>
      </rPr>
      <t>)</t>
    </r>
  </si>
  <si>
    <r>
      <t>gui_var_p(DSRinNonpel) (</t>
    </r>
    <r>
      <rPr>
        <i/>
        <sz val="12"/>
        <color theme="1"/>
        <rFont val="Calibri"/>
        <family val="2"/>
        <scheme val="minor"/>
      </rPr>
      <t>var p-hatd</t>
    </r>
    <r>
      <rPr>
        <i/>
        <vertAlign val="subscript"/>
        <sz val="12"/>
        <color theme="1"/>
        <rFont val="Calibri"/>
        <family val="2"/>
        <scheme val="minor"/>
      </rPr>
      <t xml:space="preserve">gi </t>
    </r>
    <r>
      <rPr>
        <i/>
        <sz val="12"/>
        <color theme="1"/>
        <rFont val="Calibri"/>
        <family val="2"/>
        <scheme val="minor"/>
      </rPr>
      <t>and var p-bard</t>
    </r>
    <r>
      <rPr>
        <i/>
        <vertAlign val="subscript"/>
        <sz val="12"/>
        <color theme="1"/>
        <rFont val="Calibri"/>
        <family val="2"/>
        <scheme val="minor"/>
      </rPr>
      <t>gi</t>
    </r>
    <r>
      <rPr>
        <sz val="12"/>
        <color theme="1"/>
        <rFont val="Calibri"/>
        <family val="2"/>
        <scheme val="minor"/>
      </rPr>
      <t>)</t>
    </r>
  </si>
  <si>
    <r>
      <t>GuiDSR (</t>
    </r>
    <r>
      <rPr>
        <b/>
        <i/>
        <sz val="12"/>
        <color theme="1"/>
        <rFont val="Calibri"/>
        <family val="2"/>
        <scheme val="minor"/>
      </rPr>
      <t>G-hatD</t>
    </r>
    <r>
      <rPr>
        <b/>
        <i/>
        <vertAlign val="subscript"/>
        <sz val="12"/>
        <color theme="1"/>
        <rFont val="Calibri"/>
        <family val="2"/>
        <scheme val="minor"/>
      </rPr>
      <t>i</t>
    </r>
    <r>
      <rPr>
        <b/>
        <sz val="12"/>
        <color theme="1"/>
        <rFont val="Calibri"/>
        <family val="2"/>
        <scheme val="minor"/>
      </rPr>
      <t>)</t>
    </r>
  </si>
  <si>
    <r>
      <t xml:space="preserve">var_GuiDSR (var </t>
    </r>
    <r>
      <rPr>
        <i/>
        <sz val="12"/>
        <color theme="1"/>
        <rFont val="Calibri"/>
        <family val="2"/>
        <scheme val="minor"/>
      </rPr>
      <t>G-hatD</t>
    </r>
    <r>
      <rPr>
        <i/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)</t>
    </r>
  </si>
  <si>
    <r>
      <t>priv_p(DSR) (p-hatD</t>
    </r>
    <r>
      <rPr>
        <vertAlign val="subscript"/>
        <sz val="12"/>
        <color theme="1"/>
        <rFont val="Calibri"/>
        <family val="2"/>
        <scheme val="minor"/>
      </rPr>
      <t xml:space="preserve">ui </t>
    </r>
    <r>
      <rPr>
        <sz val="12"/>
        <color theme="1"/>
        <rFont val="Calibri"/>
        <family val="2"/>
        <scheme val="minor"/>
      </rPr>
      <t>and p-barD</t>
    </r>
    <r>
      <rPr>
        <vertAlign val="subscript"/>
        <sz val="12"/>
        <color theme="1"/>
        <rFont val="Calibri"/>
        <family val="2"/>
        <scheme val="minor"/>
      </rPr>
      <t>ui)</t>
    </r>
  </si>
  <si>
    <r>
      <t>priv_var_p(DSR) (var p-hatD</t>
    </r>
    <r>
      <rPr>
        <vertAlign val="subscript"/>
        <sz val="12"/>
        <color theme="1"/>
        <rFont val="Calibri"/>
        <family val="2"/>
        <scheme val="minor"/>
      </rPr>
      <t xml:space="preserve">ui </t>
    </r>
    <r>
      <rPr>
        <sz val="12"/>
        <color theme="1"/>
        <rFont val="Calibri"/>
        <family val="2"/>
        <scheme val="minor"/>
      </rPr>
      <t>and var p-barD</t>
    </r>
    <r>
      <rPr>
        <vertAlign val="subscript"/>
        <sz val="12"/>
        <color theme="1"/>
        <rFont val="Calibri"/>
        <family val="2"/>
        <scheme val="minor"/>
      </rPr>
      <t>ui)</t>
    </r>
  </si>
  <si>
    <r>
      <t>PrivDSR (U-hatD</t>
    </r>
    <r>
      <rPr>
        <b/>
        <vertAlign val="subscript"/>
        <sz val="12"/>
        <color theme="1"/>
        <rFont val="Calibri"/>
        <family val="2"/>
        <scheme val="minor"/>
      </rPr>
      <t>i</t>
    </r>
    <r>
      <rPr>
        <b/>
        <sz val="12"/>
        <color theme="1"/>
        <rFont val="Calibri"/>
        <family val="2"/>
        <scheme val="minor"/>
      </rPr>
      <t>)</t>
    </r>
  </si>
  <si>
    <r>
      <t>var_PrivDSR (var U-hatD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)</t>
    </r>
  </si>
  <si>
    <r>
      <t>TotalDSRharv (H-hatD</t>
    </r>
    <r>
      <rPr>
        <b/>
        <vertAlign val="subscript"/>
        <sz val="12"/>
        <color theme="1"/>
        <rFont val="Calibri"/>
        <family val="2"/>
        <scheme val="minor"/>
      </rPr>
      <t>i</t>
    </r>
    <r>
      <rPr>
        <b/>
        <sz val="12"/>
        <color theme="1"/>
        <rFont val="Calibri"/>
        <family val="2"/>
        <scheme val="minor"/>
      </rPr>
      <t>)</t>
    </r>
  </si>
  <si>
    <r>
      <t>var_totalDSRharv (var H-hatD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)</t>
    </r>
  </si>
  <si>
    <t>DSR FOR SE ONLY</t>
  </si>
  <si>
    <t xml:space="preserve">FOR DISEMINATION: </t>
  </si>
  <si>
    <t>CV</t>
  </si>
  <si>
    <t>0.975159375686964</t>
  </si>
  <si>
    <t>0.885217391304348</t>
  </si>
  <si>
    <t>0.000177016657555179</t>
  </si>
  <si>
    <t>0.99208211143695</t>
  </si>
  <si>
    <t>0.982222222222222</t>
  </si>
  <si>
    <t>3.88902636861063e-05</t>
  </si>
  <si>
    <t>0.635247381726255</t>
  </si>
  <si>
    <t>0.532051282051282</t>
  </si>
  <si>
    <t>0.391788856304985</t>
  </si>
  <si>
    <t>0.0646900269541779</t>
  </si>
  <si>
    <t>0.000163527641532015</t>
  </si>
  <si>
    <t>0.019047619047619</t>
  </si>
  <si>
    <t>4.45938120673886e-05</t>
  </si>
  <si>
    <t>0.458422174840085</t>
  </si>
  <si>
    <t>0.000176579860921032</t>
  </si>
  <si>
    <t>0.869030898876405</t>
  </si>
  <si>
    <t>0.897826086956522</t>
  </si>
  <si>
    <t>0.000199857090494253</t>
  </si>
  <si>
    <t>0.529816513761468</t>
  </si>
  <si>
    <t>0.753246753246753</t>
  </si>
  <si>
    <t>0.454461396208969</t>
  </si>
  <si>
    <t>0.528571428571429</t>
  </si>
  <si>
    <t>0.000356485942016291</t>
  </si>
  <si>
    <t>0.343971631205674</t>
  </si>
  <si>
    <t>0.0004008084336259</t>
  </si>
  <si>
    <t>0.996837752371686</t>
  </si>
  <si>
    <t>0.9064039408867</t>
  </si>
  <si>
    <t>0.000419979390256238</t>
  </si>
  <si>
    <t>0.00173913043478261</t>
  </si>
  <si>
    <t>3.02457466918715e-06</t>
  </si>
  <si>
    <t>0.0107816711590297</t>
  </si>
  <si>
    <t>2.88254776379681e-05</t>
  </si>
  <si>
    <t>0.0119047619047619</t>
  </si>
  <si>
    <t>2.80740776819877e-05</t>
  </si>
  <si>
    <t>0.000710732054015636</t>
  </si>
  <si>
    <t>5.05140052605285e-07</t>
  </si>
  <si>
    <t>0.0230496453900709</t>
  </si>
  <si>
    <t>3.99970856793302e-05</t>
  </si>
  <si>
    <t>0.00735294117647059</t>
  </si>
  <si>
    <t>2.28446805399873e-06</t>
  </si>
  <si>
    <t>0.015625</t>
  </si>
  <si>
    <t>1.67456280620577e-06</t>
  </si>
  <si>
    <t>0.0564516129032258</t>
  </si>
  <si>
    <t>5.55246828977902e-06</t>
  </si>
  <si>
    <t>0.0260869565217391</t>
  </si>
  <si>
    <t>4.4262068329568e-05</t>
  </si>
  <si>
    <t>Borrowed from NSEO</t>
  </si>
  <si>
    <t>0.00338983050847458</t>
  </si>
  <si>
    <t>1.1490950876185e-05</t>
  </si>
  <si>
    <t>0.0177777777777778</t>
  </si>
  <si>
    <t>0.363636363636364</t>
  </si>
  <si>
    <t>0.000352751461398911</t>
  </si>
  <si>
    <t>0.0169491525423729</t>
  </si>
  <si>
    <t>9.14482918247434e-06</t>
  </si>
  <si>
    <t>0.124031007751938</t>
  </si>
  <si>
    <t>3.75033886323703e-05</t>
  </si>
  <si>
    <t>0.070362473347548</t>
  </si>
  <si>
    <t>4.65231832802017e-05</t>
  </si>
  <si>
    <t>0.0421052631578947</t>
  </si>
  <si>
    <t>1.78699202358437e-05</t>
  </si>
  <si>
    <t>0.0630841121495327</t>
  </si>
  <si>
    <t>2.72245540966549e-05</t>
  </si>
  <si>
    <t>0.0657142857142857</t>
  </si>
  <si>
    <t>8.78339318560042e-05</t>
  </si>
  <si>
    <t>0.24113475177305</t>
  </si>
  <si>
    <t>0.000325024481812432</t>
  </si>
  <si>
    <t>0.0197044334975369</t>
  </si>
  <si>
    <t>9.56245980102876e-05</t>
  </si>
  <si>
    <t>0.992647058823529</t>
  </si>
  <si>
    <t>0.984375</t>
  </si>
  <si>
    <t>0.943548387096774</t>
  </si>
  <si>
    <t>0.0513513513513513</t>
  </si>
  <si>
    <t>0.000132017317251332</t>
  </si>
  <si>
    <t>0.0319148936170213</t>
  </si>
  <si>
    <t>6.58770430329115e-05</t>
  </si>
  <si>
    <t>0.0469565217391304</t>
  </si>
  <si>
    <t>7.79644717862248e-05</t>
  </si>
  <si>
    <t>5.53516932923138e-05</t>
  </si>
  <si>
    <t>0.636363636363636</t>
  </si>
  <si>
    <t>0.983050847457627</t>
  </si>
  <si>
    <t>9.14482918247432e-06</t>
  </si>
  <si>
    <t>0.875968992248062</t>
  </si>
  <si>
    <t>0.22911051212938</t>
  </si>
  <si>
    <t>0.000477348338814036</t>
  </si>
  <si>
    <t>0.183333333333333</t>
  </si>
  <si>
    <t>0.000357332272606736</t>
  </si>
  <si>
    <t>0.0717839374555792</t>
  </si>
  <si>
    <t>4.73904721045183e-05</t>
  </si>
  <si>
    <t>0.957894736842105</t>
  </si>
  <si>
    <t>0.936915887850467</t>
  </si>
  <si>
    <t>0.0352422907488987</t>
  </si>
  <si>
    <t>5.00003995465717e-05</t>
  </si>
  <si>
    <t>0.0942857142857143</t>
  </si>
  <si>
    <t>0.000122168695804502</t>
  </si>
  <si>
    <t>0.179078014184397</t>
  </si>
  <si>
    <t>0.000261117369485204</t>
  </si>
  <si>
    <t>1</t>
  </si>
  <si>
    <t>0</t>
  </si>
  <si>
    <t>0.0350877192982456</t>
  </si>
  <si>
    <t>0.00019915630148643</t>
  </si>
  <si>
    <t>0.0738916256157636</t>
  </si>
  <si>
    <t>0.000338770560790215</t>
  </si>
  <si>
    <t>0.941176470588235</t>
  </si>
  <si>
    <t>1.732811323922e-05</t>
  </si>
  <si>
    <t>0.97156564474608</t>
  </si>
  <si>
    <t>3.00771286828675e-06</t>
  </si>
  <si>
    <t>2.5251295420384e-06</t>
  </si>
  <si>
    <t>0.0027027027027027</t>
  </si>
  <si>
    <t>7.30460189919649e-06</t>
  </si>
  <si>
    <t>0.982598607888631</t>
  </si>
  <si>
    <t>1.98589821881014e-05</t>
  </si>
  <si>
    <t>0.990133488102147</t>
  </si>
  <si>
    <t>5.67314973334618e-06</t>
  </si>
  <si>
    <t>2.30087744691066e-06</t>
  </si>
  <si>
    <t>0.00145924536168439</t>
  </si>
  <si>
    <t>1.51893668785447e-07</t>
  </si>
  <si>
    <t>0.0487804878048781</t>
  </si>
  <si>
    <t>4.83695943025083e-06</t>
  </si>
  <si>
    <t>0.000379531578229983</t>
  </si>
  <si>
    <t>0.00013078504301878</t>
  </si>
  <si>
    <t>7.99821007028625e-05</t>
  </si>
  <si>
    <t>0.0727762803234501</t>
  </si>
  <si>
    <t>0.000182378090123602</t>
  </si>
  <si>
    <t>0.0476190476190476</t>
  </si>
  <si>
    <t>0.000108237407930555</t>
  </si>
  <si>
    <t>0.970588235294118</t>
  </si>
  <si>
    <t>0.000119442312982294</t>
  </si>
  <si>
    <t>0.852941176470588</t>
  </si>
  <si>
    <t>0.000737838387950336</t>
  </si>
  <si>
    <t>3.75755020384526e-05</t>
  </si>
  <si>
    <t>0.000250831419662588</t>
  </si>
  <si>
    <t>0.00010984768966095</t>
  </si>
  <si>
    <t>0.000114744806774349</t>
  </si>
  <si>
    <t>0.854961832061069</t>
  </si>
  <si>
    <t>0.000106622612020507</t>
  </si>
  <si>
    <t>0.831491712707182</t>
  </si>
  <si>
    <t>0.000139833577251955</t>
  </si>
  <si>
    <t>0.0102790014684288</t>
  </si>
  <si>
    <t>1.49607994077071e-05</t>
  </si>
  <si>
    <t>0.01</t>
  </si>
  <si>
    <t>1.41630901287554e-05</t>
  </si>
  <si>
    <t>0.992518703241895</t>
  </si>
  <si>
    <t>6.03685118448934e-06</t>
  </si>
  <si>
    <t>0.981465136804943</t>
  </si>
  <si>
    <t>5.24699222422783e-06</t>
  </si>
  <si>
    <t>7.42054571151487e-07</t>
  </si>
  <si>
    <t>0.0144927536231884</t>
  </si>
  <si>
    <t>4.11961745474646e-06</t>
  </si>
  <si>
    <t>0.985507246376812</t>
  </si>
  <si>
    <t>4.11961745474644e-06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</si>
</sst>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#,###,###,##0"/>
    <numFmt numFmtId="166" formatCode="_(* #,##0.00000000_);_(* \(#,##0.00000000\);_(* &quot;-&quot;??_);_(@_)"/>
    <numFmt numFmtId="167" formatCode="0.000000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name val="Calibri"/>
      <family val="2"/>
      <scheme val="minor"/>
    </font>
    <font>
      <b/>
      <sz val="9.5"/>
      <color rgb="FF112277"/>
      <name val="Arial"/>
      <family val="2"/>
    </font>
    <font>
      <sz val="11"/>
      <color theme="9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9.5"/>
      <color rgb="FF000000"/>
      <name val="Arial"/>
      <family val="2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70C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theme="5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vertAlign val="subscript"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vertAlign val="sub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/>
      <right/>
      <top/>
      <bottom style="thin">
        <color indexed="64"/>
      </bottom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</cellStyleXfs>
  <cellXfs count="111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4" fillId="0" borderId="0" xfId="0" applyFont="1"/>
    <xf numFmtId="1" fontId="0" fillId="0" borderId="0" xfId="0" applyNumberFormat="1"/>
    <xf numFmtId="1" fontId="2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wrapText="1"/>
    </xf>
    <xf numFmtId="165" fontId="0" fillId="2" borderId="1" xfId="0" applyNumberFormat="1" applyFill="1" applyBorder="1" applyAlignment="1">
      <alignment horizontal="right"/>
    </xf>
    <xf numFmtId="164" fontId="2" fillId="0" borderId="0" xfId="1" applyNumberFormat="1" applyFont="1" applyAlignment="1">
      <alignment wrapText="1"/>
    </xf>
    <xf numFmtId="164" fontId="2" fillId="0" borderId="0" xfId="1" applyNumberFormat="1" applyFont="1"/>
    <xf numFmtId="43" fontId="0" fillId="0" borderId="0" xfId="0" applyNumberFormat="1"/>
    <xf numFmtId="164" fontId="2" fillId="0" borderId="0" xfId="1" applyNumberFormat="1" applyFont="1" applyFill="1" applyAlignment="1">
      <alignment wrapText="1"/>
    </xf>
    <xf numFmtId="11" fontId="0" fillId="0" borderId="0" xfId="0" applyNumberFormat="1"/>
    <xf numFmtId="9" fontId="0" fillId="0" borderId="0" xfId="2" applyFont="1"/>
    <xf numFmtId="9" fontId="0" fillId="3" borderId="0" xfId="2" applyFont="1" applyFill="1"/>
    <xf numFmtId="0" fontId="0" fillId="0" borderId="2" xfId="0" applyBorder="1"/>
    <xf numFmtId="0" fontId="0" fillId="4" borderId="0" xfId="0" applyFill="1" applyAlignment="1">
      <alignment wrapText="1"/>
    </xf>
    <xf numFmtId="0" fontId="0" fillId="5" borderId="0" xfId="0" applyFill="1"/>
    <xf numFmtId="164" fontId="3" fillId="0" borderId="0" xfId="1" applyNumberFormat="1" applyFont="1" applyAlignment="1">
      <alignment wrapText="1"/>
    </xf>
    <xf numFmtId="164" fontId="8" fillId="0" borderId="0" xfId="1" applyNumberFormat="1" applyFont="1"/>
    <xf numFmtId="164" fontId="2" fillId="0" borderId="0" xfId="0" applyNumberFormat="1" applyFont="1"/>
    <xf numFmtId="166" fontId="0" fillId="0" borderId="0" xfId="0" applyNumberFormat="1"/>
    <xf numFmtId="0" fontId="9" fillId="0" borderId="0" xfId="0" applyFont="1"/>
    <xf numFmtId="0" fontId="10" fillId="0" borderId="0" xfId="0" applyFont="1"/>
    <xf numFmtId="164" fontId="9" fillId="0" borderId="0" xfId="1" applyNumberFormat="1" applyFont="1"/>
    <xf numFmtId="165" fontId="9" fillId="2" borderId="1" xfId="0" applyNumberFormat="1" applyFont="1" applyFill="1" applyBorder="1" applyAlignment="1">
      <alignment horizontal="right"/>
    </xf>
    <xf numFmtId="164" fontId="11" fillId="0" borderId="0" xfId="1" applyNumberFormat="1" applyFont="1"/>
    <xf numFmtId="165" fontId="11" fillId="2" borderId="1" xfId="0" applyNumberFormat="1" applyFont="1" applyFill="1" applyBorder="1" applyAlignment="1">
      <alignment horizontal="right"/>
    </xf>
    <xf numFmtId="0" fontId="0" fillId="6" borderId="0" xfId="0" applyFill="1"/>
    <xf numFmtId="9" fontId="0" fillId="0" borderId="0" xfId="0" applyNumberFormat="1"/>
    <xf numFmtId="0" fontId="12" fillId="7" borderId="3" xfId="0" applyFon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3" fontId="0" fillId="0" borderId="0" xfId="0" applyNumberFormat="1"/>
    <xf numFmtId="165" fontId="0" fillId="0" borderId="0" xfId="0" applyNumberFormat="1"/>
    <xf numFmtId="0" fontId="13" fillId="0" borderId="0" xfId="0" applyFont="1"/>
    <xf numFmtId="11" fontId="13" fillId="0" borderId="0" xfId="0" applyNumberFormat="1" applyFont="1"/>
    <xf numFmtId="164" fontId="0" fillId="0" borderId="0" xfId="1" applyNumberFormat="1" applyFont="1" applyFill="1"/>
    <xf numFmtId="0" fontId="11" fillId="0" borderId="0" xfId="0" applyFont="1" applyAlignment="1">
      <alignment horizontal="left"/>
    </xf>
    <xf numFmtId="0" fontId="14" fillId="0" borderId="0" xfId="0" applyFont="1"/>
    <xf numFmtId="0" fontId="11" fillId="0" borderId="0" xfId="0" applyFont="1"/>
    <xf numFmtId="0" fontId="2" fillId="8" borderId="0" xfId="0" applyFont="1" applyFill="1"/>
    <xf numFmtId="0" fontId="0" fillId="8" borderId="0" xfId="0" applyFill="1"/>
    <xf numFmtId="0" fontId="0" fillId="9" borderId="0" xfId="0" applyFill="1"/>
    <xf numFmtId="0" fontId="0" fillId="4" borderId="0" xfId="0" applyFill="1"/>
    <xf numFmtId="167" fontId="0" fillId="6" borderId="0" xfId="0" applyNumberFormat="1" applyFill="1"/>
    <xf numFmtId="167" fontId="0" fillId="0" borderId="0" xfId="0" applyNumberFormat="1"/>
    <xf numFmtId="0" fontId="10" fillId="6" borderId="0" xfId="0" applyFont="1" applyFill="1"/>
    <xf numFmtId="0" fontId="0" fillId="3" borderId="0" xfId="0" applyFill="1"/>
    <xf numFmtId="43" fontId="2" fillId="0" borderId="0" xfId="1" applyFont="1"/>
    <xf numFmtId="0" fontId="0" fillId="2" borderId="0" xfId="0" applyFill="1" applyAlignment="1">
      <alignment horizontal="right"/>
    </xf>
    <xf numFmtId="165" fontId="0" fillId="0" borderId="0" xfId="0" applyNumberFormat="1" applyAlignment="1">
      <alignment horizontal="right"/>
    </xf>
    <xf numFmtId="165" fontId="11" fillId="0" borderId="0" xfId="0" applyNumberFormat="1" applyFont="1" applyAlignment="1">
      <alignment horizontal="right"/>
    </xf>
    <xf numFmtId="37" fontId="0" fillId="0" borderId="0" xfId="1" applyNumberFormat="1" applyFont="1"/>
    <xf numFmtId="165" fontId="9" fillId="0" borderId="0" xfId="0" applyNumberFormat="1" applyFont="1" applyAlignment="1">
      <alignment horizontal="right"/>
    </xf>
    <xf numFmtId="164" fontId="9" fillId="0" borderId="0" xfId="1" applyNumberFormat="1" applyFont="1" applyFill="1"/>
    <xf numFmtId="0" fontId="19" fillId="0" borderId="0" xfId="0" applyFont="1"/>
    <xf numFmtId="164" fontId="10" fillId="0" borderId="0" xfId="1" applyNumberFormat="1" applyFont="1"/>
    <xf numFmtId="164" fontId="13" fillId="0" borderId="0" xfId="1" applyNumberFormat="1" applyFont="1"/>
    <xf numFmtId="164" fontId="22" fillId="0" borderId="0" xfId="1" applyNumberFormat="1" applyFont="1"/>
    <xf numFmtId="164" fontId="2" fillId="0" borderId="0" xfId="1" applyNumberFormat="1" applyFont="1" applyFill="1"/>
    <xf numFmtId="164" fontId="22" fillId="0" borderId="0" xfId="1" applyNumberFormat="1" applyFont="1" applyFill="1"/>
    <xf numFmtId="165" fontId="10" fillId="2" borderId="1" xfId="0" applyNumberFormat="1" applyFont="1" applyFill="1" applyBorder="1" applyAlignment="1">
      <alignment horizontal="right"/>
    </xf>
    <xf numFmtId="164" fontId="10" fillId="0" borderId="0" xfId="1" applyNumberFormat="1" applyFont="1" applyFill="1"/>
    <xf numFmtId="164" fontId="0" fillId="2" borderId="1" xfId="1" applyNumberFormat="1" applyFont="1" applyFill="1" applyBorder="1" applyAlignment="1">
      <alignment horizontal="right"/>
    </xf>
    <xf numFmtId="164" fontId="23" fillId="0" borderId="0" xfId="1" applyNumberFormat="1" applyFont="1"/>
    <xf numFmtId="164" fontId="23" fillId="0" borderId="0" xfId="1" applyNumberFormat="1" applyFont="1" applyBorder="1"/>
    <xf numFmtId="164" fontId="23" fillId="0" borderId="0" xfId="1" applyNumberFormat="1" applyFont="1" applyFill="1" applyBorder="1"/>
    <xf numFmtId="164" fontId="2" fillId="3" borderId="0" xfId="1" applyNumberFormat="1" applyFont="1" applyFill="1"/>
    <xf numFmtId="164" fontId="0" fillId="3" borderId="0" xfId="1" applyNumberFormat="1" applyFont="1" applyFill="1"/>
    <xf numFmtId="164" fontId="2" fillId="3" borderId="0" xfId="0" applyNumberFormat="1" applyFont="1" applyFill="1"/>
    <xf numFmtId="164" fontId="13" fillId="3" borderId="0" xfId="1" applyNumberFormat="1" applyFont="1" applyFill="1"/>
    <xf numFmtId="165" fontId="0" fillId="3" borderId="0" xfId="0" applyNumberFormat="1" applyFill="1" applyAlignment="1">
      <alignment horizontal="right"/>
    </xf>
    <xf numFmtId="164" fontId="0" fillId="3" borderId="0" xfId="0" applyNumberFormat="1" applyFill="1"/>
    <xf numFmtId="164" fontId="11" fillId="3" borderId="0" xfId="1" applyNumberFormat="1" applyFont="1" applyFill="1"/>
    <xf numFmtId="1" fontId="0" fillId="3" borderId="0" xfId="0" applyNumberFormat="1" applyFill="1"/>
    <xf numFmtId="43" fontId="0" fillId="3" borderId="0" xfId="0" applyNumberFormat="1" applyFill="1"/>
    <xf numFmtId="164" fontId="23" fillId="3" borderId="0" xfId="1" applyNumberFormat="1" applyFont="1" applyFill="1" applyBorder="1"/>
    <xf numFmtId="0" fontId="2" fillId="3" borderId="0" xfId="0" applyFont="1" applyFill="1"/>
    <xf numFmtId="11" fontId="0" fillId="3" borderId="0" xfId="0" applyNumberFormat="1" applyFill="1"/>
    <xf numFmtId="164" fontId="1" fillId="3" borderId="0" xfId="1" applyNumberFormat="1" applyFont="1" applyFill="1"/>
    <xf numFmtId="164" fontId="25" fillId="3" borderId="0" xfId="1" applyNumberFormat="1" applyFont="1" applyFill="1"/>
    <xf numFmtId="3" fontId="0" fillId="3" borderId="0" xfId="0" applyNumberFormat="1" applyFill="1"/>
    <xf numFmtId="0" fontId="0" fillId="0" borderId="0" xfId="0" quotePrefix="1"/>
    <xf numFmtId="0" fontId="26" fillId="0" borderId="0" xfId="0" applyFont="1"/>
    <xf numFmtId="0" fontId="13" fillId="4" borderId="0" xfId="0" applyFont="1" applyFill="1"/>
    <xf numFmtId="11" fontId="13" fillId="4" borderId="0" xfId="0" applyNumberFormat="1" applyFont="1" applyFill="1"/>
    <xf numFmtId="0" fontId="0" fillId="12" borderId="0" xfId="0" applyFill="1"/>
    <xf numFmtId="0" fontId="0" fillId="13" borderId="0" xfId="0" applyFill="1"/>
    <xf numFmtId="0" fontId="27" fillId="0" borderId="0" xfId="0" applyFont="1" applyAlignment="1">
      <alignment wrapText="1"/>
    </xf>
    <xf numFmtId="0" fontId="30" fillId="0" borderId="0" xfId="0" applyFont="1" applyAlignment="1">
      <alignment wrapText="1"/>
    </xf>
    <xf numFmtId="164" fontId="30" fillId="0" borderId="0" xfId="1" applyNumberFormat="1" applyFont="1" applyFill="1" applyAlignment="1">
      <alignment wrapText="1"/>
    </xf>
    <xf numFmtId="164" fontId="30" fillId="0" borderId="0" xfId="1" applyNumberFormat="1" applyFont="1" applyAlignment="1">
      <alignment wrapText="1"/>
    </xf>
    <xf numFmtId="0" fontId="27" fillId="14" borderId="0" xfId="0" applyFont="1" applyFill="1" applyAlignment="1">
      <alignment wrapText="1"/>
    </xf>
    <xf numFmtId="0" fontId="35" fillId="0" borderId="0" xfId="0" applyFont="1"/>
    <xf numFmtId="0" fontId="36" fillId="15" borderId="0" xfId="0" applyFont="1" applyFill="1"/>
    <xf numFmtId="0" fontId="0" fillId="15" borderId="0" xfId="0" applyFill="1"/>
    <xf numFmtId="0" fontId="0" fillId="15" borderId="0" xfId="0" applyFill="1" applyAlignment="1">
      <alignment horizontal="center"/>
    </xf>
    <xf numFmtId="43" fontId="0" fillId="15" borderId="0" xfId="0" applyNumberFormat="1" applyFill="1"/>
    <xf numFmtId="9" fontId="0" fillId="0" borderId="0" xfId="1" applyNumberFormat="1" applyFont="1"/>
    <xf numFmtId="0" fontId="0" fillId="11" borderId="0" xfId="0" applyFill="1"/>
    <xf numFmtId="0" fontId="0" fillId="10" borderId="0" xfId="0" applyFill="1"/>
    <xf numFmtId="37" fontId="2" fillId="0" borderId="0" xfId="1" applyNumberFormat="1" applyFont="1"/>
    <xf numFmtId="2" fontId="2" fillId="0" borderId="0" xfId="1" applyNumberFormat="1" applyFont="1"/>
    <xf numFmtId="2" fontId="0" fillId="0" borderId="0" xfId="0" applyNumberFormat="1"/>
    <xf numFmtId="0" fontId="9" fillId="6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4">
    <cellStyle name="Comma" xfId="1" builtinId="3"/>
    <cellStyle name="Normal" xfId="0" builtinId="0"/>
    <cellStyle name="Normal 2" xfId="3" xr:uid="{DC2F3041-0D07-4DB8-B11F-BFAA6A9B50F0}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AFOGNAK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'rockfish harvests'!$B$2:$B$26</c:f>
            </c:multiLvlStrRef>
          </c:cat>
          <c:val>
            <c:numRef>
              <c:f>'rockfish harvests'!$D$2:$D$26</c:f>
            </c:numRef>
          </c:val>
          <c:smooth val="0"/>
          <c:extLst>
            <c:ext xmlns:c16="http://schemas.microsoft.com/office/drawing/2014/chart" uri="{C3380CC4-5D6E-409C-BE32-E72D297353CC}">
              <c16:uniqueId val="{00000000-AB4F-4688-9DB6-4023C9734F88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harvests'!$N$2:$N$25</c:f>
              </c:numRef>
            </c:plus>
            <c:minus>
              <c:numRef>
                <c:f>'rockfish harvests'!$N$2:$N$25</c:f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'rockfish harvests'!$B$2:$B$26</c:f>
            </c:multiLvlStrRef>
          </c:cat>
          <c:val>
            <c:numRef>
              <c:f>'rockfish harvests'!$O$2:$O$26</c:f>
            </c:numRef>
          </c:val>
          <c:smooth val="0"/>
          <c:extLst>
            <c:ext xmlns:c16="http://schemas.microsoft.com/office/drawing/2014/chart" uri="{C3380CC4-5D6E-409C-BE32-E72D297353CC}">
              <c16:uniqueId val="{00000001-AB4F-4688-9DB6-4023C9734F88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harvests'!$N$2:$N$25</c:f>
              </c:numRef>
            </c:plus>
            <c:minus>
              <c:numRef>
                <c:f>'rockfish harvests'!$O$2:$O$25</c:f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multiLvlStrRef>
              <c:f>'rockfish harvests'!$B$2:$B$26</c:f>
            </c:multiLvlStrRef>
          </c:cat>
          <c:val>
            <c:numRef>
              <c:f>'rockfish harvests'!$K$2:$K$26</c:f>
            </c:numRef>
          </c:val>
          <c:smooth val="0"/>
          <c:extLst>
            <c:ext xmlns:c16="http://schemas.microsoft.com/office/drawing/2014/chart" uri="{C3380CC4-5D6E-409C-BE32-E72D297353CC}">
              <c16:uniqueId val="{00000002-AB4F-4688-9DB6-4023C97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CSEO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'rockfish harvests'!$B$2:$B$25</c:f>
            </c:multiLvlStrRef>
          </c:cat>
          <c:val>
            <c:numRef>
              <c:f>'rockfish harvests'!$D$227:$D$250</c:f>
              <c:numCache>
                <c:formatCode>_(* #,##0_);_(* \(#,##0\);_(* "-"??_);_(@_)</c:formatCode>
                <c:ptCount val="24"/>
                <c:pt idx="0">
                  <c:v>9366</c:v>
                </c:pt>
                <c:pt idx="1">
                  <c:v>9636</c:v>
                </c:pt>
                <c:pt idx="2">
                  <c:v>16855</c:v>
                </c:pt>
                <c:pt idx="3">
                  <c:v>15083</c:v>
                </c:pt>
                <c:pt idx="4">
                  <c:v>14004</c:v>
                </c:pt>
                <c:pt idx="5">
                  <c:v>15272</c:v>
                </c:pt>
                <c:pt idx="6">
                  <c:v>21796</c:v>
                </c:pt>
                <c:pt idx="7">
                  <c:v>27304</c:v>
                </c:pt>
                <c:pt idx="8">
                  <c:v>33748</c:v>
                </c:pt>
                <c:pt idx="9">
                  <c:v>38443</c:v>
                </c:pt>
                <c:pt idx="10">
                  <c:v>52901</c:v>
                </c:pt>
                <c:pt idx="11">
                  <c:v>31717</c:v>
                </c:pt>
                <c:pt idx="12">
                  <c:v>43813</c:v>
                </c:pt>
                <c:pt idx="13">
                  <c:v>58843</c:v>
                </c:pt>
                <c:pt idx="14">
                  <c:v>57675</c:v>
                </c:pt>
                <c:pt idx="15">
                  <c:v>60735</c:v>
                </c:pt>
                <c:pt idx="16">
                  <c:v>73709</c:v>
                </c:pt>
                <c:pt idx="17">
                  <c:v>80105</c:v>
                </c:pt>
                <c:pt idx="18">
                  <c:v>54908</c:v>
                </c:pt>
                <c:pt idx="19">
                  <c:v>57388</c:v>
                </c:pt>
                <c:pt idx="20">
                  <c:v>55460</c:v>
                </c:pt>
                <c:pt idx="21">
                  <c:v>59842</c:v>
                </c:pt>
                <c:pt idx="22">
                  <c:v>24728</c:v>
                </c:pt>
                <c:pt idx="23">
                  <c:v>56521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D-46A8-98F4-9639A24C9832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harvests'!$N$227:$N$250</c:f>
                <c:numCache>
                  <c:formatCode>General</c:formatCode>
                  <c:ptCount val="24"/>
                  <c:pt idx="0">
                    <c:v>928.15278951574248</c:v>
                  </c:pt>
                  <c:pt idx="1">
                    <c:v>954.90927608089839</c:v>
                  </c:pt>
                  <c:pt idx="2">
                    <c:v>1670.2984483544565</c:v>
                  </c:pt>
                  <c:pt idx="3">
                    <c:v>1494.696618008322</c:v>
                  </c:pt>
                  <c:pt idx="4">
                    <c:v>1387.7697698460879</c:v>
                  </c:pt>
                  <c:pt idx="5">
                    <c:v>1513.4261586039311</c:v>
                  </c:pt>
                  <c:pt idx="6">
                    <c:v>2159.9421524968102</c:v>
                  </c:pt>
                  <c:pt idx="7">
                    <c:v>2705.7744784259908</c:v>
                  </c:pt>
                  <c:pt idx="8">
                    <c:v>3344.3626244477127</c:v>
                  </c:pt>
                  <c:pt idx="9">
                    <c:v>3809.6281963862571</c:v>
                  </c:pt>
                  <c:pt idx="10">
                    <c:v>5242.3885029011626</c:v>
                  </c:pt>
                  <c:pt idx="11">
                    <c:v>3143.0943866187063</c:v>
                  </c:pt>
                  <c:pt idx="12">
                    <c:v>4341.784984737692</c:v>
                  </c:pt>
                  <c:pt idx="13">
                    <c:v>5237.8259056558345</c:v>
                  </c:pt>
                  <c:pt idx="14">
                    <c:v>1986.7369684830257</c:v>
                  </c:pt>
                  <c:pt idx="15">
                    <c:v>3837.7551421079688</c:v>
                  </c:pt>
                  <c:pt idx="16">
                    <c:v>6200.0184091355277</c:v>
                  </c:pt>
                  <c:pt idx="17">
                    <c:v>3471.8909723467677</c:v>
                  </c:pt>
                  <c:pt idx="18">
                    <c:v>3051.0380270602022</c:v>
                  </c:pt>
                  <c:pt idx="19">
                    <c:v>7134.3252309842155</c:v>
                  </c:pt>
                  <c:pt idx="20">
                    <c:v>2239.5352274329302</c:v>
                  </c:pt>
                  <c:pt idx="21">
                    <c:v>3882.2784055378902</c:v>
                  </c:pt>
                  <c:pt idx="22">
                    <c:v>3477.975417217107</c:v>
                  </c:pt>
                  <c:pt idx="23">
                    <c:v>2375.3963382481693</c:v>
                  </c:pt>
                </c:numCache>
              </c:numRef>
            </c:plus>
            <c:minus>
              <c:numRef>
                <c:f>'rockfish harvests'!$N$227:$N$250</c:f>
                <c:numCache>
                  <c:formatCode>General</c:formatCode>
                  <c:ptCount val="24"/>
                  <c:pt idx="0">
                    <c:v>928.15278951574248</c:v>
                  </c:pt>
                  <c:pt idx="1">
                    <c:v>954.90927608089839</c:v>
                  </c:pt>
                  <c:pt idx="2">
                    <c:v>1670.2984483544565</c:v>
                  </c:pt>
                  <c:pt idx="3">
                    <c:v>1494.696618008322</c:v>
                  </c:pt>
                  <c:pt idx="4">
                    <c:v>1387.7697698460879</c:v>
                  </c:pt>
                  <c:pt idx="5">
                    <c:v>1513.4261586039311</c:v>
                  </c:pt>
                  <c:pt idx="6">
                    <c:v>2159.9421524968102</c:v>
                  </c:pt>
                  <c:pt idx="7">
                    <c:v>2705.7744784259908</c:v>
                  </c:pt>
                  <c:pt idx="8">
                    <c:v>3344.3626244477127</c:v>
                  </c:pt>
                  <c:pt idx="9">
                    <c:v>3809.6281963862571</c:v>
                  </c:pt>
                  <c:pt idx="10">
                    <c:v>5242.3885029011626</c:v>
                  </c:pt>
                  <c:pt idx="11">
                    <c:v>3143.0943866187063</c:v>
                  </c:pt>
                  <c:pt idx="12">
                    <c:v>4341.784984737692</c:v>
                  </c:pt>
                  <c:pt idx="13">
                    <c:v>5237.8259056558345</c:v>
                  </c:pt>
                  <c:pt idx="14">
                    <c:v>1986.7369684830257</c:v>
                  </c:pt>
                  <c:pt idx="15">
                    <c:v>3837.7551421079688</c:v>
                  </c:pt>
                  <c:pt idx="16">
                    <c:v>6200.0184091355277</c:v>
                  </c:pt>
                  <c:pt idx="17">
                    <c:v>3471.8909723467677</c:v>
                  </c:pt>
                  <c:pt idx="18">
                    <c:v>3051.0380270602022</c:v>
                  </c:pt>
                  <c:pt idx="19">
                    <c:v>7134.3252309842155</c:v>
                  </c:pt>
                  <c:pt idx="20">
                    <c:v>2239.5352274329302</c:v>
                  </c:pt>
                  <c:pt idx="21">
                    <c:v>3882.2784055378902</c:v>
                  </c:pt>
                  <c:pt idx="22">
                    <c:v>3477.975417217107</c:v>
                  </c:pt>
                  <c:pt idx="23">
                    <c:v>2375.3963382481693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'rockfish harvests'!$B$2:$B$25</c:f>
            </c:multiLvlStrRef>
          </c:cat>
          <c:val>
            <c:numRef>
              <c:f>'rockfish harvests'!$O$227:$O$250</c:f>
              <c:numCache>
                <c:formatCode>_(* #,##0_);_(* \(#,##0\);_(* "-"??_);_(@_)</c:formatCode>
                <c:ptCount val="24"/>
                <c:pt idx="0">
                  <c:v>1419.5566561478372</c:v>
                </c:pt>
                <c:pt idx="1">
                  <c:v>1460.4791734615155</c:v>
                </c:pt>
                <c:pt idx="2">
                  <c:v>2554.6260345261362</c:v>
                </c:pt>
                <c:pt idx="3">
                  <c:v>2286.0530690452506</c:v>
                </c:pt>
                <c:pt idx="4">
                  <c:v>2122.5145646694764</c:v>
                </c:pt>
                <c:pt idx="5">
                  <c:v>2314.6988311648274</c:v>
                </c:pt>
                <c:pt idx="6">
                  <c:v>3303.5081013664603</c:v>
                </c:pt>
                <c:pt idx="7">
                  <c:v>4138.3274545655077</c:v>
                </c:pt>
                <c:pt idx="8">
                  <c:v>5115.01153445198</c:v>
                </c:pt>
                <c:pt idx="9">
                  <c:v>5826.6086410731732</c:v>
                </c:pt>
                <c:pt idx="10">
                  <c:v>8017.9336607812002</c:v>
                </c:pt>
                <c:pt idx="11">
                  <c:v>4807.1832653257516</c:v>
                </c:pt>
                <c:pt idx="12">
                  <c:v>6640.5120409785595</c:v>
                </c:pt>
                <c:pt idx="13">
                  <c:v>9637.9680383923114</c:v>
                </c:pt>
                <c:pt idx="14">
                  <c:v>6152.5876396981548</c:v>
                </c:pt>
                <c:pt idx="15">
                  <c:v>9629.9871638141776</c:v>
                </c:pt>
                <c:pt idx="16">
                  <c:v>12999.052896462119</c:v>
                </c:pt>
                <c:pt idx="17">
                  <c:v>8154.5459903117735</c:v>
                </c:pt>
                <c:pt idx="18">
                  <c:v>8439.7721422199611</c:v>
                </c:pt>
                <c:pt idx="19">
                  <c:v>14552.082903438393</c:v>
                </c:pt>
                <c:pt idx="20">
                  <c:v>6239.0473207200412</c:v>
                </c:pt>
                <c:pt idx="21">
                  <c:v>9834.2503043694014</c:v>
                </c:pt>
                <c:pt idx="22">
                  <c:v>5579.5825129317564</c:v>
                </c:pt>
                <c:pt idx="23">
                  <c:v>6300.3832456916716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7D-46A8-98F4-9639A24C9832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harvests'!$N$227:$N$250</c:f>
                <c:numCache>
                  <c:formatCode>General</c:formatCode>
                  <c:ptCount val="24"/>
                  <c:pt idx="0">
                    <c:v>928.15278951574248</c:v>
                  </c:pt>
                  <c:pt idx="1">
                    <c:v>954.90927608089839</c:v>
                  </c:pt>
                  <c:pt idx="2">
                    <c:v>1670.2984483544565</c:v>
                  </c:pt>
                  <c:pt idx="3">
                    <c:v>1494.696618008322</c:v>
                  </c:pt>
                  <c:pt idx="4">
                    <c:v>1387.7697698460879</c:v>
                  </c:pt>
                  <c:pt idx="5">
                    <c:v>1513.4261586039311</c:v>
                  </c:pt>
                  <c:pt idx="6">
                    <c:v>2159.9421524968102</c:v>
                  </c:pt>
                  <c:pt idx="7">
                    <c:v>2705.7744784259908</c:v>
                  </c:pt>
                  <c:pt idx="8">
                    <c:v>3344.3626244477127</c:v>
                  </c:pt>
                  <c:pt idx="9">
                    <c:v>3809.6281963862571</c:v>
                  </c:pt>
                  <c:pt idx="10">
                    <c:v>5242.3885029011626</c:v>
                  </c:pt>
                  <c:pt idx="11">
                    <c:v>3143.0943866187063</c:v>
                  </c:pt>
                  <c:pt idx="12">
                    <c:v>4341.784984737692</c:v>
                  </c:pt>
                  <c:pt idx="13">
                    <c:v>5237.8259056558345</c:v>
                  </c:pt>
                  <c:pt idx="14">
                    <c:v>1986.7369684830257</c:v>
                  </c:pt>
                  <c:pt idx="15">
                    <c:v>3837.7551421079688</c:v>
                  </c:pt>
                  <c:pt idx="16">
                    <c:v>6200.0184091355277</c:v>
                  </c:pt>
                  <c:pt idx="17">
                    <c:v>3471.8909723467677</c:v>
                  </c:pt>
                  <c:pt idx="18">
                    <c:v>3051.0380270602022</c:v>
                  </c:pt>
                  <c:pt idx="19">
                    <c:v>7134.3252309842155</c:v>
                  </c:pt>
                  <c:pt idx="20">
                    <c:v>2239.5352274329302</c:v>
                  </c:pt>
                  <c:pt idx="21">
                    <c:v>3882.2784055378902</c:v>
                  </c:pt>
                  <c:pt idx="22">
                    <c:v>3477.975417217107</c:v>
                  </c:pt>
                  <c:pt idx="23">
                    <c:v>2375.3963382481693</c:v>
                  </c:pt>
                </c:numCache>
              </c:numRef>
            </c:plus>
            <c:minus>
              <c:numRef>
                <c:f>'rockfish harvests'!$N$227:$N$250</c:f>
                <c:numCache>
                  <c:formatCode>General</c:formatCode>
                  <c:ptCount val="24"/>
                  <c:pt idx="0">
                    <c:v>928.15278951574248</c:v>
                  </c:pt>
                  <c:pt idx="1">
                    <c:v>954.90927608089839</c:v>
                  </c:pt>
                  <c:pt idx="2">
                    <c:v>1670.2984483544565</c:v>
                  </c:pt>
                  <c:pt idx="3">
                    <c:v>1494.696618008322</c:v>
                  </c:pt>
                  <c:pt idx="4">
                    <c:v>1387.7697698460879</c:v>
                  </c:pt>
                  <c:pt idx="5">
                    <c:v>1513.4261586039311</c:v>
                  </c:pt>
                  <c:pt idx="6">
                    <c:v>2159.9421524968102</c:v>
                  </c:pt>
                  <c:pt idx="7">
                    <c:v>2705.7744784259908</c:v>
                  </c:pt>
                  <c:pt idx="8">
                    <c:v>3344.3626244477127</c:v>
                  </c:pt>
                  <c:pt idx="9">
                    <c:v>3809.6281963862571</c:v>
                  </c:pt>
                  <c:pt idx="10">
                    <c:v>5242.3885029011626</c:v>
                  </c:pt>
                  <c:pt idx="11">
                    <c:v>3143.0943866187063</c:v>
                  </c:pt>
                  <c:pt idx="12">
                    <c:v>4341.784984737692</c:v>
                  </c:pt>
                  <c:pt idx="13">
                    <c:v>5237.8259056558345</c:v>
                  </c:pt>
                  <c:pt idx="14">
                    <c:v>1986.7369684830257</c:v>
                  </c:pt>
                  <c:pt idx="15">
                    <c:v>3837.7551421079688</c:v>
                  </c:pt>
                  <c:pt idx="16">
                    <c:v>6200.0184091355277</c:v>
                  </c:pt>
                  <c:pt idx="17">
                    <c:v>3471.8909723467677</c:v>
                  </c:pt>
                  <c:pt idx="18">
                    <c:v>3051.0380270602022</c:v>
                  </c:pt>
                  <c:pt idx="19">
                    <c:v>7134.3252309842155</c:v>
                  </c:pt>
                  <c:pt idx="20">
                    <c:v>2239.5352274329302</c:v>
                  </c:pt>
                  <c:pt idx="21">
                    <c:v>3882.2784055378902</c:v>
                  </c:pt>
                  <c:pt idx="22">
                    <c:v>3477.975417217107</c:v>
                  </c:pt>
                  <c:pt idx="23">
                    <c:v>2375.3963382481693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multiLvlStrRef>
              <c:f>'rockfish harvests'!$B$2:$B$25</c:f>
            </c:multiLvlStrRef>
          </c:cat>
          <c:val>
            <c:numRef>
              <c:f>'rockfish harvests'!$K$227:$K$250</c:f>
              <c:numCache>
                <c:formatCode>_(* #,##0_);_(* \(#,##0\);_(* "-"??_);_(@_)</c:formatCode>
                <c:ptCount val="24"/>
                <c:pt idx="0">
                  <c:v>10785.556656147837</c:v>
                </c:pt>
                <c:pt idx="1">
                  <c:v>11096.479173461516</c:v>
                </c:pt>
                <c:pt idx="2">
                  <c:v>19409.626034526136</c:v>
                </c:pt>
                <c:pt idx="3">
                  <c:v>17369.053069045251</c:v>
                </c:pt>
                <c:pt idx="4">
                  <c:v>16126.514564669476</c:v>
                </c:pt>
                <c:pt idx="5">
                  <c:v>17586.698831164827</c:v>
                </c:pt>
                <c:pt idx="6">
                  <c:v>25099.50810136646</c:v>
                </c:pt>
                <c:pt idx="7">
                  <c:v>31442.327454565508</c:v>
                </c:pt>
                <c:pt idx="8">
                  <c:v>38863.01153445198</c:v>
                </c:pt>
                <c:pt idx="9">
                  <c:v>44269.608641073173</c:v>
                </c:pt>
                <c:pt idx="10">
                  <c:v>60918.9336607812</c:v>
                </c:pt>
                <c:pt idx="11">
                  <c:v>36524.183265325752</c:v>
                </c:pt>
                <c:pt idx="12">
                  <c:v>50453.51204097856</c:v>
                </c:pt>
                <c:pt idx="13">
                  <c:v>68480.968038392311</c:v>
                </c:pt>
                <c:pt idx="14">
                  <c:v>63827.587639698155</c:v>
                </c:pt>
                <c:pt idx="15">
                  <c:v>70364.987163814178</c:v>
                </c:pt>
                <c:pt idx="16">
                  <c:v>86708.052896462119</c:v>
                </c:pt>
                <c:pt idx="17">
                  <c:v>88259.545990311773</c:v>
                </c:pt>
                <c:pt idx="18">
                  <c:v>63347.772142219961</c:v>
                </c:pt>
                <c:pt idx="19">
                  <c:v>71940.082903438393</c:v>
                </c:pt>
                <c:pt idx="20">
                  <c:v>61699.047320720041</c:v>
                </c:pt>
                <c:pt idx="21">
                  <c:v>69676.250304369401</c:v>
                </c:pt>
                <c:pt idx="22">
                  <c:v>30307.582512931756</c:v>
                </c:pt>
                <c:pt idx="23">
                  <c:v>62821.383245691672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7D-46A8-98F4-9639A24C9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EWYKT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'rockfish harvests'!$B$2:$B$25</c:f>
            </c:multiLvlStrRef>
          </c:cat>
          <c:val>
            <c:numRef>
              <c:f>'rockfish harvests'!$D$252:$D$275</c:f>
              <c:numCache>
                <c:formatCode>_(* #,##0_);_(* \(#,##0\);_(* "-"??_);_(@_)</c:formatCode>
                <c:ptCount val="24"/>
                <c:pt idx="0">
                  <c:v>1305</c:v>
                </c:pt>
                <c:pt idx="1">
                  <c:v>663</c:v>
                </c:pt>
                <c:pt idx="2">
                  <c:v>1199</c:v>
                </c:pt>
                <c:pt idx="3">
                  <c:v>1043</c:v>
                </c:pt>
                <c:pt idx="4">
                  <c:v>893</c:v>
                </c:pt>
                <c:pt idx="5">
                  <c:v>1627</c:v>
                </c:pt>
                <c:pt idx="6">
                  <c:v>1501</c:v>
                </c:pt>
                <c:pt idx="7">
                  <c:v>1676</c:v>
                </c:pt>
                <c:pt idx="8">
                  <c:v>2529</c:v>
                </c:pt>
                <c:pt idx="9">
                  <c:v>2290</c:v>
                </c:pt>
                <c:pt idx="10">
                  <c:v>2857</c:v>
                </c:pt>
                <c:pt idx="11">
                  <c:v>2494</c:v>
                </c:pt>
                <c:pt idx="12">
                  <c:v>2435</c:v>
                </c:pt>
                <c:pt idx="13">
                  <c:v>2848</c:v>
                </c:pt>
                <c:pt idx="14">
                  <c:v>3241</c:v>
                </c:pt>
                <c:pt idx="15">
                  <c:v>3884</c:v>
                </c:pt>
                <c:pt idx="16">
                  <c:v>4695</c:v>
                </c:pt>
                <c:pt idx="17">
                  <c:v>5729</c:v>
                </c:pt>
                <c:pt idx="18">
                  <c:v>7499</c:v>
                </c:pt>
                <c:pt idx="19">
                  <c:v>6324</c:v>
                </c:pt>
                <c:pt idx="20">
                  <c:v>8659</c:v>
                </c:pt>
                <c:pt idx="21">
                  <c:v>7908</c:v>
                </c:pt>
                <c:pt idx="22">
                  <c:v>4059</c:v>
                </c:pt>
                <c:pt idx="23">
                  <c:v>7343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9-4484-A775-C33FCBB708D2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harvests'!$N$252:$N$275</c:f>
                <c:numCache>
                  <c:formatCode>General</c:formatCode>
                  <c:ptCount val="24"/>
                  <c:pt idx="0">
                    <c:v>322.60872756906338</c:v>
                  </c:pt>
                  <c:pt idx="1">
                    <c:v>163.90006619025979</c:v>
                  </c:pt>
                  <c:pt idx="2">
                    <c:v>296.40449375885595</c:v>
                  </c:pt>
                  <c:pt idx="3">
                    <c:v>257.83977230232421</c:v>
                  </c:pt>
                  <c:pt idx="4">
                    <c:v>220.7583093633514</c:v>
                  </c:pt>
                  <c:pt idx="5">
                    <c:v>402.21026801139163</c:v>
                  </c:pt>
                  <c:pt idx="6">
                    <c:v>371.06183914265449</c:v>
                  </c:pt>
                  <c:pt idx="7">
                    <c:v>414.32354590478946</c:v>
                  </c:pt>
                  <c:pt idx="8">
                    <c:v>625.19346515108134</c:v>
                  </c:pt>
                  <c:pt idx="9">
                    <c:v>566.11033420165143</c:v>
                  </c:pt>
                  <c:pt idx="10">
                    <c:v>706.27826411096862</c:v>
                  </c:pt>
                  <c:pt idx="11">
                    <c:v>616.54112379865444</c:v>
                  </c:pt>
                  <c:pt idx="12">
                    <c:v>601.9557483759919</c:v>
                  </c:pt>
                  <c:pt idx="13">
                    <c:v>1246.848710051574</c:v>
                  </c:pt>
                  <c:pt idx="14">
                    <c:v>430.75583407997971</c:v>
                  </c:pt>
                  <c:pt idx="15">
                    <c:v>578.15780132954842</c:v>
                  </c:pt>
                  <c:pt idx="16">
                    <c:v>948.18350591791136</c:v>
                  </c:pt>
                  <c:pt idx="17">
                    <c:v>2069.7014659136921</c:v>
                  </c:pt>
                  <c:pt idx="18">
                    <c:v>1415.859437828404</c:v>
                  </c:pt>
                  <c:pt idx="19">
                    <c:v>857.19803430068043</c:v>
                  </c:pt>
                  <c:pt idx="20">
                    <c:v>1389.9049947611211</c:v>
                  </c:pt>
                  <c:pt idx="21">
                    <c:v>2170.8886425619121</c:v>
                  </c:pt>
                  <c:pt idx="22">
                    <c:v>648.7067836537226</c:v>
                  </c:pt>
                  <c:pt idx="23">
                    <c:v>1079.5672877968864</c:v>
                  </c:pt>
                </c:numCache>
              </c:numRef>
            </c:plus>
            <c:minus>
              <c:numRef>
                <c:f>'rockfish harvests'!$N$252:$N$275</c:f>
                <c:numCache>
                  <c:formatCode>General</c:formatCode>
                  <c:ptCount val="24"/>
                  <c:pt idx="0">
                    <c:v>322.60872756906338</c:v>
                  </c:pt>
                  <c:pt idx="1">
                    <c:v>163.90006619025979</c:v>
                  </c:pt>
                  <c:pt idx="2">
                    <c:v>296.40449375885595</c:v>
                  </c:pt>
                  <c:pt idx="3">
                    <c:v>257.83977230232421</c:v>
                  </c:pt>
                  <c:pt idx="4">
                    <c:v>220.7583093633514</c:v>
                  </c:pt>
                  <c:pt idx="5">
                    <c:v>402.21026801139163</c:v>
                  </c:pt>
                  <c:pt idx="6">
                    <c:v>371.06183914265449</c:v>
                  </c:pt>
                  <c:pt idx="7">
                    <c:v>414.32354590478946</c:v>
                  </c:pt>
                  <c:pt idx="8">
                    <c:v>625.19346515108134</c:v>
                  </c:pt>
                  <c:pt idx="9">
                    <c:v>566.11033420165143</c:v>
                  </c:pt>
                  <c:pt idx="10">
                    <c:v>706.27826411096862</c:v>
                  </c:pt>
                  <c:pt idx="11">
                    <c:v>616.54112379865444</c:v>
                  </c:pt>
                  <c:pt idx="12">
                    <c:v>601.9557483759919</c:v>
                  </c:pt>
                  <c:pt idx="13">
                    <c:v>1246.848710051574</c:v>
                  </c:pt>
                  <c:pt idx="14">
                    <c:v>430.75583407997971</c:v>
                  </c:pt>
                  <c:pt idx="15">
                    <c:v>578.15780132954842</c:v>
                  </c:pt>
                  <c:pt idx="16">
                    <c:v>948.18350591791136</c:v>
                  </c:pt>
                  <c:pt idx="17">
                    <c:v>2069.7014659136921</c:v>
                  </c:pt>
                  <c:pt idx="18">
                    <c:v>1415.859437828404</c:v>
                  </c:pt>
                  <c:pt idx="19">
                    <c:v>857.19803430068043</c:v>
                  </c:pt>
                  <c:pt idx="20">
                    <c:v>1389.9049947611211</c:v>
                  </c:pt>
                  <c:pt idx="21">
                    <c:v>2170.8886425619121</c:v>
                  </c:pt>
                  <c:pt idx="22">
                    <c:v>648.7067836537226</c:v>
                  </c:pt>
                  <c:pt idx="23">
                    <c:v>1079.5672877968864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'rockfish harvests'!$B$2:$B$25</c:f>
            </c:multiLvlStrRef>
          </c:cat>
          <c:val>
            <c:numRef>
              <c:f>'rockfish harvests'!$O$252:$O$275</c:f>
              <c:numCache>
                <c:formatCode>_(* #,##0_);_(* \(#,##0\);_(* "-"??_);_(@_)</c:formatCode>
                <c:ptCount val="24"/>
                <c:pt idx="0">
                  <c:v>340.03895326402039</c:v>
                </c:pt>
                <c:pt idx="1">
                  <c:v>172.7554222329851</c:v>
                </c:pt>
                <c:pt idx="2">
                  <c:v>312.41893100655966</c:v>
                </c:pt>
                <c:pt idx="3">
                  <c:v>271.77059636350441</c:v>
                </c:pt>
                <c:pt idx="4">
                  <c:v>232.6856592067204</c:v>
                </c:pt>
                <c:pt idx="5">
                  <c:v>423.94128502725016</c:v>
                </c:pt>
                <c:pt idx="6">
                  <c:v>391.10993781555135</c:v>
                </c:pt>
                <c:pt idx="7">
                  <c:v>436.70903116513273</c:v>
                </c:pt>
                <c:pt idx="8">
                  <c:v>658.97204046337765</c:v>
                </c:pt>
                <c:pt idx="9">
                  <c:v>596.69670726023514</c:v>
                </c:pt>
                <c:pt idx="10">
                  <c:v>744.43776971287843</c:v>
                </c:pt>
                <c:pt idx="11">
                  <c:v>649.85222179346101</c:v>
                </c:pt>
                <c:pt idx="12">
                  <c:v>634.4788131784594</c:v>
                </c:pt>
                <c:pt idx="13">
                  <c:v>1436.4366812227072</c:v>
                </c:pt>
                <c:pt idx="14">
                  <c:v>535.14427701186287</c:v>
                </c:pt>
                <c:pt idx="15">
                  <c:v>591.36648814078035</c:v>
                </c:pt>
                <c:pt idx="16">
                  <c:v>1023.1397849462364</c:v>
                </c:pt>
                <c:pt idx="17">
                  <c:v>2397.5678935972783</c:v>
                </c:pt>
                <c:pt idx="18">
                  <c:v>2107.8674308497375</c:v>
                </c:pt>
                <c:pt idx="19">
                  <c:v>1256.0488400488402</c:v>
                </c:pt>
                <c:pt idx="20">
                  <c:v>1971.3795063043872</c:v>
                </c:pt>
                <c:pt idx="21">
                  <c:v>3002.4944735311237</c:v>
                </c:pt>
                <c:pt idx="22">
                  <c:v>914.63838771593146</c:v>
                </c:pt>
                <c:pt idx="23">
                  <c:v>1513.750779741571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9-4484-A775-C33FCBB708D2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harvests'!$N$252:$N$275</c:f>
                <c:numCache>
                  <c:formatCode>General</c:formatCode>
                  <c:ptCount val="24"/>
                  <c:pt idx="0">
                    <c:v>322.60872756906338</c:v>
                  </c:pt>
                  <c:pt idx="1">
                    <c:v>163.90006619025979</c:v>
                  </c:pt>
                  <c:pt idx="2">
                    <c:v>296.40449375885595</c:v>
                  </c:pt>
                  <c:pt idx="3">
                    <c:v>257.83977230232421</c:v>
                  </c:pt>
                  <c:pt idx="4">
                    <c:v>220.7583093633514</c:v>
                  </c:pt>
                  <c:pt idx="5">
                    <c:v>402.21026801139163</c:v>
                  </c:pt>
                  <c:pt idx="6">
                    <c:v>371.06183914265449</c:v>
                  </c:pt>
                  <c:pt idx="7">
                    <c:v>414.32354590478946</c:v>
                  </c:pt>
                  <c:pt idx="8">
                    <c:v>625.19346515108134</c:v>
                  </c:pt>
                  <c:pt idx="9">
                    <c:v>566.11033420165143</c:v>
                  </c:pt>
                  <c:pt idx="10">
                    <c:v>706.27826411096862</c:v>
                  </c:pt>
                  <c:pt idx="11">
                    <c:v>616.54112379865444</c:v>
                  </c:pt>
                  <c:pt idx="12">
                    <c:v>601.9557483759919</c:v>
                  </c:pt>
                  <c:pt idx="13">
                    <c:v>1246.848710051574</c:v>
                  </c:pt>
                  <c:pt idx="14">
                    <c:v>430.75583407997971</c:v>
                  </c:pt>
                  <c:pt idx="15">
                    <c:v>578.15780132954842</c:v>
                  </c:pt>
                  <c:pt idx="16">
                    <c:v>948.18350591791136</c:v>
                  </c:pt>
                  <c:pt idx="17">
                    <c:v>2069.7014659136921</c:v>
                  </c:pt>
                  <c:pt idx="18">
                    <c:v>1415.859437828404</c:v>
                  </c:pt>
                  <c:pt idx="19">
                    <c:v>857.19803430068043</c:v>
                  </c:pt>
                  <c:pt idx="20">
                    <c:v>1389.9049947611211</c:v>
                  </c:pt>
                  <c:pt idx="21">
                    <c:v>2170.8886425619121</c:v>
                  </c:pt>
                  <c:pt idx="22">
                    <c:v>648.7067836537226</c:v>
                  </c:pt>
                  <c:pt idx="23">
                    <c:v>1079.5672877968864</c:v>
                  </c:pt>
                </c:numCache>
              </c:numRef>
            </c:plus>
            <c:minus>
              <c:numRef>
                <c:f>'rockfish harvests'!$N$252:$N$275</c:f>
                <c:numCache>
                  <c:formatCode>General</c:formatCode>
                  <c:ptCount val="24"/>
                  <c:pt idx="0">
                    <c:v>322.60872756906338</c:v>
                  </c:pt>
                  <c:pt idx="1">
                    <c:v>163.90006619025979</c:v>
                  </c:pt>
                  <c:pt idx="2">
                    <c:v>296.40449375885595</c:v>
                  </c:pt>
                  <c:pt idx="3">
                    <c:v>257.83977230232421</c:v>
                  </c:pt>
                  <c:pt idx="4">
                    <c:v>220.7583093633514</c:v>
                  </c:pt>
                  <c:pt idx="5">
                    <c:v>402.21026801139163</c:v>
                  </c:pt>
                  <c:pt idx="6">
                    <c:v>371.06183914265449</c:v>
                  </c:pt>
                  <c:pt idx="7">
                    <c:v>414.32354590478946</c:v>
                  </c:pt>
                  <c:pt idx="8">
                    <c:v>625.19346515108134</c:v>
                  </c:pt>
                  <c:pt idx="9">
                    <c:v>566.11033420165143</c:v>
                  </c:pt>
                  <c:pt idx="10">
                    <c:v>706.27826411096862</c:v>
                  </c:pt>
                  <c:pt idx="11">
                    <c:v>616.54112379865444</c:v>
                  </c:pt>
                  <c:pt idx="12">
                    <c:v>601.9557483759919</c:v>
                  </c:pt>
                  <c:pt idx="13">
                    <c:v>1246.848710051574</c:v>
                  </c:pt>
                  <c:pt idx="14">
                    <c:v>430.75583407997971</c:v>
                  </c:pt>
                  <c:pt idx="15">
                    <c:v>578.15780132954842</c:v>
                  </c:pt>
                  <c:pt idx="16">
                    <c:v>948.18350591791136</c:v>
                  </c:pt>
                  <c:pt idx="17">
                    <c:v>2069.7014659136921</c:v>
                  </c:pt>
                  <c:pt idx="18">
                    <c:v>1415.859437828404</c:v>
                  </c:pt>
                  <c:pt idx="19">
                    <c:v>857.19803430068043</c:v>
                  </c:pt>
                  <c:pt idx="20">
                    <c:v>1389.9049947611211</c:v>
                  </c:pt>
                  <c:pt idx="21">
                    <c:v>2170.8886425619121</c:v>
                  </c:pt>
                  <c:pt idx="22">
                    <c:v>648.7067836537226</c:v>
                  </c:pt>
                  <c:pt idx="23">
                    <c:v>1079.5672877968864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multiLvlStrRef>
              <c:f>'rockfish harvests'!$B$2:$B$25</c:f>
            </c:multiLvlStrRef>
          </c:cat>
          <c:val>
            <c:numRef>
              <c:f>'rockfish harvests'!$K$252:$K$275</c:f>
              <c:numCache>
                <c:formatCode>_(* #,##0_);_(* \(#,##0\);_(* "-"??_);_(@_)</c:formatCode>
                <c:ptCount val="24"/>
                <c:pt idx="0">
                  <c:v>1645.0389532640204</c:v>
                </c:pt>
                <c:pt idx="1">
                  <c:v>835.7554222329851</c:v>
                </c:pt>
                <c:pt idx="2">
                  <c:v>1511.4189310065597</c:v>
                </c:pt>
                <c:pt idx="3">
                  <c:v>1314.7705963635044</c:v>
                </c:pt>
                <c:pt idx="4">
                  <c:v>1125.6856592067204</c:v>
                </c:pt>
                <c:pt idx="5">
                  <c:v>2050.9412850272502</c:v>
                </c:pt>
                <c:pt idx="6">
                  <c:v>1892.1099378155513</c:v>
                </c:pt>
                <c:pt idx="7">
                  <c:v>2112.7090311651327</c:v>
                </c:pt>
                <c:pt idx="8">
                  <c:v>3187.9720404633777</c:v>
                </c:pt>
                <c:pt idx="9">
                  <c:v>2886.6967072602351</c:v>
                </c:pt>
                <c:pt idx="10">
                  <c:v>3601.4377697128784</c:v>
                </c:pt>
                <c:pt idx="11">
                  <c:v>3143.852221793461</c:v>
                </c:pt>
                <c:pt idx="12">
                  <c:v>3069.4788131784594</c:v>
                </c:pt>
                <c:pt idx="13">
                  <c:v>4284.4366812227072</c:v>
                </c:pt>
                <c:pt idx="14">
                  <c:v>3776.1442770118629</c:v>
                </c:pt>
                <c:pt idx="15">
                  <c:v>4475.3664881407803</c:v>
                </c:pt>
                <c:pt idx="16">
                  <c:v>5718.1397849462364</c:v>
                </c:pt>
                <c:pt idx="17">
                  <c:v>8126.5678935972783</c:v>
                </c:pt>
                <c:pt idx="18">
                  <c:v>9606.8674308497375</c:v>
                </c:pt>
                <c:pt idx="19">
                  <c:v>7580.0488400488402</c:v>
                </c:pt>
                <c:pt idx="20">
                  <c:v>10630.379506304387</c:v>
                </c:pt>
                <c:pt idx="21">
                  <c:v>10910.494473531124</c:v>
                </c:pt>
                <c:pt idx="22">
                  <c:v>4973.6383877159315</c:v>
                </c:pt>
                <c:pt idx="23">
                  <c:v>8856.750779741571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59-4484-A775-C33FCBB70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NSEI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'rockfish harvests'!$B$2:$B$25</c:f>
            </c:multiLvlStrRef>
          </c:cat>
          <c:val>
            <c:numRef>
              <c:f>'rockfish harvests'!$D$277:$D$300</c:f>
              <c:numCache>
                <c:formatCode>_(* #,##0_);_(* \(#,##0\);_(* "-"??_);_(@_)</c:formatCode>
                <c:ptCount val="24"/>
                <c:pt idx="0">
                  <c:v>5285</c:v>
                </c:pt>
                <c:pt idx="1">
                  <c:v>6363</c:v>
                </c:pt>
                <c:pt idx="2">
                  <c:v>9746</c:v>
                </c:pt>
                <c:pt idx="3">
                  <c:v>7242</c:v>
                </c:pt>
                <c:pt idx="4">
                  <c:v>4958</c:v>
                </c:pt>
                <c:pt idx="5">
                  <c:v>6069</c:v>
                </c:pt>
                <c:pt idx="6">
                  <c:v>6052</c:v>
                </c:pt>
                <c:pt idx="7">
                  <c:v>7678</c:v>
                </c:pt>
                <c:pt idx="8">
                  <c:v>6437</c:v>
                </c:pt>
                <c:pt idx="9">
                  <c:v>7499</c:v>
                </c:pt>
                <c:pt idx="10">
                  <c:v>10923</c:v>
                </c:pt>
                <c:pt idx="11">
                  <c:v>9325</c:v>
                </c:pt>
                <c:pt idx="12">
                  <c:v>11942</c:v>
                </c:pt>
                <c:pt idx="13">
                  <c:v>13281</c:v>
                </c:pt>
                <c:pt idx="14">
                  <c:v>15243</c:v>
                </c:pt>
                <c:pt idx="15">
                  <c:v>14770</c:v>
                </c:pt>
                <c:pt idx="16">
                  <c:v>19857</c:v>
                </c:pt>
                <c:pt idx="17">
                  <c:v>22095</c:v>
                </c:pt>
                <c:pt idx="18">
                  <c:v>25877</c:v>
                </c:pt>
                <c:pt idx="19">
                  <c:v>24305</c:v>
                </c:pt>
                <c:pt idx="20">
                  <c:v>34673</c:v>
                </c:pt>
                <c:pt idx="21">
                  <c:v>36293</c:v>
                </c:pt>
                <c:pt idx="22">
                  <c:v>17585</c:v>
                </c:pt>
                <c:pt idx="23">
                  <c:v>33151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5-41D9-8E94-5A6D909F2BBE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harvests'!$N$277:$N$300</c:f>
                <c:numCache>
                  <c:formatCode>General</c:formatCode>
                  <c:ptCount val="24"/>
                  <c:pt idx="0">
                    <c:v>1732.8529109001979</c:v>
                  </c:pt>
                  <c:pt idx="1">
                    <c:v>2086.3090013354704</c:v>
                  </c:pt>
                  <c:pt idx="2">
                    <c:v>3195.5315931188893</c:v>
                  </c:pt>
                  <c:pt idx="3">
                    <c:v>2374.5167040187762</c:v>
                  </c:pt>
                  <c:pt idx="4">
                    <c:v>1625.6357109258622</c:v>
                  </c:pt>
                  <c:pt idx="5">
                    <c:v>1989.9118857622141</c:v>
                  </c:pt>
                  <c:pt idx="6">
                    <c:v>1984.3379028889306</c:v>
                  </c:pt>
                  <c:pt idx="7">
                    <c:v>2517.4729706512244</c:v>
                  </c:pt>
                  <c:pt idx="8">
                    <c:v>2110.5722209015275</c:v>
                  </c:pt>
                  <c:pt idx="9">
                    <c:v>2458.7822098090037</c:v>
                  </c:pt>
                  <c:pt idx="10">
                    <c:v>3581.4479367574004</c:v>
                  </c:pt>
                  <c:pt idx="11">
                    <c:v>3057.4935466687507</c:v>
                  </c:pt>
                  <c:pt idx="12">
                    <c:v>3915.5590278089244</c:v>
                  </c:pt>
                  <c:pt idx="13">
                    <c:v>3328.2823120072085</c:v>
                  </c:pt>
                  <c:pt idx="14">
                    <c:v>6534.94598288</c:v>
                  </c:pt>
                  <c:pt idx="15">
                    <c:v>3288.3571695421815</c:v>
                  </c:pt>
                  <c:pt idx="16">
                    <c:v>6050.2023310618406</c:v>
                  </c:pt>
                  <c:pt idx="17">
                    <c:v>4066.4283041859944</c:v>
                  </c:pt>
                  <c:pt idx="18">
                    <c:v>5096.9710971044397</c:v>
                  </c:pt>
                  <c:pt idx="19">
                    <c:v>7473.8420938857371</c:v>
                  </c:pt>
                  <c:pt idx="20">
                    <c:v>5611.8994573284481</c:v>
                  </c:pt>
                  <c:pt idx="21">
                    <c:v>9627.034141371827</c:v>
                  </c:pt>
                  <c:pt idx="22">
                    <c:v>2378.5554444398936</c:v>
                  </c:pt>
                  <c:pt idx="23">
                    <c:v>3852.8357477910167</c:v>
                  </c:pt>
                </c:numCache>
              </c:numRef>
            </c:plus>
            <c:minus>
              <c:numRef>
                <c:f>'rockfish harvests'!$N$277:$N$300</c:f>
                <c:numCache>
                  <c:formatCode>General</c:formatCode>
                  <c:ptCount val="24"/>
                  <c:pt idx="0">
                    <c:v>1732.8529109001979</c:v>
                  </c:pt>
                  <c:pt idx="1">
                    <c:v>2086.3090013354704</c:v>
                  </c:pt>
                  <c:pt idx="2">
                    <c:v>3195.5315931188893</c:v>
                  </c:pt>
                  <c:pt idx="3">
                    <c:v>2374.5167040187762</c:v>
                  </c:pt>
                  <c:pt idx="4">
                    <c:v>1625.6357109258622</c:v>
                  </c:pt>
                  <c:pt idx="5">
                    <c:v>1989.9118857622141</c:v>
                  </c:pt>
                  <c:pt idx="6">
                    <c:v>1984.3379028889306</c:v>
                  </c:pt>
                  <c:pt idx="7">
                    <c:v>2517.4729706512244</c:v>
                  </c:pt>
                  <c:pt idx="8">
                    <c:v>2110.5722209015275</c:v>
                  </c:pt>
                  <c:pt idx="9">
                    <c:v>2458.7822098090037</c:v>
                  </c:pt>
                  <c:pt idx="10">
                    <c:v>3581.4479367574004</c:v>
                  </c:pt>
                  <c:pt idx="11">
                    <c:v>3057.4935466687507</c:v>
                  </c:pt>
                  <c:pt idx="12">
                    <c:v>3915.5590278089244</c:v>
                  </c:pt>
                  <c:pt idx="13">
                    <c:v>3328.2823120072085</c:v>
                  </c:pt>
                  <c:pt idx="14">
                    <c:v>6534.94598288</c:v>
                  </c:pt>
                  <c:pt idx="15">
                    <c:v>3288.3571695421815</c:v>
                  </c:pt>
                  <c:pt idx="16">
                    <c:v>6050.2023310618406</c:v>
                  </c:pt>
                  <c:pt idx="17">
                    <c:v>4066.4283041859944</c:v>
                  </c:pt>
                  <c:pt idx="18">
                    <c:v>5096.9710971044397</c:v>
                  </c:pt>
                  <c:pt idx="19">
                    <c:v>7473.8420938857371</c:v>
                  </c:pt>
                  <c:pt idx="20">
                    <c:v>5611.8994573284481</c:v>
                  </c:pt>
                  <c:pt idx="21">
                    <c:v>9627.034141371827</c:v>
                  </c:pt>
                  <c:pt idx="22">
                    <c:v>2378.5554444398936</c:v>
                  </c:pt>
                  <c:pt idx="23">
                    <c:v>3852.8357477910167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'rockfish harvests'!$B$2:$B$25</c:f>
            </c:multiLvlStrRef>
          </c:cat>
          <c:val>
            <c:numRef>
              <c:f>'rockfish harvests'!$O$277:$O$300</c:f>
              <c:numCache>
                <c:formatCode>_(* #,##0_);_(* \(#,##0\);_(* "-"??_);_(@_)</c:formatCode>
                <c:ptCount val="24"/>
                <c:pt idx="0">
                  <c:v>3144.4015142904627</c:v>
                </c:pt>
                <c:pt idx="1">
                  <c:v>3785.7761278013659</c:v>
                </c:pt>
                <c:pt idx="2">
                  <c:v>5798.550077251628</c:v>
                </c:pt>
                <c:pt idx="3">
                  <c:v>4308.7522736975479</c:v>
                </c:pt>
                <c:pt idx="4">
                  <c:v>2949.8472484109971</c:v>
                </c:pt>
                <c:pt idx="5">
                  <c:v>3610.8557786620295</c:v>
                </c:pt>
                <c:pt idx="6">
                  <c:v>3600.7413367049921</c:v>
                </c:pt>
                <c:pt idx="7">
                  <c:v>4568.1579615368355</c:v>
                </c:pt>
                <c:pt idx="8">
                  <c:v>3829.8036986731713</c:v>
                </c:pt>
                <c:pt idx="9">
                  <c:v>4461.6588374009807</c:v>
                </c:pt>
                <c:pt idx="10">
                  <c:v>6498.8264409829208</c:v>
                </c:pt>
                <c:pt idx="11">
                  <c:v>5548.0688970214906</c:v>
                </c:pt>
                <c:pt idx="12">
                  <c:v>7105.0979912311668</c:v>
                </c:pt>
                <c:pt idx="13">
                  <c:v>7853.144125958821</c:v>
                </c:pt>
                <c:pt idx="14">
                  <c:v>15088.837840909095</c:v>
                </c:pt>
                <c:pt idx="15">
                  <c:v>8172.238805970148</c:v>
                </c:pt>
                <c:pt idx="16">
                  <c:v>12419.119924151324</c:v>
                </c:pt>
                <c:pt idx="17">
                  <c:v>9668.8857001484394</c:v>
                </c:pt>
                <c:pt idx="18">
                  <c:v>14189.291818701371</c:v>
                </c:pt>
                <c:pt idx="19">
                  <c:v>16806.228360636691</c:v>
                </c:pt>
                <c:pt idx="20">
                  <c:v>15349.26901059274</c:v>
                </c:pt>
                <c:pt idx="21">
                  <c:v>23183.361216730038</c:v>
                </c:pt>
                <c:pt idx="22">
                  <c:v>4858.3978904449577</c:v>
                </c:pt>
                <c:pt idx="23">
                  <c:v>7926.4899805809182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65-41D9-8E94-5A6D909F2BBE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harvests'!$N$277:$N$300</c:f>
                <c:numCache>
                  <c:formatCode>General</c:formatCode>
                  <c:ptCount val="24"/>
                  <c:pt idx="0">
                    <c:v>1732.8529109001979</c:v>
                  </c:pt>
                  <c:pt idx="1">
                    <c:v>2086.3090013354704</c:v>
                  </c:pt>
                  <c:pt idx="2">
                    <c:v>3195.5315931188893</c:v>
                  </c:pt>
                  <c:pt idx="3">
                    <c:v>2374.5167040187762</c:v>
                  </c:pt>
                  <c:pt idx="4">
                    <c:v>1625.6357109258622</c:v>
                  </c:pt>
                  <c:pt idx="5">
                    <c:v>1989.9118857622141</c:v>
                  </c:pt>
                  <c:pt idx="6">
                    <c:v>1984.3379028889306</c:v>
                  </c:pt>
                  <c:pt idx="7">
                    <c:v>2517.4729706512244</c:v>
                  </c:pt>
                  <c:pt idx="8">
                    <c:v>2110.5722209015275</c:v>
                  </c:pt>
                  <c:pt idx="9">
                    <c:v>2458.7822098090037</c:v>
                  </c:pt>
                  <c:pt idx="10">
                    <c:v>3581.4479367574004</c:v>
                  </c:pt>
                  <c:pt idx="11">
                    <c:v>3057.4935466687507</c:v>
                  </c:pt>
                  <c:pt idx="12">
                    <c:v>3915.5590278089244</c:v>
                  </c:pt>
                  <c:pt idx="13">
                    <c:v>3328.2823120072085</c:v>
                  </c:pt>
                  <c:pt idx="14">
                    <c:v>6534.94598288</c:v>
                  </c:pt>
                  <c:pt idx="15">
                    <c:v>3288.3571695421815</c:v>
                  </c:pt>
                  <c:pt idx="16">
                    <c:v>6050.2023310618406</c:v>
                  </c:pt>
                  <c:pt idx="17">
                    <c:v>4066.4283041859944</c:v>
                  </c:pt>
                  <c:pt idx="18">
                    <c:v>5096.9710971044397</c:v>
                  </c:pt>
                  <c:pt idx="19">
                    <c:v>7473.8420938857371</c:v>
                  </c:pt>
                  <c:pt idx="20">
                    <c:v>5611.8994573284481</c:v>
                  </c:pt>
                  <c:pt idx="21">
                    <c:v>9627.034141371827</c:v>
                  </c:pt>
                  <c:pt idx="22">
                    <c:v>2378.5554444398936</c:v>
                  </c:pt>
                  <c:pt idx="23">
                    <c:v>3852.8357477910167</c:v>
                  </c:pt>
                </c:numCache>
              </c:numRef>
            </c:plus>
            <c:minus>
              <c:numRef>
                <c:f>'rockfish harvests'!$N$277:$N$300</c:f>
                <c:numCache>
                  <c:formatCode>General</c:formatCode>
                  <c:ptCount val="24"/>
                  <c:pt idx="0">
                    <c:v>1732.8529109001979</c:v>
                  </c:pt>
                  <c:pt idx="1">
                    <c:v>2086.3090013354704</c:v>
                  </c:pt>
                  <c:pt idx="2">
                    <c:v>3195.5315931188893</c:v>
                  </c:pt>
                  <c:pt idx="3">
                    <c:v>2374.5167040187762</c:v>
                  </c:pt>
                  <c:pt idx="4">
                    <c:v>1625.6357109258622</c:v>
                  </c:pt>
                  <c:pt idx="5">
                    <c:v>1989.9118857622141</c:v>
                  </c:pt>
                  <c:pt idx="6">
                    <c:v>1984.3379028889306</c:v>
                  </c:pt>
                  <c:pt idx="7">
                    <c:v>2517.4729706512244</c:v>
                  </c:pt>
                  <c:pt idx="8">
                    <c:v>2110.5722209015275</c:v>
                  </c:pt>
                  <c:pt idx="9">
                    <c:v>2458.7822098090037</c:v>
                  </c:pt>
                  <c:pt idx="10">
                    <c:v>3581.4479367574004</c:v>
                  </c:pt>
                  <c:pt idx="11">
                    <c:v>3057.4935466687507</c:v>
                  </c:pt>
                  <c:pt idx="12">
                    <c:v>3915.5590278089244</c:v>
                  </c:pt>
                  <c:pt idx="13">
                    <c:v>3328.2823120072085</c:v>
                  </c:pt>
                  <c:pt idx="14">
                    <c:v>6534.94598288</c:v>
                  </c:pt>
                  <c:pt idx="15">
                    <c:v>3288.3571695421815</c:v>
                  </c:pt>
                  <c:pt idx="16">
                    <c:v>6050.2023310618406</c:v>
                  </c:pt>
                  <c:pt idx="17">
                    <c:v>4066.4283041859944</c:v>
                  </c:pt>
                  <c:pt idx="18">
                    <c:v>5096.9710971044397</c:v>
                  </c:pt>
                  <c:pt idx="19">
                    <c:v>7473.8420938857371</c:v>
                  </c:pt>
                  <c:pt idx="20">
                    <c:v>5611.8994573284481</c:v>
                  </c:pt>
                  <c:pt idx="21">
                    <c:v>9627.034141371827</c:v>
                  </c:pt>
                  <c:pt idx="22">
                    <c:v>2378.5554444398936</c:v>
                  </c:pt>
                  <c:pt idx="23">
                    <c:v>3852.8357477910167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multiLvlStrRef>
              <c:f>'rockfish harvests'!$B$2:$B$25</c:f>
            </c:multiLvlStrRef>
          </c:cat>
          <c:val>
            <c:numRef>
              <c:f>'rockfish harvests'!$K$277:$K$300</c:f>
              <c:numCache>
                <c:formatCode>_(* #,##0_);_(* \(#,##0\);_(* "-"??_);_(@_)</c:formatCode>
                <c:ptCount val="24"/>
                <c:pt idx="0">
                  <c:v>8429.4015142904627</c:v>
                </c:pt>
                <c:pt idx="1">
                  <c:v>10148.776127801366</c:v>
                </c:pt>
                <c:pt idx="2">
                  <c:v>15544.550077251628</c:v>
                </c:pt>
                <c:pt idx="3">
                  <c:v>11550.752273697548</c:v>
                </c:pt>
                <c:pt idx="4">
                  <c:v>7907.8472484109971</c:v>
                </c:pt>
                <c:pt idx="5">
                  <c:v>9679.8557786620295</c:v>
                </c:pt>
                <c:pt idx="6">
                  <c:v>9652.7413367049921</c:v>
                </c:pt>
                <c:pt idx="7">
                  <c:v>12246.157961536836</c:v>
                </c:pt>
                <c:pt idx="8">
                  <c:v>10266.803698673171</c:v>
                </c:pt>
                <c:pt idx="9">
                  <c:v>11960.658837400981</c:v>
                </c:pt>
                <c:pt idx="10">
                  <c:v>17421.826440982921</c:v>
                </c:pt>
                <c:pt idx="11">
                  <c:v>14873.068897021491</c:v>
                </c:pt>
                <c:pt idx="12">
                  <c:v>19047.097991231167</c:v>
                </c:pt>
                <c:pt idx="13">
                  <c:v>21134.144125958821</c:v>
                </c:pt>
                <c:pt idx="14">
                  <c:v>30331.837840909095</c:v>
                </c:pt>
                <c:pt idx="15">
                  <c:v>22942.238805970148</c:v>
                </c:pt>
                <c:pt idx="16">
                  <c:v>32276.119924151324</c:v>
                </c:pt>
                <c:pt idx="17">
                  <c:v>31763.885700148439</c:v>
                </c:pt>
                <c:pt idx="18">
                  <c:v>40066.291818701371</c:v>
                </c:pt>
                <c:pt idx="19">
                  <c:v>41111.228360636691</c:v>
                </c:pt>
                <c:pt idx="20">
                  <c:v>50022.26901059274</c:v>
                </c:pt>
                <c:pt idx="21">
                  <c:v>59476.361216730038</c:v>
                </c:pt>
                <c:pt idx="22">
                  <c:v>22443.397890444958</c:v>
                </c:pt>
                <c:pt idx="23">
                  <c:v>41077.489980580918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65-41D9-8E94-5A6D909F2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NSEO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'rockfish harvests'!$B$2:$B$25</c:f>
            </c:multiLvlStrRef>
          </c:cat>
          <c:val>
            <c:numRef>
              <c:f>'rockfish harvests'!$D$302:$D$325</c:f>
              <c:numCache>
                <c:formatCode>_(* #,##0_);_(* \(#,##0\);_(* "-"??_);_(@_)</c:formatCode>
                <c:ptCount val="24"/>
                <c:pt idx="0">
                  <c:v>1123</c:v>
                </c:pt>
                <c:pt idx="1">
                  <c:v>1071</c:v>
                </c:pt>
                <c:pt idx="2">
                  <c:v>2883</c:v>
                </c:pt>
                <c:pt idx="3">
                  <c:v>2839</c:v>
                </c:pt>
                <c:pt idx="4">
                  <c:v>2029</c:v>
                </c:pt>
                <c:pt idx="5">
                  <c:v>3083</c:v>
                </c:pt>
                <c:pt idx="6">
                  <c:v>2923</c:v>
                </c:pt>
                <c:pt idx="7">
                  <c:v>2796</c:v>
                </c:pt>
                <c:pt idx="8">
                  <c:v>3058</c:v>
                </c:pt>
                <c:pt idx="9">
                  <c:v>4266</c:v>
                </c:pt>
                <c:pt idx="10">
                  <c:v>5010</c:v>
                </c:pt>
                <c:pt idx="11">
                  <c:v>2818</c:v>
                </c:pt>
                <c:pt idx="12">
                  <c:v>4613</c:v>
                </c:pt>
                <c:pt idx="13">
                  <c:v>8950</c:v>
                </c:pt>
                <c:pt idx="14">
                  <c:v>8600</c:v>
                </c:pt>
                <c:pt idx="15">
                  <c:v>6970</c:v>
                </c:pt>
                <c:pt idx="16">
                  <c:v>8688</c:v>
                </c:pt>
                <c:pt idx="17">
                  <c:v>9156</c:v>
                </c:pt>
                <c:pt idx="18">
                  <c:v>5839</c:v>
                </c:pt>
                <c:pt idx="19">
                  <c:v>9211</c:v>
                </c:pt>
                <c:pt idx="20">
                  <c:v>11024</c:v>
                </c:pt>
                <c:pt idx="21">
                  <c:v>11553</c:v>
                </c:pt>
                <c:pt idx="22">
                  <c:v>3314</c:v>
                </c:pt>
                <c:pt idx="23">
                  <c:v>9732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40-45F1-89FB-206B60EA8E97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harvests'!$N$302:$N$325</c:f>
                <c:numCache>
                  <c:formatCode>General</c:formatCode>
                  <c:ptCount val="24"/>
                  <c:pt idx="0">
                    <c:v>598.87652555735008</c:v>
                  </c:pt>
                  <c:pt idx="1">
                    <c:v>571.14582268203208</c:v>
                  </c:pt>
                  <c:pt idx="2">
                    <c:v>1537.4541613373467</c:v>
                  </c:pt>
                  <c:pt idx="3">
                    <c:v>1513.9897204428469</c:v>
                  </c:pt>
                  <c:pt idx="4">
                    <c:v>1082.0306948850073</c:v>
                  </c:pt>
                  <c:pt idx="5">
                    <c:v>1644.1107108578008</c:v>
                  </c:pt>
                  <c:pt idx="6">
                    <c:v>1558.7854712414376</c:v>
                  </c:pt>
                  <c:pt idx="7">
                    <c:v>1491.0585622959491</c:v>
                  </c:pt>
                  <c:pt idx="8">
                    <c:v>1630.778642167744</c:v>
                  </c:pt>
                  <c:pt idx="9">
                    <c:v>2274.984201271287</c:v>
                  </c:pt>
                  <c:pt idx="10">
                    <c:v>2671.7465654873768</c:v>
                  </c:pt>
                  <c:pt idx="11">
                    <c:v>1502.7907827431989</c:v>
                  </c:pt>
                  <c:pt idx="12">
                    <c:v>2460.0333146892749</c:v>
                  </c:pt>
                  <c:pt idx="13">
                    <c:v>1682.463944691056</c:v>
                  </c:pt>
                  <c:pt idx="14">
                    <c:v>3052.5647373851134</c:v>
                  </c:pt>
                  <c:pt idx="15">
                    <c:v>2760.7155986775479</c:v>
                  </c:pt>
                  <c:pt idx="16">
                    <c:v>6100.3268973181011</c:v>
                  </c:pt>
                  <c:pt idx="17">
                    <c:v>3774.6712252772454</c:v>
                  </c:pt>
                  <c:pt idx="18">
                    <c:v>1247.4998680061965</c:v>
                  </c:pt>
                  <c:pt idx="19">
                    <c:v>4232.1958562053551</c:v>
                  </c:pt>
                  <c:pt idx="20">
                    <c:v>5339.7496022165105</c:v>
                  </c:pt>
                  <c:pt idx="21">
                    <c:v>4335.1584018312133</c:v>
                  </c:pt>
                  <c:pt idx="22">
                    <c:v>650.65334293669264</c:v>
                  </c:pt>
                  <c:pt idx="23">
                    <c:v>3712.9032961905318</c:v>
                  </c:pt>
                </c:numCache>
              </c:numRef>
            </c:plus>
            <c:minus>
              <c:numRef>
                <c:f>'rockfish harvests'!$N$302:$N$325</c:f>
                <c:numCache>
                  <c:formatCode>General</c:formatCode>
                  <c:ptCount val="24"/>
                  <c:pt idx="0">
                    <c:v>598.87652555735008</c:v>
                  </c:pt>
                  <c:pt idx="1">
                    <c:v>571.14582268203208</c:v>
                  </c:pt>
                  <c:pt idx="2">
                    <c:v>1537.4541613373467</c:v>
                  </c:pt>
                  <c:pt idx="3">
                    <c:v>1513.9897204428469</c:v>
                  </c:pt>
                  <c:pt idx="4">
                    <c:v>1082.0306948850073</c:v>
                  </c:pt>
                  <c:pt idx="5">
                    <c:v>1644.1107108578008</c:v>
                  </c:pt>
                  <c:pt idx="6">
                    <c:v>1558.7854712414376</c:v>
                  </c:pt>
                  <c:pt idx="7">
                    <c:v>1491.0585622959491</c:v>
                  </c:pt>
                  <c:pt idx="8">
                    <c:v>1630.778642167744</c:v>
                  </c:pt>
                  <c:pt idx="9">
                    <c:v>2274.984201271287</c:v>
                  </c:pt>
                  <c:pt idx="10">
                    <c:v>2671.7465654873768</c:v>
                  </c:pt>
                  <c:pt idx="11">
                    <c:v>1502.7907827431989</c:v>
                  </c:pt>
                  <c:pt idx="12">
                    <c:v>2460.0333146892749</c:v>
                  </c:pt>
                  <c:pt idx="13">
                    <c:v>1682.463944691056</c:v>
                  </c:pt>
                  <c:pt idx="14">
                    <c:v>3052.5647373851134</c:v>
                  </c:pt>
                  <c:pt idx="15">
                    <c:v>2760.7155986775479</c:v>
                  </c:pt>
                  <c:pt idx="16">
                    <c:v>6100.3268973181011</c:v>
                  </c:pt>
                  <c:pt idx="17">
                    <c:v>3774.6712252772454</c:v>
                  </c:pt>
                  <c:pt idx="18">
                    <c:v>1247.4998680061965</c:v>
                  </c:pt>
                  <c:pt idx="19">
                    <c:v>4232.1958562053551</c:v>
                  </c:pt>
                  <c:pt idx="20">
                    <c:v>5339.7496022165105</c:v>
                  </c:pt>
                  <c:pt idx="21">
                    <c:v>4335.1584018312133</c:v>
                  </c:pt>
                  <c:pt idx="22">
                    <c:v>650.65334293669264</c:v>
                  </c:pt>
                  <c:pt idx="23">
                    <c:v>3712.9032961905318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'rockfish harvests'!$B$2:$B$25</c:f>
            </c:multiLvlStrRef>
          </c:cat>
          <c:val>
            <c:numRef>
              <c:f>'rockfish harvests'!$O$302:$O$325</c:f>
              <c:numCache>
                <c:formatCode>_(* #,##0_);_(* \(#,##0\);_(* "-"??_);_(@_)</c:formatCode>
                <c:ptCount val="24"/>
                <c:pt idx="0">
                  <c:v>595.65533897155365</c:v>
                </c:pt>
                <c:pt idx="1">
                  <c:v>568.07379166387705</c:v>
                </c:pt>
                <c:pt idx="2">
                  <c:v>1529.1846324621447</c:v>
                </c:pt>
                <c:pt idx="3">
                  <c:v>1505.8464001248803</c:v>
                </c:pt>
                <c:pt idx="4">
                  <c:v>1076.2107593706878</c:v>
                </c:pt>
                <c:pt idx="5">
                  <c:v>1635.26750672244</c:v>
                </c:pt>
                <c:pt idx="6">
                  <c:v>1550.4012073142039</c:v>
                </c:pt>
                <c:pt idx="7">
                  <c:v>1483.0385821589171</c:v>
                </c:pt>
                <c:pt idx="8">
                  <c:v>1622.0071474399028</c:v>
                </c:pt>
                <c:pt idx="9">
                  <c:v>2262.7477079720811</c:v>
                </c:pt>
                <c:pt idx="10">
                  <c:v>2657.3760002203771</c:v>
                </c:pt>
                <c:pt idx="11">
                  <c:v>1494.7076983275492</c:v>
                </c:pt>
                <c:pt idx="12">
                  <c:v>2446.8014948136924</c:v>
                </c:pt>
                <c:pt idx="13">
                  <c:v>2109.8638720829731</c:v>
                </c:pt>
                <c:pt idx="14">
                  <c:v>4056.1403508771928</c:v>
                </c:pt>
                <c:pt idx="15">
                  <c:v>3563.4638032559742</c:v>
                </c:pt>
                <c:pt idx="16">
                  <c:v>9722.2508839872025</c:v>
                </c:pt>
                <c:pt idx="17">
                  <c:v>4529.4803554223308</c:v>
                </c:pt>
                <c:pt idx="18">
                  <c:v>1660.6278507924235</c:v>
                </c:pt>
                <c:pt idx="19">
                  <c:v>6867.0171471927151</c:v>
                </c:pt>
                <c:pt idx="20">
                  <c:v>7836.8836407058479</c:v>
                </c:pt>
                <c:pt idx="21">
                  <c:v>6640.6634516724807</c:v>
                </c:pt>
                <c:pt idx="22">
                  <c:v>1085.5719163465646</c:v>
                </c:pt>
                <c:pt idx="23">
                  <c:v>6262.8946783553529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40-45F1-89FB-206B60EA8E97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harvests'!$N$302:$N$325</c:f>
                <c:numCache>
                  <c:formatCode>General</c:formatCode>
                  <c:ptCount val="24"/>
                  <c:pt idx="0">
                    <c:v>598.87652555735008</c:v>
                  </c:pt>
                  <c:pt idx="1">
                    <c:v>571.14582268203208</c:v>
                  </c:pt>
                  <c:pt idx="2">
                    <c:v>1537.4541613373467</c:v>
                  </c:pt>
                  <c:pt idx="3">
                    <c:v>1513.9897204428469</c:v>
                  </c:pt>
                  <c:pt idx="4">
                    <c:v>1082.0306948850073</c:v>
                  </c:pt>
                  <c:pt idx="5">
                    <c:v>1644.1107108578008</c:v>
                  </c:pt>
                  <c:pt idx="6">
                    <c:v>1558.7854712414376</c:v>
                  </c:pt>
                  <c:pt idx="7">
                    <c:v>1491.0585622959491</c:v>
                  </c:pt>
                  <c:pt idx="8">
                    <c:v>1630.778642167744</c:v>
                  </c:pt>
                  <c:pt idx="9">
                    <c:v>2274.984201271287</c:v>
                  </c:pt>
                  <c:pt idx="10">
                    <c:v>2671.7465654873768</c:v>
                  </c:pt>
                  <c:pt idx="11">
                    <c:v>1502.7907827431989</c:v>
                  </c:pt>
                  <c:pt idx="12">
                    <c:v>2460.0333146892749</c:v>
                  </c:pt>
                  <c:pt idx="13">
                    <c:v>1682.463944691056</c:v>
                  </c:pt>
                  <c:pt idx="14">
                    <c:v>3052.5647373851134</c:v>
                  </c:pt>
                  <c:pt idx="15">
                    <c:v>2760.7155986775479</c:v>
                  </c:pt>
                  <c:pt idx="16">
                    <c:v>6100.3268973181011</c:v>
                  </c:pt>
                  <c:pt idx="17">
                    <c:v>3774.6712252772454</c:v>
                  </c:pt>
                  <c:pt idx="18">
                    <c:v>1247.4998680061965</c:v>
                  </c:pt>
                  <c:pt idx="19">
                    <c:v>4232.1958562053551</c:v>
                  </c:pt>
                  <c:pt idx="20">
                    <c:v>5339.7496022165105</c:v>
                  </c:pt>
                  <c:pt idx="21">
                    <c:v>4335.1584018312133</c:v>
                  </c:pt>
                  <c:pt idx="22">
                    <c:v>650.65334293669264</c:v>
                  </c:pt>
                  <c:pt idx="23">
                    <c:v>3712.9032961905318</c:v>
                  </c:pt>
                </c:numCache>
              </c:numRef>
            </c:plus>
            <c:minus>
              <c:numRef>
                <c:f>'rockfish harvests'!$N$302:$N$325</c:f>
                <c:numCache>
                  <c:formatCode>General</c:formatCode>
                  <c:ptCount val="24"/>
                  <c:pt idx="0">
                    <c:v>598.87652555735008</c:v>
                  </c:pt>
                  <c:pt idx="1">
                    <c:v>571.14582268203208</c:v>
                  </c:pt>
                  <c:pt idx="2">
                    <c:v>1537.4541613373467</c:v>
                  </c:pt>
                  <c:pt idx="3">
                    <c:v>1513.9897204428469</c:v>
                  </c:pt>
                  <c:pt idx="4">
                    <c:v>1082.0306948850073</c:v>
                  </c:pt>
                  <c:pt idx="5">
                    <c:v>1644.1107108578008</c:v>
                  </c:pt>
                  <c:pt idx="6">
                    <c:v>1558.7854712414376</c:v>
                  </c:pt>
                  <c:pt idx="7">
                    <c:v>1491.0585622959491</c:v>
                  </c:pt>
                  <c:pt idx="8">
                    <c:v>1630.778642167744</c:v>
                  </c:pt>
                  <c:pt idx="9">
                    <c:v>2274.984201271287</c:v>
                  </c:pt>
                  <c:pt idx="10">
                    <c:v>2671.7465654873768</c:v>
                  </c:pt>
                  <c:pt idx="11">
                    <c:v>1502.7907827431989</c:v>
                  </c:pt>
                  <c:pt idx="12">
                    <c:v>2460.0333146892749</c:v>
                  </c:pt>
                  <c:pt idx="13">
                    <c:v>1682.463944691056</c:v>
                  </c:pt>
                  <c:pt idx="14">
                    <c:v>3052.5647373851134</c:v>
                  </c:pt>
                  <c:pt idx="15">
                    <c:v>2760.7155986775479</c:v>
                  </c:pt>
                  <c:pt idx="16">
                    <c:v>6100.3268973181011</c:v>
                  </c:pt>
                  <c:pt idx="17">
                    <c:v>3774.6712252772454</c:v>
                  </c:pt>
                  <c:pt idx="18">
                    <c:v>1247.4998680061965</c:v>
                  </c:pt>
                  <c:pt idx="19">
                    <c:v>4232.1958562053551</c:v>
                  </c:pt>
                  <c:pt idx="20">
                    <c:v>5339.7496022165105</c:v>
                  </c:pt>
                  <c:pt idx="21">
                    <c:v>4335.1584018312133</c:v>
                  </c:pt>
                  <c:pt idx="22">
                    <c:v>650.65334293669264</c:v>
                  </c:pt>
                  <c:pt idx="23">
                    <c:v>3712.9032961905318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multiLvlStrRef>
              <c:f>'rockfish harvests'!$B$2:$B$25</c:f>
            </c:multiLvlStrRef>
          </c:cat>
          <c:val>
            <c:numRef>
              <c:f>'rockfish harvests'!$K$302:$K$325</c:f>
              <c:numCache>
                <c:formatCode>_(* #,##0_);_(* \(#,##0\);_(* "-"??_);_(@_)</c:formatCode>
                <c:ptCount val="24"/>
                <c:pt idx="0">
                  <c:v>1718.6553389715536</c:v>
                </c:pt>
                <c:pt idx="1">
                  <c:v>1639.073791663877</c:v>
                </c:pt>
                <c:pt idx="2">
                  <c:v>4412.1846324621447</c:v>
                </c:pt>
                <c:pt idx="3">
                  <c:v>4344.8464001248803</c:v>
                </c:pt>
                <c:pt idx="4">
                  <c:v>3105.2107593706878</c:v>
                </c:pt>
                <c:pt idx="5">
                  <c:v>4718.26750672244</c:v>
                </c:pt>
                <c:pt idx="6">
                  <c:v>4473.4012073142039</c:v>
                </c:pt>
                <c:pt idx="7">
                  <c:v>4279.0385821589171</c:v>
                </c:pt>
                <c:pt idx="8">
                  <c:v>4680.0071474399028</c:v>
                </c:pt>
                <c:pt idx="9">
                  <c:v>6528.7477079720811</c:v>
                </c:pt>
                <c:pt idx="10">
                  <c:v>7667.3760002203771</c:v>
                </c:pt>
                <c:pt idx="11">
                  <c:v>4312.7076983275492</c:v>
                </c:pt>
                <c:pt idx="12">
                  <c:v>7059.8014948136924</c:v>
                </c:pt>
                <c:pt idx="13">
                  <c:v>11059.863872082973</c:v>
                </c:pt>
                <c:pt idx="14">
                  <c:v>12656.140350877193</c:v>
                </c:pt>
                <c:pt idx="15">
                  <c:v>10533.463803255974</c:v>
                </c:pt>
                <c:pt idx="16">
                  <c:v>18410.250883987203</c:v>
                </c:pt>
                <c:pt idx="17">
                  <c:v>13685.480355422331</c:v>
                </c:pt>
                <c:pt idx="18">
                  <c:v>7499.6278507924235</c:v>
                </c:pt>
                <c:pt idx="19">
                  <c:v>16078.017147192715</c:v>
                </c:pt>
                <c:pt idx="20">
                  <c:v>18860.883640705848</c:v>
                </c:pt>
                <c:pt idx="21">
                  <c:v>18193.663451672481</c:v>
                </c:pt>
                <c:pt idx="22">
                  <c:v>4399.5719163465646</c:v>
                </c:pt>
                <c:pt idx="23">
                  <c:v>15994.894678355353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40-45F1-89FB-206B60EA8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SSEI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'rockfish harvests'!$B$2:$B$25</c:f>
            </c:multiLvlStrRef>
          </c:cat>
          <c:val>
            <c:numRef>
              <c:f>'rockfish harvests'!$D$327:$D$350</c:f>
              <c:numCache>
                <c:formatCode>_(* #,##0_);_(* \(#,##0\);_(* "-"??_);_(@_)</c:formatCode>
                <c:ptCount val="24"/>
                <c:pt idx="0">
                  <c:v>6261</c:v>
                </c:pt>
                <c:pt idx="1">
                  <c:v>7370</c:v>
                </c:pt>
                <c:pt idx="2">
                  <c:v>11989</c:v>
                </c:pt>
                <c:pt idx="3">
                  <c:v>9348</c:v>
                </c:pt>
                <c:pt idx="4">
                  <c:v>8033</c:v>
                </c:pt>
                <c:pt idx="5">
                  <c:v>11263</c:v>
                </c:pt>
                <c:pt idx="6">
                  <c:v>13195</c:v>
                </c:pt>
                <c:pt idx="7">
                  <c:v>15329</c:v>
                </c:pt>
                <c:pt idx="8">
                  <c:v>17714</c:v>
                </c:pt>
                <c:pt idx="9">
                  <c:v>20368</c:v>
                </c:pt>
                <c:pt idx="10">
                  <c:v>18756</c:v>
                </c:pt>
                <c:pt idx="11">
                  <c:v>14837</c:v>
                </c:pt>
                <c:pt idx="12">
                  <c:v>20015</c:v>
                </c:pt>
                <c:pt idx="13">
                  <c:v>17328</c:v>
                </c:pt>
                <c:pt idx="14">
                  <c:v>20908</c:v>
                </c:pt>
                <c:pt idx="15">
                  <c:v>24779</c:v>
                </c:pt>
                <c:pt idx="16">
                  <c:v>25686</c:v>
                </c:pt>
                <c:pt idx="17">
                  <c:v>29160</c:v>
                </c:pt>
                <c:pt idx="18">
                  <c:v>32540</c:v>
                </c:pt>
                <c:pt idx="19">
                  <c:v>30249</c:v>
                </c:pt>
                <c:pt idx="20">
                  <c:v>42049</c:v>
                </c:pt>
                <c:pt idx="21">
                  <c:v>35867</c:v>
                </c:pt>
                <c:pt idx="22">
                  <c:v>11107</c:v>
                </c:pt>
                <c:pt idx="23">
                  <c:v>28388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A-4611-936D-FEB6AF711679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harvests'!$N$327:$N$350</c:f>
                <c:numCache>
                  <c:formatCode>General</c:formatCode>
                  <c:ptCount val="24"/>
                  <c:pt idx="0">
                    <c:v>3116.5124548847989</c:v>
                  </c:pt>
                  <c:pt idx="1">
                    <c:v>3668.5348654369855</c:v>
                  </c:pt>
                  <c:pt idx="2">
                    <c:v>5967.715671875716</c:v>
                  </c:pt>
                  <c:pt idx="3">
                    <c:v>4653.1158646003996</c:v>
                  </c:pt>
                  <c:pt idx="4">
                    <c:v>3998.5536735488881</c:v>
                  </c:pt>
                  <c:pt idx="5">
                    <c:v>5606.3376105043108</c:v>
                  </c:pt>
                  <c:pt idx="6">
                    <c:v>6568.021377129041</c:v>
                  </c:pt>
                  <c:pt idx="7">
                    <c:v>7630.2538605540785</c:v>
                  </c:pt>
                  <c:pt idx="8">
                    <c:v>8817.4255910923694</c:v>
                  </c:pt>
                  <c:pt idx="9">
                    <c:v>10138.496355389487</c:v>
                  </c:pt>
                  <c:pt idx="10">
                    <c:v>9336.0976846860376</c:v>
                  </c:pt>
                  <c:pt idx="11">
                    <c:v>7385.3530255751093</c:v>
                  </c:pt>
                  <c:pt idx="12">
                    <c:v>9962.7849839513256</c:v>
                  </c:pt>
                  <c:pt idx="13">
                    <c:v>9342.8435961357463</c:v>
                  </c:pt>
                  <c:pt idx="14">
                    <c:v>9417.5935873893559</c:v>
                  </c:pt>
                  <c:pt idx="15">
                    <c:v>12017.85074308505</c:v>
                  </c:pt>
                  <c:pt idx="16">
                    <c:v>8669.7773901470664</c:v>
                  </c:pt>
                  <c:pt idx="17">
                    <c:v>8419.2716434506274</c:v>
                  </c:pt>
                  <c:pt idx="18">
                    <c:v>9586.5951226620218</c:v>
                  </c:pt>
                  <c:pt idx="19">
                    <c:v>9028.9570326963403</c:v>
                  </c:pt>
                  <c:pt idx="20">
                    <c:v>8438.8768350472583</c:v>
                  </c:pt>
                  <c:pt idx="21">
                    <c:v>20664.257163520895</c:v>
                  </c:pt>
                  <c:pt idx="22">
                    <c:v>5050.7980260351178</c:v>
                  </c:pt>
                  <c:pt idx="23">
                    <c:v>4969.6560126944214</c:v>
                  </c:pt>
                </c:numCache>
              </c:numRef>
            </c:plus>
            <c:minus>
              <c:numRef>
                <c:f>'rockfish harvests'!$N$327:$N$350</c:f>
                <c:numCache>
                  <c:formatCode>General</c:formatCode>
                  <c:ptCount val="24"/>
                  <c:pt idx="0">
                    <c:v>3116.5124548847989</c:v>
                  </c:pt>
                  <c:pt idx="1">
                    <c:v>3668.5348654369855</c:v>
                  </c:pt>
                  <c:pt idx="2">
                    <c:v>5967.715671875716</c:v>
                  </c:pt>
                  <c:pt idx="3">
                    <c:v>4653.1158646003996</c:v>
                  </c:pt>
                  <c:pt idx="4">
                    <c:v>3998.5536735488881</c:v>
                  </c:pt>
                  <c:pt idx="5">
                    <c:v>5606.3376105043108</c:v>
                  </c:pt>
                  <c:pt idx="6">
                    <c:v>6568.021377129041</c:v>
                  </c:pt>
                  <c:pt idx="7">
                    <c:v>7630.2538605540785</c:v>
                  </c:pt>
                  <c:pt idx="8">
                    <c:v>8817.4255910923694</c:v>
                  </c:pt>
                  <c:pt idx="9">
                    <c:v>10138.496355389487</c:v>
                  </c:pt>
                  <c:pt idx="10">
                    <c:v>9336.0976846860376</c:v>
                  </c:pt>
                  <c:pt idx="11">
                    <c:v>7385.3530255751093</c:v>
                  </c:pt>
                  <c:pt idx="12">
                    <c:v>9962.7849839513256</c:v>
                  </c:pt>
                  <c:pt idx="13">
                    <c:v>9342.8435961357463</c:v>
                  </c:pt>
                  <c:pt idx="14">
                    <c:v>9417.5935873893559</c:v>
                  </c:pt>
                  <c:pt idx="15">
                    <c:v>12017.85074308505</c:v>
                  </c:pt>
                  <c:pt idx="16">
                    <c:v>8669.7773901470664</c:v>
                  </c:pt>
                  <c:pt idx="17">
                    <c:v>8419.2716434506274</c:v>
                  </c:pt>
                  <c:pt idx="18">
                    <c:v>9586.5951226620218</c:v>
                  </c:pt>
                  <c:pt idx="19">
                    <c:v>9028.9570326963403</c:v>
                  </c:pt>
                  <c:pt idx="20">
                    <c:v>8438.8768350472583</c:v>
                  </c:pt>
                  <c:pt idx="21">
                    <c:v>20664.257163520895</c:v>
                  </c:pt>
                  <c:pt idx="22">
                    <c:v>5050.7980260351178</c:v>
                  </c:pt>
                  <c:pt idx="23">
                    <c:v>4969.6560126944214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'rockfish harvests'!$B$2:$B$25</c:f>
            </c:multiLvlStrRef>
          </c:cat>
          <c:val>
            <c:numRef>
              <c:f>'rockfish harvests'!$O$327:$O$350</c:f>
              <c:numCache>
                <c:formatCode>_(* #,##0_);_(* \(#,##0\);_(* "-"??_);_(@_)</c:formatCode>
                <c:ptCount val="24"/>
                <c:pt idx="0">
                  <c:v>7422.4767633387146</c:v>
                </c:pt>
                <c:pt idx="1">
                  <c:v>8737.2071148069517</c:v>
                </c:pt>
                <c:pt idx="2">
                  <c:v>14213.076811318933</c:v>
                </c:pt>
                <c:pt idx="3">
                  <c:v>11082.145469364368</c:v>
                </c:pt>
                <c:pt idx="4">
                  <c:v>9523.200102204104</c:v>
                </c:pt>
                <c:pt idx="5">
                  <c:v>13352.396707472279</c:v>
                </c:pt>
                <c:pt idx="6">
                  <c:v>15642.801611923707</c:v>
                </c:pt>
                <c:pt idx="7">
                  <c:v>18172.679492927513</c:v>
                </c:pt>
                <c:pt idx="8">
                  <c:v>21000.120329944417</c:v>
                </c:pt>
                <c:pt idx="9">
                  <c:v>24146.463299102848</c:v>
                </c:pt>
                <c:pt idx="10">
                  <c:v>22235.421525823498</c:v>
                </c:pt>
                <c:pt idx="11">
                  <c:v>17589.408678750442</c:v>
                </c:pt>
                <c:pt idx="12">
                  <c:v>23727.978345028649</c:v>
                </c:pt>
                <c:pt idx="13">
                  <c:v>26057.656259472569</c:v>
                </c:pt>
                <c:pt idx="14">
                  <c:v>30342.239687848378</c:v>
                </c:pt>
                <c:pt idx="15">
                  <c:v>34267.842065821518</c:v>
                </c:pt>
                <c:pt idx="16">
                  <c:v>33152.073336968373</c:v>
                </c:pt>
                <c:pt idx="17">
                  <c:v>31796.645359656926</c:v>
                </c:pt>
                <c:pt idx="18">
                  <c:v>33865.532446281708</c:v>
                </c:pt>
                <c:pt idx="19">
                  <c:v>32660.834871736792</c:v>
                </c:pt>
                <c:pt idx="20">
                  <c:v>34725.8595505618</c:v>
                </c:pt>
                <c:pt idx="21">
                  <c:v>69950.34860446323</c:v>
                </c:pt>
                <c:pt idx="22">
                  <c:v>15196.649154865238</c:v>
                </c:pt>
                <c:pt idx="23">
                  <c:v>14186.636497865038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5A-4611-936D-FEB6AF711679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harvests'!$N$327:$N$350</c:f>
                <c:numCache>
                  <c:formatCode>General</c:formatCode>
                  <c:ptCount val="24"/>
                  <c:pt idx="0">
                    <c:v>3116.5124548847989</c:v>
                  </c:pt>
                  <c:pt idx="1">
                    <c:v>3668.5348654369855</c:v>
                  </c:pt>
                  <c:pt idx="2">
                    <c:v>5967.715671875716</c:v>
                  </c:pt>
                  <c:pt idx="3">
                    <c:v>4653.1158646003996</c:v>
                  </c:pt>
                  <c:pt idx="4">
                    <c:v>3998.5536735488881</c:v>
                  </c:pt>
                  <c:pt idx="5">
                    <c:v>5606.3376105043108</c:v>
                  </c:pt>
                  <c:pt idx="6">
                    <c:v>6568.021377129041</c:v>
                  </c:pt>
                  <c:pt idx="7">
                    <c:v>7630.2538605540785</c:v>
                  </c:pt>
                  <c:pt idx="8">
                    <c:v>8817.4255910923694</c:v>
                  </c:pt>
                  <c:pt idx="9">
                    <c:v>10138.496355389487</c:v>
                  </c:pt>
                  <c:pt idx="10">
                    <c:v>9336.0976846860376</c:v>
                  </c:pt>
                  <c:pt idx="11">
                    <c:v>7385.3530255751093</c:v>
                  </c:pt>
                  <c:pt idx="12">
                    <c:v>9962.7849839513256</c:v>
                  </c:pt>
                  <c:pt idx="13">
                    <c:v>9342.8435961357463</c:v>
                  </c:pt>
                  <c:pt idx="14">
                    <c:v>9417.5935873893559</c:v>
                  </c:pt>
                  <c:pt idx="15">
                    <c:v>12017.85074308505</c:v>
                  </c:pt>
                  <c:pt idx="16">
                    <c:v>8669.7773901470664</c:v>
                  </c:pt>
                  <c:pt idx="17">
                    <c:v>8419.2716434506274</c:v>
                  </c:pt>
                  <c:pt idx="18">
                    <c:v>9586.5951226620218</c:v>
                  </c:pt>
                  <c:pt idx="19">
                    <c:v>9028.9570326963403</c:v>
                  </c:pt>
                  <c:pt idx="20">
                    <c:v>8438.8768350472583</c:v>
                  </c:pt>
                  <c:pt idx="21">
                    <c:v>20664.257163520895</c:v>
                  </c:pt>
                  <c:pt idx="22">
                    <c:v>5050.7980260351178</c:v>
                  </c:pt>
                  <c:pt idx="23">
                    <c:v>4969.6560126944214</c:v>
                  </c:pt>
                </c:numCache>
              </c:numRef>
            </c:plus>
            <c:minus>
              <c:numRef>
                <c:f>'rockfish harvests'!$N$327:$N$350</c:f>
                <c:numCache>
                  <c:formatCode>General</c:formatCode>
                  <c:ptCount val="24"/>
                  <c:pt idx="0">
                    <c:v>3116.5124548847989</c:v>
                  </c:pt>
                  <c:pt idx="1">
                    <c:v>3668.5348654369855</c:v>
                  </c:pt>
                  <c:pt idx="2">
                    <c:v>5967.715671875716</c:v>
                  </c:pt>
                  <c:pt idx="3">
                    <c:v>4653.1158646003996</c:v>
                  </c:pt>
                  <c:pt idx="4">
                    <c:v>3998.5536735488881</c:v>
                  </c:pt>
                  <c:pt idx="5">
                    <c:v>5606.3376105043108</c:v>
                  </c:pt>
                  <c:pt idx="6">
                    <c:v>6568.021377129041</c:v>
                  </c:pt>
                  <c:pt idx="7">
                    <c:v>7630.2538605540785</c:v>
                  </c:pt>
                  <c:pt idx="8">
                    <c:v>8817.4255910923694</c:v>
                  </c:pt>
                  <c:pt idx="9">
                    <c:v>10138.496355389487</c:v>
                  </c:pt>
                  <c:pt idx="10">
                    <c:v>9336.0976846860376</c:v>
                  </c:pt>
                  <c:pt idx="11">
                    <c:v>7385.3530255751093</c:v>
                  </c:pt>
                  <c:pt idx="12">
                    <c:v>9962.7849839513256</c:v>
                  </c:pt>
                  <c:pt idx="13">
                    <c:v>9342.8435961357463</c:v>
                  </c:pt>
                  <c:pt idx="14">
                    <c:v>9417.5935873893559</c:v>
                  </c:pt>
                  <c:pt idx="15">
                    <c:v>12017.85074308505</c:v>
                  </c:pt>
                  <c:pt idx="16">
                    <c:v>8669.7773901470664</c:v>
                  </c:pt>
                  <c:pt idx="17">
                    <c:v>8419.2716434506274</c:v>
                  </c:pt>
                  <c:pt idx="18">
                    <c:v>9586.5951226620218</c:v>
                  </c:pt>
                  <c:pt idx="19">
                    <c:v>9028.9570326963403</c:v>
                  </c:pt>
                  <c:pt idx="20">
                    <c:v>8438.8768350472583</c:v>
                  </c:pt>
                  <c:pt idx="21">
                    <c:v>20664.257163520895</c:v>
                  </c:pt>
                  <c:pt idx="22">
                    <c:v>5050.7980260351178</c:v>
                  </c:pt>
                  <c:pt idx="23">
                    <c:v>4969.6560126944214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multiLvlStrRef>
              <c:f>'rockfish harvests'!$B$2:$B$25</c:f>
            </c:multiLvlStrRef>
          </c:cat>
          <c:val>
            <c:numRef>
              <c:f>'rockfish harvests'!$K$327:$K$350</c:f>
              <c:numCache>
                <c:formatCode>_(* #,##0_);_(* \(#,##0\);_(* "-"??_);_(@_)</c:formatCode>
                <c:ptCount val="24"/>
                <c:pt idx="0">
                  <c:v>13683.476763338715</c:v>
                </c:pt>
                <c:pt idx="1">
                  <c:v>16107.207114806952</c:v>
                </c:pt>
                <c:pt idx="2">
                  <c:v>26202.076811318933</c:v>
                </c:pt>
                <c:pt idx="3">
                  <c:v>20430.145469364368</c:v>
                </c:pt>
                <c:pt idx="4">
                  <c:v>17556.200102204104</c:v>
                </c:pt>
                <c:pt idx="5">
                  <c:v>24615.396707472279</c:v>
                </c:pt>
                <c:pt idx="6">
                  <c:v>28837.801611923707</c:v>
                </c:pt>
                <c:pt idx="7">
                  <c:v>33501.679492927513</c:v>
                </c:pt>
                <c:pt idx="8">
                  <c:v>38714.120329944417</c:v>
                </c:pt>
                <c:pt idx="9">
                  <c:v>44514.463299102848</c:v>
                </c:pt>
                <c:pt idx="10">
                  <c:v>40991.421525823498</c:v>
                </c:pt>
                <c:pt idx="11">
                  <c:v>32426.408678750442</c:v>
                </c:pt>
                <c:pt idx="12">
                  <c:v>43742.978345028649</c:v>
                </c:pt>
                <c:pt idx="13">
                  <c:v>43385.656259472569</c:v>
                </c:pt>
                <c:pt idx="14">
                  <c:v>51250.239687848378</c:v>
                </c:pt>
                <c:pt idx="15">
                  <c:v>59046.842065821518</c:v>
                </c:pt>
                <c:pt idx="16">
                  <c:v>58838.073336968373</c:v>
                </c:pt>
                <c:pt idx="17">
                  <c:v>60956.645359656926</c:v>
                </c:pt>
                <c:pt idx="18">
                  <c:v>66405.532446281708</c:v>
                </c:pt>
                <c:pt idx="19">
                  <c:v>62909.834871736792</c:v>
                </c:pt>
                <c:pt idx="20">
                  <c:v>76774.8595505618</c:v>
                </c:pt>
                <c:pt idx="21">
                  <c:v>105817.34860446323</c:v>
                </c:pt>
                <c:pt idx="22">
                  <c:v>26303.649154865238</c:v>
                </c:pt>
                <c:pt idx="23">
                  <c:v>42574.636497865038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5A-4611-936D-FEB6AF711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SSEO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'rockfish harvests'!$B$2:$B$25</c:f>
            </c:multiLvlStrRef>
          </c:cat>
          <c:val>
            <c:numRef>
              <c:f>'rockfish harvests'!$D$352:$D$375</c:f>
              <c:numCache>
                <c:formatCode>_(* #,##0_);_(* \(#,##0\);_(* "-"??_);_(@_)</c:formatCode>
                <c:ptCount val="24"/>
                <c:pt idx="0">
                  <c:v>3185</c:v>
                </c:pt>
                <c:pt idx="1">
                  <c:v>4616</c:v>
                </c:pt>
                <c:pt idx="2">
                  <c:v>6910</c:v>
                </c:pt>
                <c:pt idx="3">
                  <c:v>5756</c:v>
                </c:pt>
                <c:pt idx="4">
                  <c:v>7617</c:v>
                </c:pt>
                <c:pt idx="5">
                  <c:v>6896</c:v>
                </c:pt>
                <c:pt idx="6">
                  <c:v>10061</c:v>
                </c:pt>
                <c:pt idx="7">
                  <c:v>12666</c:v>
                </c:pt>
                <c:pt idx="8">
                  <c:v>12007</c:v>
                </c:pt>
                <c:pt idx="9">
                  <c:v>12018</c:v>
                </c:pt>
                <c:pt idx="10">
                  <c:v>17754</c:v>
                </c:pt>
                <c:pt idx="11">
                  <c:v>9645</c:v>
                </c:pt>
                <c:pt idx="12">
                  <c:v>12415</c:v>
                </c:pt>
                <c:pt idx="13">
                  <c:v>11926</c:v>
                </c:pt>
                <c:pt idx="14">
                  <c:v>14290</c:v>
                </c:pt>
                <c:pt idx="15">
                  <c:v>15619</c:v>
                </c:pt>
                <c:pt idx="16">
                  <c:v>18453</c:v>
                </c:pt>
                <c:pt idx="17">
                  <c:v>17669</c:v>
                </c:pt>
                <c:pt idx="18">
                  <c:v>17707</c:v>
                </c:pt>
                <c:pt idx="19">
                  <c:v>20760</c:v>
                </c:pt>
                <c:pt idx="20">
                  <c:v>26949</c:v>
                </c:pt>
                <c:pt idx="21">
                  <c:v>22912</c:v>
                </c:pt>
                <c:pt idx="22">
                  <c:v>12619</c:v>
                </c:pt>
                <c:pt idx="23">
                  <c:v>29399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0-43CA-A65C-A0D8F8987E64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harvests'!$N$352:$N$375</c:f>
                <c:numCache>
                  <c:formatCode>General</c:formatCode>
                  <c:ptCount val="24"/>
                  <c:pt idx="0">
                    <c:v>1032.7431936671048</c:v>
                  </c:pt>
                  <c:pt idx="1">
                    <c:v>1496.7480634120427</c:v>
                  </c:pt>
                  <c:pt idx="2">
                    <c:v>2240.5825645964501</c:v>
                  </c:pt>
                  <c:pt idx="3">
                    <c:v>1866.3955487434396</c:v>
                  </c:pt>
                  <c:pt idx="4">
                    <c:v>2469.8288559379394</c:v>
                  </c:pt>
                  <c:pt idx="5">
                    <c:v>2236.0430340748367</c:v>
                  </c:pt>
                  <c:pt idx="6">
                    <c:v>3262.301184139636</c:v>
                  </c:pt>
                  <c:pt idx="7">
                    <c:v>4106.9781133398892</c:v>
                  </c:pt>
                  <c:pt idx="8">
                    <c:v>3893.2959266439329</c:v>
                  </c:pt>
                  <c:pt idx="9">
                    <c:v>3896.8627006252009</c:v>
                  </c:pt>
                  <c:pt idx="10">
                    <c:v>5756.7732057663352</c:v>
                  </c:pt>
                  <c:pt idx="11">
                    <c:v>3127.4122772116875</c:v>
                  </c:pt>
                  <c:pt idx="12">
                    <c:v>4025.5908161309594</c:v>
                  </c:pt>
                  <c:pt idx="13">
                    <c:v>3632.5561737392632</c:v>
                  </c:pt>
                  <c:pt idx="14">
                    <c:v>3673.1796011484084</c:v>
                  </c:pt>
                  <c:pt idx="15">
                    <c:v>3629.5082341424495</c:v>
                  </c:pt>
                  <c:pt idx="16">
                    <c:v>4658.1268969917564</c:v>
                  </c:pt>
                  <c:pt idx="17">
                    <c:v>9520.0307312884288</c:v>
                  </c:pt>
                  <c:pt idx="18">
                    <c:v>6746.8057531119503</c:v>
                  </c:pt>
                  <c:pt idx="19">
                    <c:v>6030.2217912187471</c:v>
                  </c:pt>
                  <c:pt idx="20">
                    <c:v>6994.3524307269354</c:v>
                  </c:pt>
                  <c:pt idx="21">
                    <c:v>10406.29733343328</c:v>
                  </c:pt>
                  <c:pt idx="22">
                    <c:v>2217.0155066216503</c:v>
                  </c:pt>
                  <c:pt idx="23">
                    <c:v>1375.7095096043265</c:v>
                  </c:pt>
                </c:numCache>
              </c:numRef>
            </c:plus>
            <c:minus>
              <c:numRef>
                <c:f>'rockfish harvests'!$N$352:$N$375</c:f>
                <c:numCache>
                  <c:formatCode>General</c:formatCode>
                  <c:ptCount val="24"/>
                  <c:pt idx="0">
                    <c:v>1032.7431936671048</c:v>
                  </c:pt>
                  <c:pt idx="1">
                    <c:v>1496.7480634120427</c:v>
                  </c:pt>
                  <c:pt idx="2">
                    <c:v>2240.5825645964501</c:v>
                  </c:pt>
                  <c:pt idx="3">
                    <c:v>1866.3955487434396</c:v>
                  </c:pt>
                  <c:pt idx="4">
                    <c:v>2469.8288559379394</c:v>
                  </c:pt>
                  <c:pt idx="5">
                    <c:v>2236.0430340748367</c:v>
                  </c:pt>
                  <c:pt idx="6">
                    <c:v>3262.301184139636</c:v>
                  </c:pt>
                  <c:pt idx="7">
                    <c:v>4106.9781133398892</c:v>
                  </c:pt>
                  <c:pt idx="8">
                    <c:v>3893.2959266439329</c:v>
                  </c:pt>
                  <c:pt idx="9">
                    <c:v>3896.8627006252009</c:v>
                  </c:pt>
                  <c:pt idx="10">
                    <c:v>5756.7732057663352</c:v>
                  </c:pt>
                  <c:pt idx="11">
                    <c:v>3127.4122772116875</c:v>
                  </c:pt>
                  <c:pt idx="12">
                    <c:v>4025.5908161309594</c:v>
                  </c:pt>
                  <c:pt idx="13">
                    <c:v>3632.5561737392632</c:v>
                  </c:pt>
                  <c:pt idx="14">
                    <c:v>3673.1796011484084</c:v>
                  </c:pt>
                  <c:pt idx="15">
                    <c:v>3629.5082341424495</c:v>
                  </c:pt>
                  <c:pt idx="16">
                    <c:v>4658.1268969917564</c:v>
                  </c:pt>
                  <c:pt idx="17">
                    <c:v>9520.0307312884288</c:v>
                  </c:pt>
                  <c:pt idx="18">
                    <c:v>6746.8057531119503</c:v>
                  </c:pt>
                  <c:pt idx="19">
                    <c:v>6030.2217912187471</c:v>
                  </c:pt>
                  <c:pt idx="20">
                    <c:v>6994.3524307269354</c:v>
                  </c:pt>
                  <c:pt idx="21">
                    <c:v>10406.29733343328</c:v>
                  </c:pt>
                  <c:pt idx="22">
                    <c:v>2217.0155066216503</c:v>
                  </c:pt>
                  <c:pt idx="23">
                    <c:v>1375.7095096043265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'rockfish harvests'!$B$2:$B$25</c:f>
            </c:multiLvlStrRef>
          </c:cat>
          <c:val>
            <c:numRef>
              <c:f>'rockfish harvests'!$O$352:$O$375</c:f>
              <c:numCache>
                <c:formatCode>_(* #,##0_);_(* \(#,##0\);_(* "-"??_);_(@_)</c:formatCode>
                <c:ptCount val="24"/>
                <c:pt idx="0">
                  <c:v>1543.4215757484271</c:v>
                </c:pt>
                <c:pt idx="1">
                  <c:v>2236.8709556215817</c:v>
                </c:pt>
                <c:pt idx="2">
                  <c:v>3348.5221627697429</c:v>
                </c:pt>
                <c:pt idx="3">
                  <c:v>2789.304423864347</c:v>
                </c:pt>
                <c:pt idx="4">
                  <c:v>3691.1278312325794</c:v>
                </c:pt>
                <c:pt idx="5">
                  <c:v>3341.7378921071122</c:v>
                </c:pt>
                <c:pt idx="6">
                  <c:v>4875.4676526232088</c:v>
                </c:pt>
                <c:pt idx="7">
                  <c:v>6137.826586634088</c:v>
                </c:pt>
                <c:pt idx="8">
                  <c:v>5818.4812747288415</c:v>
                </c:pt>
                <c:pt idx="9">
                  <c:v>5823.8117731066231</c:v>
                </c:pt>
                <c:pt idx="10">
                  <c:v>8603.4243817386414</c:v>
                </c:pt>
                <c:pt idx="11">
                  <c:v>4673.8778957907616</c:v>
                </c:pt>
                <c:pt idx="12">
                  <c:v>6016.1943054683579</c:v>
                </c:pt>
                <c:pt idx="13">
                  <c:v>5499.8326454033777</c:v>
                </c:pt>
                <c:pt idx="14">
                  <c:v>7211.4840486137473</c:v>
                </c:pt>
                <c:pt idx="15">
                  <c:v>7064.6801916454569</c:v>
                </c:pt>
                <c:pt idx="16">
                  <c:v>5969.0572591587515</c:v>
                </c:pt>
                <c:pt idx="17">
                  <c:v>15546.524335519505</c:v>
                </c:pt>
                <c:pt idx="18">
                  <c:v>9530.7617028217246</c:v>
                </c:pt>
                <c:pt idx="19">
                  <c:v>7420.2213327054378</c:v>
                </c:pt>
                <c:pt idx="20">
                  <c:v>12867.635899450121</c:v>
                </c:pt>
                <c:pt idx="21">
                  <c:v>16359.985999299963</c:v>
                </c:pt>
                <c:pt idx="22">
                  <c:v>2769.6225355790575</c:v>
                </c:pt>
                <c:pt idx="23">
                  <c:v>1670.0870000715477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0-43CA-A65C-A0D8F8987E64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harvests'!$N$352:$N$375</c:f>
                <c:numCache>
                  <c:formatCode>General</c:formatCode>
                  <c:ptCount val="24"/>
                  <c:pt idx="0">
                    <c:v>1032.7431936671048</c:v>
                  </c:pt>
                  <c:pt idx="1">
                    <c:v>1496.7480634120427</c:v>
                  </c:pt>
                  <c:pt idx="2">
                    <c:v>2240.5825645964501</c:v>
                  </c:pt>
                  <c:pt idx="3">
                    <c:v>1866.3955487434396</c:v>
                  </c:pt>
                  <c:pt idx="4">
                    <c:v>2469.8288559379394</c:v>
                  </c:pt>
                  <c:pt idx="5">
                    <c:v>2236.0430340748367</c:v>
                  </c:pt>
                  <c:pt idx="6">
                    <c:v>3262.301184139636</c:v>
                  </c:pt>
                  <c:pt idx="7">
                    <c:v>4106.9781133398892</c:v>
                  </c:pt>
                  <c:pt idx="8">
                    <c:v>3893.2959266439329</c:v>
                  </c:pt>
                  <c:pt idx="9">
                    <c:v>3896.8627006252009</c:v>
                  </c:pt>
                  <c:pt idx="10">
                    <c:v>5756.7732057663352</c:v>
                  </c:pt>
                  <c:pt idx="11">
                    <c:v>3127.4122772116875</c:v>
                  </c:pt>
                  <c:pt idx="12">
                    <c:v>4025.5908161309594</c:v>
                  </c:pt>
                  <c:pt idx="13">
                    <c:v>3632.5561737392632</c:v>
                  </c:pt>
                  <c:pt idx="14">
                    <c:v>3673.1796011484084</c:v>
                  </c:pt>
                  <c:pt idx="15">
                    <c:v>3629.5082341424495</c:v>
                  </c:pt>
                  <c:pt idx="16">
                    <c:v>4658.1268969917564</c:v>
                  </c:pt>
                  <c:pt idx="17">
                    <c:v>9520.0307312884288</c:v>
                  </c:pt>
                  <c:pt idx="18">
                    <c:v>6746.8057531119503</c:v>
                  </c:pt>
                  <c:pt idx="19">
                    <c:v>6030.2217912187471</c:v>
                  </c:pt>
                  <c:pt idx="20">
                    <c:v>6994.3524307269354</c:v>
                  </c:pt>
                  <c:pt idx="21">
                    <c:v>10406.29733343328</c:v>
                  </c:pt>
                  <c:pt idx="22">
                    <c:v>2217.0155066216503</c:v>
                  </c:pt>
                  <c:pt idx="23">
                    <c:v>1375.7095096043265</c:v>
                  </c:pt>
                </c:numCache>
              </c:numRef>
            </c:plus>
            <c:minus>
              <c:numRef>
                <c:f>'rockfish harvests'!$N$352:$N$375</c:f>
                <c:numCache>
                  <c:formatCode>General</c:formatCode>
                  <c:ptCount val="24"/>
                  <c:pt idx="0">
                    <c:v>1032.7431936671048</c:v>
                  </c:pt>
                  <c:pt idx="1">
                    <c:v>1496.7480634120427</c:v>
                  </c:pt>
                  <c:pt idx="2">
                    <c:v>2240.5825645964501</c:v>
                  </c:pt>
                  <c:pt idx="3">
                    <c:v>1866.3955487434396</c:v>
                  </c:pt>
                  <c:pt idx="4">
                    <c:v>2469.8288559379394</c:v>
                  </c:pt>
                  <c:pt idx="5">
                    <c:v>2236.0430340748367</c:v>
                  </c:pt>
                  <c:pt idx="6">
                    <c:v>3262.301184139636</c:v>
                  </c:pt>
                  <c:pt idx="7">
                    <c:v>4106.9781133398892</c:v>
                  </c:pt>
                  <c:pt idx="8">
                    <c:v>3893.2959266439329</c:v>
                  </c:pt>
                  <c:pt idx="9">
                    <c:v>3896.8627006252009</c:v>
                  </c:pt>
                  <c:pt idx="10">
                    <c:v>5756.7732057663352</c:v>
                  </c:pt>
                  <c:pt idx="11">
                    <c:v>3127.4122772116875</c:v>
                  </c:pt>
                  <c:pt idx="12">
                    <c:v>4025.5908161309594</c:v>
                  </c:pt>
                  <c:pt idx="13">
                    <c:v>3632.5561737392632</c:v>
                  </c:pt>
                  <c:pt idx="14">
                    <c:v>3673.1796011484084</c:v>
                  </c:pt>
                  <c:pt idx="15">
                    <c:v>3629.5082341424495</c:v>
                  </c:pt>
                  <c:pt idx="16">
                    <c:v>4658.1268969917564</c:v>
                  </c:pt>
                  <c:pt idx="17">
                    <c:v>9520.0307312884288</c:v>
                  </c:pt>
                  <c:pt idx="18">
                    <c:v>6746.8057531119503</c:v>
                  </c:pt>
                  <c:pt idx="19">
                    <c:v>6030.2217912187471</c:v>
                  </c:pt>
                  <c:pt idx="20">
                    <c:v>6994.3524307269354</c:v>
                  </c:pt>
                  <c:pt idx="21">
                    <c:v>10406.29733343328</c:v>
                  </c:pt>
                  <c:pt idx="22">
                    <c:v>2217.0155066216503</c:v>
                  </c:pt>
                  <c:pt idx="23">
                    <c:v>1375.7095096043265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multiLvlStrRef>
              <c:f>'rockfish harvests'!$B$2:$B$25</c:f>
            </c:multiLvlStrRef>
          </c:cat>
          <c:val>
            <c:numRef>
              <c:f>'rockfish harvests'!$K$352:$K$375</c:f>
              <c:numCache>
                <c:formatCode>_(* #,##0_);_(* \(#,##0\);_(* "-"??_);_(@_)</c:formatCode>
                <c:ptCount val="24"/>
                <c:pt idx="0">
                  <c:v>4728.4215757484271</c:v>
                </c:pt>
                <c:pt idx="1">
                  <c:v>6852.8709556215817</c:v>
                </c:pt>
                <c:pt idx="2">
                  <c:v>10258.522162769743</c:v>
                </c:pt>
                <c:pt idx="3">
                  <c:v>8545.304423864347</c:v>
                </c:pt>
                <c:pt idx="4">
                  <c:v>11308.127831232579</c:v>
                </c:pt>
                <c:pt idx="5">
                  <c:v>10237.737892107112</c:v>
                </c:pt>
                <c:pt idx="6">
                  <c:v>14936.467652623209</c:v>
                </c:pt>
                <c:pt idx="7">
                  <c:v>18803.826586634088</c:v>
                </c:pt>
                <c:pt idx="8">
                  <c:v>17825.481274728842</c:v>
                </c:pt>
                <c:pt idx="9">
                  <c:v>17841.811773106623</c:v>
                </c:pt>
                <c:pt idx="10">
                  <c:v>26357.424381738641</c:v>
                </c:pt>
                <c:pt idx="11">
                  <c:v>14318.877895790762</c:v>
                </c:pt>
                <c:pt idx="12">
                  <c:v>18431.194305468358</c:v>
                </c:pt>
                <c:pt idx="13">
                  <c:v>17425.832645403378</c:v>
                </c:pt>
                <c:pt idx="14">
                  <c:v>21501.484048613747</c:v>
                </c:pt>
                <c:pt idx="15">
                  <c:v>22683.680191645457</c:v>
                </c:pt>
                <c:pt idx="16">
                  <c:v>24422.057259158752</c:v>
                </c:pt>
                <c:pt idx="17">
                  <c:v>33215.524335519505</c:v>
                </c:pt>
                <c:pt idx="18">
                  <c:v>27237.761702821725</c:v>
                </c:pt>
                <c:pt idx="19">
                  <c:v>28180.221332705438</c:v>
                </c:pt>
                <c:pt idx="20">
                  <c:v>39816.635899450121</c:v>
                </c:pt>
                <c:pt idx="21">
                  <c:v>39271.985999299963</c:v>
                </c:pt>
                <c:pt idx="22">
                  <c:v>15388.622535579058</c:v>
                </c:pt>
                <c:pt idx="23">
                  <c:v>31069.087000071548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0-43CA-A65C-A0D8F8987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KODIAK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AFOGNAK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harvests'!$N$2:$N$25</c:f>
              </c:numRef>
            </c:plus>
            <c:minus>
              <c:numRef>
                <c:f>'rockfish harvests'!$N$2:$N$25</c:f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multiLvlStrRef>
              <c:f>'rockfish harvests'!$B$2:$B$26</c:f>
            </c:multiLvlStrRef>
          </c:cat>
          <c:val>
            <c:numRef>
              <c:f>'rockfish harvests'!$K$2:$K$26</c:f>
            </c:numRef>
          </c:val>
          <c:smooth val="0"/>
          <c:extLst>
            <c:ext xmlns:c16="http://schemas.microsoft.com/office/drawing/2014/chart" uri="{C3380CC4-5D6E-409C-BE32-E72D297353CC}">
              <c16:uniqueId val="{00000003-4234-42A6-8C57-F6711561EC0F}"/>
            </c:ext>
          </c:extLst>
        </c:ser>
        <c:ser>
          <c:idx val="1"/>
          <c:order val="1"/>
          <c:tx>
            <c:v>WKMA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harvests'!$N$27:$N$50</c:f>
              </c:numRef>
            </c:plus>
            <c:minus>
              <c:numRef>
                <c:f>'rockfish harvests'!$N$27:$N$50</c:f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'rockfish harvests'!$B$2:$B$26</c:f>
            </c:multiLvlStrRef>
          </c:cat>
          <c:val>
            <c:numRef>
              <c:f>'rockfish harvests'!$K$27:$K$51</c:f>
            </c:numRef>
          </c:val>
          <c:smooth val="0"/>
          <c:extLst>
            <c:ext xmlns:c16="http://schemas.microsoft.com/office/drawing/2014/chart" uri="{C3380CC4-5D6E-409C-BE32-E72D297353CC}">
              <c16:uniqueId val="{00000004-4234-42A6-8C57-F6711561EC0F}"/>
            </c:ext>
          </c:extLst>
        </c:ser>
        <c:ser>
          <c:idx val="2"/>
          <c:order val="2"/>
          <c:tx>
            <c:v>SKMA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harvests'!$N$52:$N$74</c:f>
              </c:numRef>
            </c:plus>
            <c:minus>
              <c:numRef>
                <c:f>'rockfish harvests'!$N$52:$N$74</c:f>
              </c:numRef>
            </c:minus>
            <c:spPr>
              <a:noFill/>
              <a:ln w="19050" cap="flat" cmpd="sng" algn="ctr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errBars>
          <c:cat>
            <c:multiLvlStrRef>
              <c:f>'rockfish harvests'!$B$2:$B$26</c:f>
            </c:multiLvlStrRef>
          </c:cat>
          <c:val>
            <c:numRef>
              <c:f>'rockfish harvests'!$K$52:$K$76</c:f>
            </c:numRef>
          </c:val>
          <c:smooth val="0"/>
          <c:extLst>
            <c:ext xmlns:c16="http://schemas.microsoft.com/office/drawing/2014/chart" uri="{C3380CC4-5D6E-409C-BE32-E72D297353CC}">
              <c16:uniqueId val="{00000005-4234-42A6-8C57-F6711561EC0F}"/>
            </c:ext>
          </c:extLst>
        </c:ser>
        <c:ser>
          <c:idx val="3"/>
          <c:order val="3"/>
          <c:tx>
            <c:v>EASTSIDE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harvests'!$N$102:$N$125</c:f>
              </c:numRef>
            </c:plus>
            <c:minus>
              <c:numRef>
                <c:f>'rockfish harvests'!$N$102:$N$125</c:f>
              </c:numRef>
            </c:minus>
            <c:spPr>
              <a:noFill/>
              <a:ln w="1905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multiLvlStrRef>
              <c:f>'rockfish harvests'!$B$2:$B$26</c:f>
            </c:multiLvlStrRef>
          </c:cat>
          <c:val>
            <c:numRef>
              <c:f>'rockfish harvests'!$K$102:$K$126</c:f>
            </c:numRef>
          </c:val>
          <c:smooth val="0"/>
          <c:extLst>
            <c:ext xmlns:c16="http://schemas.microsoft.com/office/drawing/2014/chart" uri="{C3380CC4-5D6E-409C-BE32-E72D297353CC}">
              <c16:uniqueId val="{00000006-4234-42A6-8C57-F6711561EC0F}"/>
            </c:ext>
          </c:extLst>
        </c:ser>
        <c:ser>
          <c:idx val="4"/>
          <c:order val="4"/>
          <c:tx>
            <c:v>NORTHEAST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harvests'!$N$152:$N$175</c:f>
              </c:numRef>
            </c:plus>
            <c:minus>
              <c:numRef>
                <c:f>'rockfish harvests'!$N$152:$N$175</c:f>
              </c:numRef>
            </c:minus>
            <c:spPr>
              <a:noFill/>
              <a:ln w="19050" cap="flat" cmpd="sng" algn="ctr">
                <a:solidFill>
                  <a:srgbClr val="00B0F0"/>
                </a:solidFill>
                <a:round/>
              </a:ln>
              <a:effectLst/>
            </c:spPr>
          </c:errBars>
          <c:cat>
            <c:multiLvlStrRef>
              <c:f>'rockfish harvests'!$B$2:$B$26</c:f>
            </c:multiLvlStrRef>
          </c:cat>
          <c:val>
            <c:numRef>
              <c:f>'rockfish harvests'!$K$152:$K$176</c:f>
            </c:numRef>
          </c:val>
          <c:smooth val="0"/>
          <c:extLst>
            <c:ext xmlns:c16="http://schemas.microsoft.com/office/drawing/2014/chart" uri="{C3380CC4-5D6E-409C-BE32-E72D297353CC}">
              <c16:uniqueId val="{00000007-4234-42A6-8C57-F6711561E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CENTRAL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harvests'!$N$77:$N$100</c:f>
              </c:numRef>
            </c:plus>
            <c:minus>
              <c:numRef>
                <c:f>'rockfish harvests'!$N$77:$N$100</c:f>
              </c:numRef>
            </c:minus>
            <c:spPr>
              <a:noFill/>
              <a:ln w="127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multiLvlStrRef>
              <c:f>'rockfish harvests'!$B$2:$B$26</c:f>
            </c:multiLvlStrRef>
          </c:cat>
          <c:val>
            <c:numRef>
              <c:f>'rockfish harvests'!$K$77:$K$101</c:f>
            </c:numRef>
          </c:val>
          <c:smooth val="0"/>
          <c:extLst>
            <c:ext xmlns:c16="http://schemas.microsoft.com/office/drawing/2014/chart" uri="{C3380CC4-5D6E-409C-BE32-E72D297353CC}">
              <c16:uniqueId val="{00000000-39B9-4027-B8CD-8D8FB0F2D285}"/>
            </c:ext>
          </c:extLst>
        </c:ser>
        <c:ser>
          <c:idx val="1"/>
          <c:order val="1"/>
          <c:tx>
            <c:v>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harvests'!$N$127:$N$150</c:f>
              </c:numRef>
            </c:plus>
            <c:minus>
              <c:numRef>
                <c:f>'rockfish harvests'!$N$127:$N$150</c:f>
              </c:numRef>
            </c:minus>
            <c:spPr>
              <a:noFill/>
              <a:ln w="127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'rockfish harvests'!$B$2:$B$26</c:f>
            </c:multiLvlStrRef>
          </c:cat>
          <c:val>
            <c:numRef>
              <c:f>'rockfish harvests'!$K$127:$K$151</c:f>
            </c:numRef>
          </c:val>
          <c:smooth val="0"/>
          <c:extLst>
            <c:ext xmlns:c16="http://schemas.microsoft.com/office/drawing/2014/chart" uri="{C3380CC4-5D6E-409C-BE32-E72D297353CC}">
              <c16:uniqueId val="{00000001-39B9-4027-B8CD-8D8FB0F2D285}"/>
            </c:ext>
          </c:extLst>
        </c:ser>
        <c:ser>
          <c:idx val="2"/>
          <c:order val="2"/>
          <c:tx>
            <c:v>PWSI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harvests'!$N$177:$N$200</c:f>
              </c:numRef>
            </c:plus>
            <c:minus>
              <c:numRef>
                <c:f>'rockfish harvests'!$N$177:$N$200</c:f>
              </c:numRef>
            </c:minus>
            <c:spPr>
              <a:noFill/>
              <a:ln w="9525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cat>
            <c:multiLvlStrRef>
              <c:f>'rockfish harvests'!$B$2:$B$26</c:f>
            </c:multiLvlStrRef>
          </c:cat>
          <c:val>
            <c:numRef>
              <c:f>'rockfish harvests'!$K$177:$K$201</c:f>
            </c:numRef>
          </c:val>
          <c:smooth val="0"/>
          <c:extLst>
            <c:ext xmlns:c16="http://schemas.microsoft.com/office/drawing/2014/chart" uri="{C3380CC4-5D6E-409C-BE32-E72D297353CC}">
              <c16:uniqueId val="{00000002-39B9-4027-B8CD-8D8FB0F2D285}"/>
            </c:ext>
          </c:extLst>
        </c:ser>
        <c:ser>
          <c:idx val="3"/>
          <c:order val="3"/>
          <c:tx>
            <c:v>PWSO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harvests'!$N$202:$N$225</c:f>
              </c:numRef>
            </c:plus>
            <c:minus>
              <c:numRef>
                <c:f>'rockfish harvests'!$N$202:$N$225</c:f>
              </c:numRef>
            </c:minus>
            <c:spPr>
              <a:noFill/>
              <a:ln w="1270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multiLvlStrRef>
              <c:f>'rockfish harvests'!$B$2:$B$26</c:f>
            </c:multiLvlStrRef>
          </c:cat>
          <c:val>
            <c:numRef>
              <c:f>'rockfish harvests'!$K$202:$K$226</c:f>
            </c:numRef>
          </c:val>
          <c:smooth val="0"/>
          <c:extLst>
            <c:ext xmlns:c16="http://schemas.microsoft.com/office/drawing/2014/chart" uri="{C3380CC4-5D6E-409C-BE32-E72D297353CC}">
              <c16:uniqueId val="{00000003-39B9-4027-B8CD-8D8FB0F2D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  <c:max val="1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SEAK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CSEO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harvests'!$N$227:$N$250</c:f>
                <c:numCache>
                  <c:formatCode>General</c:formatCode>
                  <c:ptCount val="24"/>
                  <c:pt idx="0">
                    <c:v>928.15278951574248</c:v>
                  </c:pt>
                  <c:pt idx="1">
                    <c:v>954.90927608089839</c:v>
                  </c:pt>
                  <c:pt idx="2">
                    <c:v>1670.2984483544565</c:v>
                  </c:pt>
                  <c:pt idx="3">
                    <c:v>1494.696618008322</c:v>
                  </c:pt>
                  <c:pt idx="4">
                    <c:v>1387.7697698460879</c:v>
                  </c:pt>
                  <c:pt idx="5">
                    <c:v>1513.4261586039311</c:v>
                  </c:pt>
                  <c:pt idx="6">
                    <c:v>2159.9421524968102</c:v>
                  </c:pt>
                  <c:pt idx="7">
                    <c:v>2705.7744784259908</c:v>
                  </c:pt>
                  <c:pt idx="8">
                    <c:v>3344.3626244477127</c:v>
                  </c:pt>
                  <c:pt idx="9">
                    <c:v>3809.6281963862571</c:v>
                  </c:pt>
                  <c:pt idx="10">
                    <c:v>5242.3885029011626</c:v>
                  </c:pt>
                  <c:pt idx="11">
                    <c:v>3143.0943866187063</c:v>
                  </c:pt>
                  <c:pt idx="12">
                    <c:v>4341.784984737692</c:v>
                  </c:pt>
                  <c:pt idx="13">
                    <c:v>5237.8259056558345</c:v>
                  </c:pt>
                  <c:pt idx="14">
                    <c:v>1986.7369684830257</c:v>
                  </c:pt>
                  <c:pt idx="15">
                    <c:v>3837.7551421079688</c:v>
                  </c:pt>
                  <c:pt idx="16">
                    <c:v>6200.0184091355277</c:v>
                  </c:pt>
                  <c:pt idx="17">
                    <c:v>3471.8909723467677</c:v>
                  </c:pt>
                  <c:pt idx="18">
                    <c:v>3051.0380270602022</c:v>
                  </c:pt>
                  <c:pt idx="19">
                    <c:v>7134.3252309842155</c:v>
                  </c:pt>
                  <c:pt idx="20">
                    <c:v>2239.5352274329302</c:v>
                  </c:pt>
                  <c:pt idx="21">
                    <c:v>3882.2784055378902</c:v>
                  </c:pt>
                  <c:pt idx="22">
                    <c:v>3477.975417217107</c:v>
                  </c:pt>
                  <c:pt idx="23">
                    <c:v>2375.3963382481693</c:v>
                  </c:pt>
                </c:numCache>
              </c:numRef>
            </c:plus>
            <c:minus>
              <c:numRef>
                <c:f>'rockfish harvests'!$N$227:$N$250</c:f>
                <c:numCache>
                  <c:formatCode>General</c:formatCode>
                  <c:ptCount val="24"/>
                  <c:pt idx="0">
                    <c:v>928.15278951574248</c:v>
                  </c:pt>
                  <c:pt idx="1">
                    <c:v>954.90927608089839</c:v>
                  </c:pt>
                  <c:pt idx="2">
                    <c:v>1670.2984483544565</c:v>
                  </c:pt>
                  <c:pt idx="3">
                    <c:v>1494.696618008322</c:v>
                  </c:pt>
                  <c:pt idx="4">
                    <c:v>1387.7697698460879</c:v>
                  </c:pt>
                  <c:pt idx="5">
                    <c:v>1513.4261586039311</c:v>
                  </c:pt>
                  <c:pt idx="6">
                    <c:v>2159.9421524968102</c:v>
                  </c:pt>
                  <c:pt idx="7">
                    <c:v>2705.7744784259908</c:v>
                  </c:pt>
                  <c:pt idx="8">
                    <c:v>3344.3626244477127</c:v>
                  </c:pt>
                  <c:pt idx="9">
                    <c:v>3809.6281963862571</c:v>
                  </c:pt>
                  <c:pt idx="10">
                    <c:v>5242.3885029011626</c:v>
                  </c:pt>
                  <c:pt idx="11">
                    <c:v>3143.0943866187063</c:v>
                  </c:pt>
                  <c:pt idx="12">
                    <c:v>4341.784984737692</c:v>
                  </c:pt>
                  <c:pt idx="13">
                    <c:v>5237.8259056558345</c:v>
                  </c:pt>
                  <c:pt idx="14">
                    <c:v>1986.7369684830257</c:v>
                  </c:pt>
                  <c:pt idx="15">
                    <c:v>3837.7551421079688</c:v>
                  </c:pt>
                  <c:pt idx="16">
                    <c:v>6200.0184091355277</c:v>
                  </c:pt>
                  <c:pt idx="17">
                    <c:v>3471.8909723467677</c:v>
                  </c:pt>
                  <c:pt idx="18">
                    <c:v>3051.0380270602022</c:v>
                  </c:pt>
                  <c:pt idx="19">
                    <c:v>7134.3252309842155</c:v>
                  </c:pt>
                  <c:pt idx="20">
                    <c:v>2239.5352274329302</c:v>
                  </c:pt>
                  <c:pt idx="21">
                    <c:v>3882.2784055378902</c:v>
                  </c:pt>
                  <c:pt idx="22">
                    <c:v>3477.975417217107</c:v>
                  </c:pt>
                  <c:pt idx="23">
                    <c:v>2375.3963382481693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multiLvlStrRef>
              <c:f>'rockfish harvests'!$B$2:$B$25</c:f>
            </c:multiLvlStrRef>
          </c:cat>
          <c:val>
            <c:numRef>
              <c:f>'rockfish harvests'!$K$227:$K$250</c:f>
              <c:numCache>
                <c:formatCode>_(* #,##0_);_(* \(#,##0\);_(* "-"??_);_(@_)</c:formatCode>
                <c:ptCount val="24"/>
                <c:pt idx="0">
                  <c:v>10785.556656147837</c:v>
                </c:pt>
                <c:pt idx="1">
                  <c:v>11096.479173461516</c:v>
                </c:pt>
                <c:pt idx="2">
                  <c:v>19409.626034526136</c:v>
                </c:pt>
                <c:pt idx="3">
                  <c:v>17369.053069045251</c:v>
                </c:pt>
                <c:pt idx="4">
                  <c:v>16126.514564669476</c:v>
                </c:pt>
                <c:pt idx="5">
                  <c:v>17586.698831164827</c:v>
                </c:pt>
                <c:pt idx="6">
                  <c:v>25099.50810136646</c:v>
                </c:pt>
                <c:pt idx="7">
                  <c:v>31442.327454565508</c:v>
                </c:pt>
                <c:pt idx="8">
                  <c:v>38863.01153445198</c:v>
                </c:pt>
                <c:pt idx="9">
                  <c:v>44269.608641073173</c:v>
                </c:pt>
                <c:pt idx="10">
                  <c:v>60918.9336607812</c:v>
                </c:pt>
                <c:pt idx="11">
                  <c:v>36524.183265325752</c:v>
                </c:pt>
                <c:pt idx="12">
                  <c:v>50453.51204097856</c:v>
                </c:pt>
                <c:pt idx="13">
                  <c:v>68480.968038392311</c:v>
                </c:pt>
                <c:pt idx="14">
                  <c:v>63827.587639698155</c:v>
                </c:pt>
                <c:pt idx="15">
                  <c:v>70364.987163814178</c:v>
                </c:pt>
                <c:pt idx="16">
                  <c:v>86708.052896462119</c:v>
                </c:pt>
                <c:pt idx="17">
                  <c:v>88259.545990311773</c:v>
                </c:pt>
                <c:pt idx="18">
                  <c:v>63347.772142219961</c:v>
                </c:pt>
                <c:pt idx="19">
                  <c:v>71940.082903438393</c:v>
                </c:pt>
                <c:pt idx="20">
                  <c:v>61699.047320720041</c:v>
                </c:pt>
                <c:pt idx="21">
                  <c:v>69676.250304369401</c:v>
                </c:pt>
                <c:pt idx="22">
                  <c:v>30307.582512931756</c:v>
                </c:pt>
                <c:pt idx="23">
                  <c:v>62821.383245691672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6-47C1-A689-C71495ADDA54}"/>
            </c:ext>
          </c:extLst>
        </c:ser>
        <c:ser>
          <c:idx val="1"/>
          <c:order val="1"/>
          <c:tx>
            <c:v>EWYKT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harvests'!$N$252:$N$274</c:f>
                <c:numCache>
                  <c:formatCode>General</c:formatCode>
                  <c:ptCount val="23"/>
                  <c:pt idx="0">
                    <c:v>322.60872756906338</c:v>
                  </c:pt>
                  <c:pt idx="1">
                    <c:v>163.90006619025979</c:v>
                  </c:pt>
                  <c:pt idx="2">
                    <c:v>296.40449375885595</c:v>
                  </c:pt>
                  <c:pt idx="3">
                    <c:v>257.83977230232421</c:v>
                  </c:pt>
                  <c:pt idx="4">
                    <c:v>220.7583093633514</c:v>
                  </c:pt>
                  <c:pt idx="5">
                    <c:v>402.21026801139163</c:v>
                  </c:pt>
                  <c:pt idx="6">
                    <c:v>371.06183914265449</c:v>
                  </c:pt>
                  <c:pt idx="7">
                    <c:v>414.32354590478946</c:v>
                  </c:pt>
                  <c:pt idx="8">
                    <c:v>625.19346515108134</c:v>
                  </c:pt>
                  <c:pt idx="9">
                    <c:v>566.11033420165143</c:v>
                  </c:pt>
                  <c:pt idx="10">
                    <c:v>706.27826411096862</c:v>
                  </c:pt>
                  <c:pt idx="11">
                    <c:v>616.54112379865444</c:v>
                  </c:pt>
                  <c:pt idx="12">
                    <c:v>601.9557483759919</c:v>
                  </c:pt>
                  <c:pt idx="13">
                    <c:v>1246.848710051574</c:v>
                  </c:pt>
                  <c:pt idx="14">
                    <c:v>430.75583407997971</c:v>
                  </c:pt>
                  <c:pt idx="15">
                    <c:v>578.15780132954842</c:v>
                  </c:pt>
                  <c:pt idx="16">
                    <c:v>948.18350591791136</c:v>
                  </c:pt>
                  <c:pt idx="17">
                    <c:v>2069.7014659136921</c:v>
                  </c:pt>
                  <c:pt idx="18">
                    <c:v>1415.859437828404</c:v>
                  </c:pt>
                  <c:pt idx="19">
                    <c:v>857.19803430068043</c:v>
                  </c:pt>
                  <c:pt idx="20">
                    <c:v>1389.9049947611211</c:v>
                  </c:pt>
                  <c:pt idx="21">
                    <c:v>2170.8886425619121</c:v>
                  </c:pt>
                  <c:pt idx="22">
                    <c:v>648.7067836537226</c:v>
                  </c:pt>
                </c:numCache>
              </c:numRef>
            </c:plus>
            <c:minus>
              <c:numRef>
                <c:f>'rockfish harvests'!$N$252:$N$274</c:f>
                <c:numCache>
                  <c:formatCode>General</c:formatCode>
                  <c:ptCount val="23"/>
                  <c:pt idx="0">
                    <c:v>322.60872756906338</c:v>
                  </c:pt>
                  <c:pt idx="1">
                    <c:v>163.90006619025979</c:v>
                  </c:pt>
                  <c:pt idx="2">
                    <c:v>296.40449375885595</c:v>
                  </c:pt>
                  <c:pt idx="3">
                    <c:v>257.83977230232421</c:v>
                  </c:pt>
                  <c:pt idx="4">
                    <c:v>220.7583093633514</c:v>
                  </c:pt>
                  <c:pt idx="5">
                    <c:v>402.21026801139163</c:v>
                  </c:pt>
                  <c:pt idx="6">
                    <c:v>371.06183914265449</c:v>
                  </c:pt>
                  <c:pt idx="7">
                    <c:v>414.32354590478946</c:v>
                  </c:pt>
                  <c:pt idx="8">
                    <c:v>625.19346515108134</c:v>
                  </c:pt>
                  <c:pt idx="9">
                    <c:v>566.11033420165143</c:v>
                  </c:pt>
                  <c:pt idx="10">
                    <c:v>706.27826411096862</c:v>
                  </c:pt>
                  <c:pt idx="11">
                    <c:v>616.54112379865444</c:v>
                  </c:pt>
                  <c:pt idx="12">
                    <c:v>601.9557483759919</c:v>
                  </c:pt>
                  <c:pt idx="13">
                    <c:v>1246.848710051574</c:v>
                  </c:pt>
                  <c:pt idx="14">
                    <c:v>430.75583407997971</c:v>
                  </c:pt>
                  <c:pt idx="15">
                    <c:v>578.15780132954842</c:v>
                  </c:pt>
                  <c:pt idx="16">
                    <c:v>948.18350591791136</c:v>
                  </c:pt>
                  <c:pt idx="17">
                    <c:v>2069.7014659136921</c:v>
                  </c:pt>
                  <c:pt idx="18">
                    <c:v>1415.859437828404</c:v>
                  </c:pt>
                  <c:pt idx="19">
                    <c:v>857.19803430068043</c:v>
                  </c:pt>
                  <c:pt idx="20">
                    <c:v>1389.9049947611211</c:v>
                  </c:pt>
                  <c:pt idx="21">
                    <c:v>2170.8886425619121</c:v>
                  </c:pt>
                  <c:pt idx="22">
                    <c:v>648.7067836537226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'rockfish harvests'!$B$2:$B$25</c:f>
            </c:multiLvlStrRef>
          </c:cat>
          <c:val>
            <c:numRef>
              <c:f>'rockfish harvests'!$K$252:$K$275</c:f>
              <c:numCache>
                <c:formatCode>_(* #,##0_);_(* \(#,##0\);_(* "-"??_);_(@_)</c:formatCode>
                <c:ptCount val="24"/>
                <c:pt idx="0">
                  <c:v>1645.0389532640204</c:v>
                </c:pt>
                <c:pt idx="1">
                  <c:v>835.7554222329851</c:v>
                </c:pt>
                <c:pt idx="2">
                  <c:v>1511.4189310065597</c:v>
                </c:pt>
                <c:pt idx="3">
                  <c:v>1314.7705963635044</c:v>
                </c:pt>
                <c:pt idx="4">
                  <c:v>1125.6856592067204</c:v>
                </c:pt>
                <c:pt idx="5">
                  <c:v>2050.9412850272502</c:v>
                </c:pt>
                <c:pt idx="6">
                  <c:v>1892.1099378155513</c:v>
                </c:pt>
                <c:pt idx="7">
                  <c:v>2112.7090311651327</c:v>
                </c:pt>
                <c:pt idx="8">
                  <c:v>3187.9720404633777</c:v>
                </c:pt>
                <c:pt idx="9">
                  <c:v>2886.6967072602351</c:v>
                </c:pt>
                <c:pt idx="10">
                  <c:v>3601.4377697128784</c:v>
                </c:pt>
                <c:pt idx="11">
                  <c:v>3143.852221793461</c:v>
                </c:pt>
                <c:pt idx="12">
                  <c:v>3069.4788131784594</c:v>
                </c:pt>
                <c:pt idx="13">
                  <c:v>4284.4366812227072</c:v>
                </c:pt>
                <c:pt idx="14">
                  <c:v>3776.1442770118629</c:v>
                </c:pt>
                <c:pt idx="15">
                  <c:v>4475.3664881407803</c:v>
                </c:pt>
                <c:pt idx="16">
                  <c:v>5718.1397849462364</c:v>
                </c:pt>
                <c:pt idx="17">
                  <c:v>8126.5678935972783</c:v>
                </c:pt>
                <c:pt idx="18">
                  <c:v>9606.8674308497375</c:v>
                </c:pt>
                <c:pt idx="19">
                  <c:v>7580.0488400488402</c:v>
                </c:pt>
                <c:pt idx="20">
                  <c:v>10630.379506304387</c:v>
                </c:pt>
                <c:pt idx="21">
                  <c:v>10910.494473531124</c:v>
                </c:pt>
                <c:pt idx="22">
                  <c:v>4973.6383877159315</c:v>
                </c:pt>
                <c:pt idx="23">
                  <c:v>8856.750779741571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6-47C1-A689-C71495ADDA54}"/>
            </c:ext>
          </c:extLst>
        </c:ser>
        <c:ser>
          <c:idx val="2"/>
          <c:order val="2"/>
          <c:tx>
            <c:v>NSEI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harvests'!$N$277:$N$300</c:f>
                <c:numCache>
                  <c:formatCode>General</c:formatCode>
                  <c:ptCount val="24"/>
                  <c:pt idx="0">
                    <c:v>1732.8529109001979</c:v>
                  </c:pt>
                  <c:pt idx="1">
                    <c:v>2086.3090013354704</c:v>
                  </c:pt>
                  <c:pt idx="2">
                    <c:v>3195.5315931188893</c:v>
                  </c:pt>
                  <c:pt idx="3">
                    <c:v>2374.5167040187762</c:v>
                  </c:pt>
                  <c:pt idx="4">
                    <c:v>1625.6357109258622</c:v>
                  </c:pt>
                  <c:pt idx="5">
                    <c:v>1989.9118857622141</c:v>
                  </c:pt>
                  <c:pt idx="6">
                    <c:v>1984.3379028889306</c:v>
                  </c:pt>
                  <c:pt idx="7">
                    <c:v>2517.4729706512244</c:v>
                  </c:pt>
                  <c:pt idx="8">
                    <c:v>2110.5722209015275</c:v>
                  </c:pt>
                  <c:pt idx="9">
                    <c:v>2458.7822098090037</c:v>
                  </c:pt>
                  <c:pt idx="10">
                    <c:v>3581.4479367574004</c:v>
                  </c:pt>
                  <c:pt idx="11">
                    <c:v>3057.4935466687507</c:v>
                  </c:pt>
                  <c:pt idx="12">
                    <c:v>3915.5590278089244</c:v>
                  </c:pt>
                  <c:pt idx="13">
                    <c:v>3328.2823120072085</c:v>
                  </c:pt>
                  <c:pt idx="14">
                    <c:v>6534.94598288</c:v>
                  </c:pt>
                  <c:pt idx="15">
                    <c:v>3288.3571695421815</c:v>
                  </c:pt>
                  <c:pt idx="16">
                    <c:v>6050.2023310618406</c:v>
                  </c:pt>
                  <c:pt idx="17">
                    <c:v>4066.4283041859944</c:v>
                  </c:pt>
                  <c:pt idx="18">
                    <c:v>5096.9710971044397</c:v>
                  </c:pt>
                  <c:pt idx="19">
                    <c:v>7473.8420938857371</c:v>
                  </c:pt>
                  <c:pt idx="20">
                    <c:v>5611.8994573284481</c:v>
                  </c:pt>
                  <c:pt idx="21">
                    <c:v>9627.034141371827</c:v>
                  </c:pt>
                  <c:pt idx="22">
                    <c:v>2378.5554444398936</c:v>
                  </c:pt>
                  <c:pt idx="23">
                    <c:v>3852.8357477910167</c:v>
                  </c:pt>
                </c:numCache>
              </c:numRef>
            </c:plus>
            <c:minus>
              <c:numRef>
                <c:f>'rockfish harvests'!$N$277:$N$300</c:f>
                <c:numCache>
                  <c:formatCode>General</c:formatCode>
                  <c:ptCount val="24"/>
                  <c:pt idx="0">
                    <c:v>1732.8529109001979</c:v>
                  </c:pt>
                  <c:pt idx="1">
                    <c:v>2086.3090013354704</c:v>
                  </c:pt>
                  <c:pt idx="2">
                    <c:v>3195.5315931188893</c:v>
                  </c:pt>
                  <c:pt idx="3">
                    <c:v>2374.5167040187762</c:v>
                  </c:pt>
                  <c:pt idx="4">
                    <c:v>1625.6357109258622</c:v>
                  </c:pt>
                  <c:pt idx="5">
                    <c:v>1989.9118857622141</c:v>
                  </c:pt>
                  <c:pt idx="6">
                    <c:v>1984.3379028889306</c:v>
                  </c:pt>
                  <c:pt idx="7">
                    <c:v>2517.4729706512244</c:v>
                  </c:pt>
                  <c:pt idx="8">
                    <c:v>2110.5722209015275</c:v>
                  </c:pt>
                  <c:pt idx="9">
                    <c:v>2458.7822098090037</c:v>
                  </c:pt>
                  <c:pt idx="10">
                    <c:v>3581.4479367574004</c:v>
                  </c:pt>
                  <c:pt idx="11">
                    <c:v>3057.4935466687507</c:v>
                  </c:pt>
                  <c:pt idx="12">
                    <c:v>3915.5590278089244</c:v>
                  </c:pt>
                  <c:pt idx="13">
                    <c:v>3328.2823120072085</c:v>
                  </c:pt>
                  <c:pt idx="14">
                    <c:v>6534.94598288</c:v>
                  </c:pt>
                  <c:pt idx="15">
                    <c:v>3288.3571695421815</c:v>
                  </c:pt>
                  <c:pt idx="16">
                    <c:v>6050.2023310618406</c:v>
                  </c:pt>
                  <c:pt idx="17">
                    <c:v>4066.4283041859944</c:v>
                  </c:pt>
                  <c:pt idx="18">
                    <c:v>5096.9710971044397</c:v>
                  </c:pt>
                  <c:pt idx="19">
                    <c:v>7473.8420938857371</c:v>
                  </c:pt>
                  <c:pt idx="20">
                    <c:v>5611.8994573284481</c:v>
                  </c:pt>
                  <c:pt idx="21">
                    <c:v>9627.034141371827</c:v>
                  </c:pt>
                  <c:pt idx="22">
                    <c:v>2378.5554444398936</c:v>
                  </c:pt>
                  <c:pt idx="23">
                    <c:v>3852.8357477910167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cat>
            <c:multiLvlStrRef>
              <c:f>'rockfish harvests'!$B$2:$B$25</c:f>
            </c:multiLvlStrRef>
          </c:cat>
          <c:val>
            <c:numRef>
              <c:f>'rockfish harvests'!$K$277:$K$300</c:f>
              <c:numCache>
                <c:formatCode>_(* #,##0_);_(* \(#,##0\);_(* "-"??_);_(@_)</c:formatCode>
                <c:ptCount val="24"/>
                <c:pt idx="0">
                  <c:v>8429.4015142904627</c:v>
                </c:pt>
                <c:pt idx="1">
                  <c:v>10148.776127801366</c:v>
                </c:pt>
                <c:pt idx="2">
                  <c:v>15544.550077251628</c:v>
                </c:pt>
                <c:pt idx="3">
                  <c:v>11550.752273697548</c:v>
                </c:pt>
                <c:pt idx="4">
                  <c:v>7907.8472484109971</c:v>
                </c:pt>
                <c:pt idx="5">
                  <c:v>9679.8557786620295</c:v>
                </c:pt>
                <c:pt idx="6">
                  <c:v>9652.7413367049921</c:v>
                </c:pt>
                <c:pt idx="7">
                  <c:v>12246.157961536836</c:v>
                </c:pt>
                <c:pt idx="8">
                  <c:v>10266.803698673171</c:v>
                </c:pt>
                <c:pt idx="9">
                  <c:v>11960.658837400981</c:v>
                </c:pt>
                <c:pt idx="10">
                  <c:v>17421.826440982921</c:v>
                </c:pt>
                <c:pt idx="11">
                  <c:v>14873.068897021491</c:v>
                </c:pt>
                <c:pt idx="12">
                  <c:v>19047.097991231167</c:v>
                </c:pt>
                <c:pt idx="13">
                  <c:v>21134.144125958821</c:v>
                </c:pt>
                <c:pt idx="14">
                  <c:v>30331.837840909095</c:v>
                </c:pt>
                <c:pt idx="15">
                  <c:v>22942.238805970148</c:v>
                </c:pt>
                <c:pt idx="16">
                  <c:v>32276.119924151324</c:v>
                </c:pt>
                <c:pt idx="17">
                  <c:v>31763.885700148439</c:v>
                </c:pt>
                <c:pt idx="18">
                  <c:v>40066.291818701371</c:v>
                </c:pt>
                <c:pt idx="19">
                  <c:v>41111.228360636691</c:v>
                </c:pt>
                <c:pt idx="20">
                  <c:v>50022.26901059274</c:v>
                </c:pt>
                <c:pt idx="21">
                  <c:v>59476.361216730038</c:v>
                </c:pt>
                <c:pt idx="22">
                  <c:v>22443.397890444958</c:v>
                </c:pt>
                <c:pt idx="23">
                  <c:v>41077.489980580918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6-47C1-A689-C71495ADDA54}"/>
            </c:ext>
          </c:extLst>
        </c:ser>
        <c:ser>
          <c:idx val="3"/>
          <c:order val="3"/>
          <c:tx>
            <c:v>NSEO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harvests'!$N$302:$N$325</c:f>
                <c:numCache>
                  <c:formatCode>General</c:formatCode>
                  <c:ptCount val="24"/>
                  <c:pt idx="0">
                    <c:v>598.87652555735008</c:v>
                  </c:pt>
                  <c:pt idx="1">
                    <c:v>571.14582268203208</c:v>
                  </c:pt>
                  <c:pt idx="2">
                    <c:v>1537.4541613373467</c:v>
                  </c:pt>
                  <c:pt idx="3">
                    <c:v>1513.9897204428469</c:v>
                  </c:pt>
                  <c:pt idx="4">
                    <c:v>1082.0306948850073</c:v>
                  </c:pt>
                  <c:pt idx="5">
                    <c:v>1644.1107108578008</c:v>
                  </c:pt>
                  <c:pt idx="6">
                    <c:v>1558.7854712414376</c:v>
                  </c:pt>
                  <c:pt idx="7">
                    <c:v>1491.0585622959491</c:v>
                  </c:pt>
                  <c:pt idx="8">
                    <c:v>1630.778642167744</c:v>
                  </c:pt>
                  <c:pt idx="9">
                    <c:v>2274.984201271287</c:v>
                  </c:pt>
                  <c:pt idx="10">
                    <c:v>2671.7465654873768</c:v>
                  </c:pt>
                  <c:pt idx="11">
                    <c:v>1502.7907827431989</c:v>
                  </c:pt>
                  <c:pt idx="12">
                    <c:v>2460.0333146892749</c:v>
                  </c:pt>
                  <c:pt idx="13">
                    <c:v>1682.463944691056</c:v>
                  </c:pt>
                  <c:pt idx="14">
                    <c:v>3052.5647373851134</c:v>
                  </c:pt>
                  <c:pt idx="15">
                    <c:v>2760.7155986775479</c:v>
                  </c:pt>
                  <c:pt idx="16">
                    <c:v>6100.3268973181011</c:v>
                  </c:pt>
                  <c:pt idx="17">
                    <c:v>3774.6712252772454</c:v>
                  </c:pt>
                  <c:pt idx="18">
                    <c:v>1247.4998680061965</c:v>
                  </c:pt>
                  <c:pt idx="19">
                    <c:v>4232.1958562053551</c:v>
                  </c:pt>
                  <c:pt idx="20">
                    <c:v>5339.7496022165105</c:v>
                  </c:pt>
                  <c:pt idx="21">
                    <c:v>4335.1584018312133</c:v>
                  </c:pt>
                  <c:pt idx="22">
                    <c:v>650.65334293669264</c:v>
                  </c:pt>
                  <c:pt idx="23">
                    <c:v>3712.9032961905318</c:v>
                  </c:pt>
                </c:numCache>
              </c:numRef>
            </c:plus>
            <c:minus>
              <c:numRef>
                <c:f>'rockfish harvests'!$N$302:$N$325</c:f>
                <c:numCache>
                  <c:formatCode>General</c:formatCode>
                  <c:ptCount val="24"/>
                  <c:pt idx="0">
                    <c:v>598.87652555735008</c:v>
                  </c:pt>
                  <c:pt idx="1">
                    <c:v>571.14582268203208</c:v>
                  </c:pt>
                  <c:pt idx="2">
                    <c:v>1537.4541613373467</c:v>
                  </c:pt>
                  <c:pt idx="3">
                    <c:v>1513.9897204428469</c:v>
                  </c:pt>
                  <c:pt idx="4">
                    <c:v>1082.0306948850073</c:v>
                  </c:pt>
                  <c:pt idx="5">
                    <c:v>1644.1107108578008</c:v>
                  </c:pt>
                  <c:pt idx="6">
                    <c:v>1558.7854712414376</c:v>
                  </c:pt>
                  <c:pt idx="7">
                    <c:v>1491.0585622959491</c:v>
                  </c:pt>
                  <c:pt idx="8">
                    <c:v>1630.778642167744</c:v>
                  </c:pt>
                  <c:pt idx="9">
                    <c:v>2274.984201271287</c:v>
                  </c:pt>
                  <c:pt idx="10">
                    <c:v>2671.7465654873768</c:v>
                  </c:pt>
                  <c:pt idx="11">
                    <c:v>1502.7907827431989</c:v>
                  </c:pt>
                  <c:pt idx="12">
                    <c:v>2460.0333146892749</c:v>
                  </c:pt>
                  <c:pt idx="13">
                    <c:v>1682.463944691056</c:v>
                  </c:pt>
                  <c:pt idx="14">
                    <c:v>3052.5647373851134</c:v>
                  </c:pt>
                  <c:pt idx="15">
                    <c:v>2760.7155986775479</c:v>
                  </c:pt>
                  <c:pt idx="16">
                    <c:v>6100.3268973181011</c:v>
                  </c:pt>
                  <c:pt idx="17">
                    <c:v>3774.6712252772454</c:v>
                  </c:pt>
                  <c:pt idx="18">
                    <c:v>1247.4998680061965</c:v>
                  </c:pt>
                  <c:pt idx="19">
                    <c:v>4232.1958562053551</c:v>
                  </c:pt>
                  <c:pt idx="20">
                    <c:v>5339.7496022165105</c:v>
                  </c:pt>
                  <c:pt idx="21">
                    <c:v>4335.1584018312133</c:v>
                  </c:pt>
                  <c:pt idx="22">
                    <c:v>650.65334293669264</c:v>
                  </c:pt>
                  <c:pt idx="23">
                    <c:v>3712.9032961905318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multiLvlStrRef>
              <c:f>'rockfish harvests'!$B$2:$B$25</c:f>
            </c:multiLvlStrRef>
          </c:cat>
          <c:val>
            <c:numRef>
              <c:f>'rockfish harvests'!$K$302:$K$325</c:f>
              <c:numCache>
                <c:formatCode>_(* #,##0_);_(* \(#,##0\);_(* "-"??_);_(@_)</c:formatCode>
                <c:ptCount val="24"/>
                <c:pt idx="0">
                  <c:v>1718.6553389715536</c:v>
                </c:pt>
                <c:pt idx="1">
                  <c:v>1639.073791663877</c:v>
                </c:pt>
                <c:pt idx="2">
                  <c:v>4412.1846324621447</c:v>
                </c:pt>
                <c:pt idx="3">
                  <c:v>4344.8464001248803</c:v>
                </c:pt>
                <c:pt idx="4">
                  <c:v>3105.2107593706878</c:v>
                </c:pt>
                <c:pt idx="5">
                  <c:v>4718.26750672244</c:v>
                </c:pt>
                <c:pt idx="6">
                  <c:v>4473.4012073142039</c:v>
                </c:pt>
                <c:pt idx="7">
                  <c:v>4279.0385821589171</c:v>
                </c:pt>
                <c:pt idx="8">
                  <c:v>4680.0071474399028</c:v>
                </c:pt>
                <c:pt idx="9">
                  <c:v>6528.7477079720811</c:v>
                </c:pt>
                <c:pt idx="10">
                  <c:v>7667.3760002203771</c:v>
                </c:pt>
                <c:pt idx="11">
                  <c:v>4312.7076983275492</c:v>
                </c:pt>
                <c:pt idx="12">
                  <c:v>7059.8014948136924</c:v>
                </c:pt>
                <c:pt idx="13">
                  <c:v>11059.863872082973</c:v>
                </c:pt>
                <c:pt idx="14">
                  <c:v>12656.140350877193</c:v>
                </c:pt>
                <c:pt idx="15">
                  <c:v>10533.463803255974</c:v>
                </c:pt>
                <c:pt idx="16">
                  <c:v>18410.250883987203</c:v>
                </c:pt>
                <c:pt idx="17">
                  <c:v>13685.480355422331</c:v>
                </c:pt>
                <c:pt idx="18">
                  <c:v>7499.6278507924235</c:v>
                </c:pt>
                <c:pt idx="19">
                  <c:v>16078.017147192715</c:v>
                </c:pt>
                <c:pt idx="20">
                  <c:v>18860.883640705848</c:v>
                </c:pt>
                <c:pt idx="21">
                  <c:v>18193.663451672481</c:v>
                </c:pt>
                <c:pt idx="22">
                  <c:v>4399.5719163465646</c:v>
                </c:pt>
                <c:pt idx="23">
                  <c:v>15994.894678355353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66-47C1-A689-C71495ADDA54}"/>
            </c:ext>
          </c:extLst>
        </c:ser>
        <c:ser>
          <c:idx val="4"/>
          <c:order val="4"/>
          <c:tx>
            <c:v>SSEI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harvests'!$N$327:$N$350</c:f>
                <c:numCache>
                  <c:formatCode>General</c:formatCode>
                  <c:ptCount val="24"/>
                  <c:pt idx="0">
                    <c:v>3116.5124548847989</c:v>
                  </c:pt>
                  <c:pt idx="1">
                    <c:v>3668.5348654369855</c:v>
                  </c:pt>
                  <c:pt idx="2">
                    <c:v>5967.715671875716</c:v>
                  </c:pt>
                  <c:pt idx="3">
                    <c:v>4653.1158646003996</c:v>
                  </c:pt>
                  <c:pt idx="4">
                    <c:v>3998.5536735488881</c:v>
                  </c:pt>
                  <c:pt idx="5">
                    <c:v>5606.3376105043108</c:v>
                  </c:pt>
                  <c:pt idx="6">
                    <c:v>6568.021377129041</c:v>
                  </c:pt>
                  <c:pt idx="7">
                    <c:v>7630.2538605540785</c:v>
                  </c:pt>
                  <c:pt idx="8">
                    <c:v>8817.4255910923694</c:v>
                  </c:pt>
                  <c:pt idx="9">
                    <c:v>10138.496355389487</c:v>
                  </c:pt>
                  <c:pt idx="10">
                    <c:v>9336.0976846860376</c:v>
                  </c:pt>
                  <c:pt idx="11">
                    <c:v>7385.3530255751093</c:v>
                  </c:pt>
                  <c:pt idx="12">
                    <c:v>9962.7849839513256</c:v>
                  </c:pt>
                  <c:pt idx="13">
                    <c:v>9342.8435961357463</c:v>
                  </c:pt>
                  <c:pt idx="14">
                    <c:v>9417.5935873893559</c:v>
                  </c:pt>
                  <c:pt idx="15">
                    <c:v>12017.85074308505</c:v>
                  </c:pt>
                  <c:pt idx="16">
                    <c:v>8669.7773901470664</c:v>
                  </c:pt>
                  <c:pt idx="17">
                    <c:v>8419.2716434506274</c:v>
                  </c:pt>
                  <c:pt idx="18">
                    <c:v>9586.5951226620218</c:v>
                  </c:pt>
                  <c:pt idx="19">
                    <c:v>9028.9570326963403</c:v>
                  </c:pt>
                  <c:pt idx="20">
                    <c:v>8438.8768350472583</c:v>
                  </c:pt>
                  <c:pt idx="21">
                    <c:v>20664.257163520895</c:v>
                  </c:pt>
                  <c:pt idx="22">
                    <c:v>5050.7980260351178</c:v>
                  </c:pt>
                  <c:pt idx="23">
                    <c:v>4969.6560126944214</c:v>
                  </c:pt>
                </c:numCache>
              </c:numRef>
            </c:plus>
            <c:minus>
              <c:numRef>
                <c:f>'rockfish harvests'!$N$327:$N$350</c:f>
                <c:numCache>
                  <c:formatCode>General</c:formatCode>
                  <c:ptCount val="24"/>
                  <c:pt idx="0">
                    <c:v>3116.5124548847989</c:v>
                  </c:pt>
                  <c:pt idx="1">
                    <c:v>3668.5348654369855</c:v>
                  </c:pt>
                  <c:pt idx="2">
                    <c:v>5967.715671875716</c:v>
                  </c:pt>
                  <c:pt idx="3">
                    <c:v>4653.1158646003996</c:v>
                  </c:pt>
                  <c:pt idx="4">
                    <c:v>3998.5536735488881</c:v>
                  </c:pt>
                  <c:pt idx="5">
                    <c:v>5606.3376105043108</c:v>
                  </c:pt>
                  <c:pt idx="6">
                    <c:v>6568.021377129041</c:v>
                  </c:pt>
                  <c:pt idx="7">
                    <c:v>7630.2538605540785</c:v>
                  </c:pt>
                  <c:pt idx="8">
                    <c:v>8817.4255910923694</c:v>
                  </c:pt>
                  <c:pt idx="9">
                    <c:v>10138.496355389487</c:v>
                  </c:pt>
                  <c:pt idx="10">
                    <c:v>9336.0976846860376</c:v>
                  </c:pt>
                  <c:pt idx="11">
                    <c:v>7385.3530255751093</c:v>
                  </c:pt>
                  <c:pt idx="12">
                    <c:v>9962.7849839513256</c:v>
                  </c:pt>
                  <c:pt idx="13">
                    <c:v>9342.8435961357463</c:v>
                  </c:pt>
                  <c:pt idx="14">
                    <c:v>9417.5935873893559</c:v>
                  </c:pt>
                  <c:pt idx="15">
                    <c:v>12017.85074308505</c:v>
                  </c:pt>
                  <c:pt idx="16">
                    <c:v>8669.7773901470664</c:v>
                  </c:pt>
                  <c:pt idx="17">
                    <c:v>8419.2716434506274</c:v>
                  </c:pt>
                  <c:pt idx="18">
                    <c:v>9586.5951226620218</c:v>
                  </c:pt>
                  <c:pt idx="19">
                    <c:v>9028.9570326963403</c:v>
                  </c:pt>
                  <c:pt idx="20">
                    <c:v>8438.8768350472583</c:v>
                  </c:pt>
                  <c:pt idx="21">
                    <c:v>20664.257163520895</c:v>
                  </c:pt>
                  <c:pt idx="22">
                    <c:v>5050.7980260351178</c:v>
                  </c:pt>
                  <c:pt idx="23">
                    <c:v>4969.6560126944214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cat>
            <c:multiLvlStrRef>
              <c:f>'rockfish harvests'!$B$2:$B$25</c:f>
            </c:multiLvlStrRef>
          </c:cat>
          <c:val>
            <c:numRef>
              <c:f>'rockfish harvests'!$K$327:$K$350</c:f>
              <c:numCache>
                <c:formatCode>_(* #,##0_);_(* \(#,##0\);_(* "-"??_);_(@_)</c:formatCode>
                <c:ptCount val="24"/>
                <c:pt idx="0">
                  <c:v>13683.476763338715</c:v>
                </c:pt>
                <c:pt idx="1">
                  <c:v>16107.207114806952</c:v>
                </c:pt>
                <c:pt idx="2">
                  <c:v>26202.076811318933</c:v>
                </c:pt>
                <c:pt idx="3">
                  <c:v>20430.145469364368</c:v>
                </c:pt>
                <c:pt idx="4">
                  <c:v>17556.200102204104</c:v>
                </c:pt>
                <c:pt idx="5">
                  <c:v>24615.396707472279</c:v>
                </c:pt>
                <c:pt idx="6">
                  <c:v>28837.801611923707</c:v>
                </c:pt>
                <c:pt idx="7">
                  <c:v>33501.679492927513</c:v>
                </c:pt>
                <c:pt idx="8">
                  <c:v>38714.120329944417</c:v>
                </c:pt>
                <c:pt idx="9">
                  <c:v>44514.463299102848</c:v>
                </c:pt>
                <c:pt idx="10">
                  <c:v>40991.421525823498</c:v>
                </c:pt>
                <c:pt idx="11">
                  <c:v>32426.408678750442</c:v>
                </c:pt>
                <c:pt idx="12">
                  <c:v>43742.978345028649</c:v>
                </c:pt>
                <c:pt idx="13">
                  <c:v>43385.656259472569</c:v>
                </c:pt>
                <c:pt idx="14">
                  <c:v>51250.239687848378</c:v>
                </c:pt>
                <c:pt idx="15">
                  <c:v>59046.842065821518</c:v>
                </c:pt>
                <c:pt idx="16">
                  <c:v>58838.073336968373</c:v>
                </c:pt>
                <c:pt idx="17">
                  <c:v>60956.645359656926</c:v>
                </c:pt>
                <c:pt idx="18">
                  <c:v>66405.532446281708</c:v>
                </c:pt>
                <c:pt idx="19">
                  <c:v>62909.834871736792</c:v>
                </c:pt>
                <c:pt idx="20">
                  <c:v>76774.8595505618</c:v>
                </c:pt>
                <c:pt idx="21">
                  <c:v>105817.34860446323</c:v>
                </c:pt>
                <c:pt idx="22">
                  <c:v>26303.649154865238</c:v>
                </c:pt>
                <c:pt idx="23">
                  <c:v>42574.636497865038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66-47C1-A689-C71495ADDA54}"/>
            </c:ext>
          </c:extLst>
        </c:ser>
        <c:ser>
          <c:idx val="5"/>
          <c:order val="5"/>
          <c:tx>
            <c:v>SSEO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harvests'!$N$352:$N$375</c:f>
                <c:numCache>
                  <c:formatCode>General</c:formatCode>
                  <c:ptCount val="24"/>
                  <c:pt idx="0">
                    <c:v>1032.7431936671048</c:v>
                  </c:pt>
                  <c:pt idx="1">
                    <c:v>1496.7480634120427</c:v>
                  </c:pt>
                  <c:pt idx="2">
                    <c:v>2240.5825645964501</c:v>
                  </c:pt>
                  <c:pt idx="3">
                    <c:v>1866.3955487434396</c:v>
                  </c:pt>
                  <c:pt idx="4">
                    <c:v>2469.8288559379394</c:v>
                  </c:pt>
                  <c:pt idx="5">
                    <c:v>2236.0430340748367</c:v>
                  </c:pt>
                  <c:pt idx="6">
                    <c:v>3262.301184139636</c:v>
                  </c:pt>
                  <c:pt idx="7">
                    <c:v>4106.9781133398892</c:v>
                  </c:pt>
                  <c:pt idx="8">
                    <c:v>3893.2959266439329</c:v>
                  </c:pt>
                  <c:pt idx="9">
                    <c:v>3896.8627006252009</c:v>
                  </c:pt>
                  <c:pt idx="10">
                    <c:v>5756.7732057663352</c:v>
                  </c:pt>
                  <c:pt idx="11">
                    <c:v>3127.4122772116875</c:v>
                  </c:pt>
                  <c:pt idx="12">
                    <c:v>4025.5908161309594</c:v>
                  </c:pt>
                  <c:pt idx="13">
                    <c:v>3632.5561737392632</c:v>
                  </c:pt>
                  <c:pt idx="14">
                    <c:v>3673.1796011484084</c:v>
                  </c:pt>
                  <c:pt idx="15">
                    <c:v>3629.5082341424495</c:v>
                  </c:pt>
                  <c:pt idx="16">
                    <c:v>4658.1268969917564</c:v>
                  </c:pt>
                  <c:pt idx="17">
                    <c:v>9520.0307312884288</c:v>
                  </c:pt>
                  <c:pt idx="18">
                    <c:v>6746.8057531119503</c:v>
                  </c:pt>
                  <c:pt idx="19">
                    <c:v>6030.2217912187471</c:v>
                  </c:pt>
                  <c:pt idx="20">
                    <c:v>6994.3524307269354</c:v>
                  </c:pt>
                  <c:pt idx="21">
                    <c:v>10406.29733343328</c:v>
                  </c:pt>
                  <c:pt idx="22">
                    <c:v>2217.0155066216503</c:v>
                  </c:pt>
                  <c:pt idx="23">
                    <c:v>1375.7095096043265</c:v>
                  </c:pt>
                </c:numCache>
              </c:numRef>
            </c:plus>
            <c:minus>
              <c:numRef>
                <c:f>'rockfish harvests'!$N$352:$N$375</c:f>
                <c:numCache>
                  <c:formatCode>General</c:formatCode>
                  <c:ptCount val="24"/>
                  <c:pt idx="0">
                    <c:v>1032.7431936671048</c:v>
                  </c:pt>
                  <c:pt idx="1">
                    <c:v>1496.7480634120427</c:v>
                  </c:pt>
                  <c:pt idx="2">
                    <c:v>2240.5825645964501</c:v>
                  </c:pt>
                  <c:pt idx="3">
                    <c:v>1866.3955487434396</c:v>
                  </c:pt>
                  <c:pt idx="4">
                    <c:v>2469.8288559379394</c:v>
                  </c:pt>
                  <c:pt idx="5">
                    <c:v>2236.0430340748367</c:v>
                  </c:pt>
                  <c:pt idx="6">
                    <c:v>3262.301184139636</c:v>
                  </c:pt>
                  <c:pt idx="7">
                    <c:v>4106.9781133398892</c:v>
                  </c:pt>
                  <c:pt idx="8">
                    <c:v>3893.2959266439329</c:v>
                  </c:pt>
                  <c:pt idx="9">
                    <c:v>3896.8627006252009</c:v>
                  </c:pt>
                  <c:pt idx="10">
                    <c:v>5756.7732057663352</c:v>
                  </c:pt>
                  <c:pt idx="11">
                    <c:v>3127.4122772116875</c:v>
                  </c:pt>
                  <c:pt idx="12">
                    <c:v>4025.5908161309594</c:v>
                  </c:pt>
                  <c:pt idx="13">
                    <c:v>3632.5561737392632</c:v>
                  </c:pt>
                  <c:pt idx="14">
                    <c:v>3673.1796011484084</c:v>
                  </c:pt>
                  <c:pt idx="15">
                    <c:v>3629.5082341424495</c:v>
                  </c:pt>
                  <c:pt idx="16">
                    <c:v>4658.1268969917564</c:v>
                  </c:pt>
                  <c:pt idx="17">
                    <c:v>9520.0307312884288</c:v>
                  </c:pt>
                  <c:pt idx="18">
                    <c:v>6746.8057531119503</c:v>
                  </c:pt>
                  <c:pt idx="19">
                    <c:v>6030.2217912187471</c:v>
                  </c:pt>
                  <c:pt idx="20">
                    <c:v>6994.3524307269354</c:v>
                  </c:pt>
                  <c:pt idx="21">
                    <c:v>10406.29733343328</c:v>
                  </c:pt>
                  <c:pt idx="22">
                    <c:v>2217.0155066216503</c:v>
                  </c:pt>
                  <c:pt idx="23">
                    <c:v>1375.7095096043265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multiLvlStrRef>
              <c:f>'rockfish harvests'!$B$2:$B$25</c:f>
            </c:multiLvlStrRef>
          </c:cat>
          <c:val>
            <c:numRef>
              <c:f>'rockfish harvests'!$K$352:$K$375</c:f>
              <c:numCache>
                <c:formatCode>_(* #,##0_);_(* \(#,##0\);_(* "-"??_);_(@_)</c:formatCode>
                <c:ptCount val="24"/>
                <c:pt idx="0">
                  <c:v>4728.4215757484271</c:v>
                </c:pt>
                <c:pt idx="1">
                  <c:v>6852.8709556215817</c:v>
                </c:pt>
                <c:pt idx="2">
                  <c:v>10258.522162769743</c:v>
                </c:pt>
                <c:pt idx="3">
                  <c:v>8545.304423864347</c:v>
                </c:pt>
                <c:pt idx="4">
                  <c:v>11308.127831232579</c:v>
                </c:pt>
                <c:pt idx="5">
                  <c:v>10237.737892107112</c:v>
                </c:pt>
                <c:pt idx="6">
                  <c:v>14936.467652623209</c:v>
                </c:pt>
                <c:pt idx="7">
                  <c:v>18803.826586634088</c:v>
                </c:pt>
                <c:pt idx="8">
                  <c:v>17825.481274728842</c:v>
                </c:pt>
                <c:pt idx="9">
                  <c:v>17841.811773106623</c:v>
                </c:pt>
                <c:pt idx="10">
                  <c:v>26357.424381738641</c:v>
                </c:pt>
                <c:pt idx="11">
                  <c:v>14318.877895790762</c:v>
                </c:pt>
                <c:pt idx="12">
                  <c:v>18431.194305468358</c:v>
                </c:pt>
                <c:pt idx="13">
                  <c:v>17425.832645403378</c:v>
                </c:pt>
                <c:pt idx="14">
                  <c:v>21501.484048613747</c:v>
                </c:pt>
                <c:pt idx="15">
                  <c:v>22683.680191645457</c:v>
                </c:pt>
                <c:pt idx="16">
                  <c:v>24422.057259158752</c:v>
                </c:pt>
                <c:pt idx="17">
                  <c:v>33215.524335519505</c:v>
                </c:pt>
                <c:pt idx="18">
                  <c:v>27237.761702821725</c:v>
                </c:pt>
                <c:pt idx="19">
                  <c:v>28180.221332705438</c:v>
                </c:pt>
                <c:pt idx="20">
                  <c:v>39816.635899450121</c:v>
                </c:pt>
                <c:pt idx="21">
                  <c:v>39271.985999299963</c:v>
                </c:pt>
                <c:pt idx="22">
                  <c:v>15388.622535579058</c:v>
                </c:pt>
                <c:pt idx="23">
                  <c:v>31069.087000071548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66-47C1-A689-C71495ADD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AFOGNAK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harvest'!$K$3:$K$26</c:f>
                <c:numCache>
                  <c:formatCode>General</c:formatCode>
                  <c:ptCount val="24"/>
                  <c:pt idx="0">
                    <c:v>26.119729556791537</c:v>
                  </c:pt>
                  <c:pt idx="1">
                    <c:v>26.523433055853808</c:v>
                  </c:pt>
                  <c:pt idx="2">
                    <c:v>67.707904930080446</c:v>
                  </c:pt>
                  <c:pt idx="3">
                    <c:v>26.100180243283837</c:v>
                  </c:pt>
                  <c:pt idx="4">
                    <c:v>25.015790636418078</c:v>
                  </c:pt>
                  <c:pt idx="5">
                    <c:v>34.64001533579264</c:v>
                  </c:pt>
                  <c:pt idx="6">
                    <c:v>22.197756418348657</c:v>
                  </c:pt>
                  <c:pt idx="7">
                    <c:v>53.270701438261973</c:v>
                  </c:pt>
                  <c:pt idx="8">
                    <c:v>48.532956950679527</c:v>
                  </c:pt>
                  <c:pt idx="9">
                    <c:v>235.23014587707468</c:v>
                  </c:pt>
                  <c:pt idx="10">
                    <c:v>136.72047857485995</c:v>
                  </c:pt>
                  <c:pt idx="11">
                    <c:v>328.67951370106738</c:v>
                  </c:pt>
                  <c:pt idx="12">
                    <c:v>194.63070125352101</c:v>
                  </c:pt>
                  <c:pt idx="13">
                    <c:v>147.99746841456633</c:v>
                  </c:pt>
                  <c:pt idx="14">
                    <c:v>174.03368383476976</c:v>
                  </c:pt>
                  <c:pt idx="15">
                    <c:v>92.643565920687422</c:v>
                  </c:pt>
                  <c:pt idx="16">
                    <c:v>98.309389962575864</c:v>
                  </c:pt>
                  <c:pt idx="17">
                    <c:v>292.77215380414543</c:v>
                  </c:pt>
                  <c:pt idx="18">
                    <c:v>246.99155837919821</c:v>
                  </c:pt>
                  <c:pt idx="19">
                    <c:v>259.58987251248897</c:v>
                  </c:pt>
                  <c:pt idx="20">
                    <c:v>547.82166485762684</c:v>
                  </c:pt>
                  <c:pt idx="21">
                    <c:v>311.53948179785283</c:v>
                  </c:pt>
                  <c:pt idx="22">
                    <c:v>501.46240023028827</c:v>
                  </c:pt>
                  <c:pt idx="23">
                    <c:v>622.41452620741188</c:v>
                  </c:pt>
                </c:numCache>
              </c:numRef>
            </c:plus>
            <c:minus>
              <c:numRef>
                <c:f>'BRF harvest'!$K$3:$K$26</c:f>
                <c:numCache>
                  <c:formatCode>General</c:formatCode>
                  <c:ptCount val="24"/>
                  <c:pt idx="0">
                    <c:v>26.119729556791537</c:v>
                  </c:pt>
                  <c:pt idx="1">
                    <c:v>26.523433055853808</c:v>
                  </c:pt>
                  <c:pt idx="2">
                    <c:v>67.707904930080446</c:v>
                  </c:pt>
                  <c:pt idx="3">
                    <c:v>26.100180243283837</c:v>
                  </c:pt>
                  <c:pt idx="4">
                    <c:v>25.015790636418078</c:v>
                  </c:pt>
                  <c:pt idx="5">
                    <c:v>34.64001533579264</c:v>
                  </c:pt>
                  <c:pt idx="6">
                    <c:v>22.197756418348657</c:v>
                  </c:pt>
                  <c:pt idx="7">
                    <c:v>53.270701438261973</c:v>
                  </c:pt>
                  <c:pt idx="8">
                    <c:v>48.532956950679527</c:v>
                  </c:pt>
                  <c:pt idx="9">
                    <c:v>235.23014587707468</c:v>
                  </c:pt>
                  <c:pt idx="10">
                    <c:v>136.72047857485995</c:v>
                  </c:pt>
                  <c:pt idx="11">
                    <c:v>328.67951370106738</c:v>
                  </c:pt>
                  <c:pt idx="12">
                    <c:v>194.63070125352101</c:v>
                  </c:pt>
                  <c:pt idx="13">
                    <c:v>147.99746841456633</c:v>
                  </c:pt>
                  <c:pt idx="14">
                    <c:v>174.03368383476976</c:v>
                  </c:pt>
                  <c:pt idx="15">
                    <c:v>92.643565920687422</c:v>
                  </c:pt>
                  <c:pt idx="16">
                    <c:v>98.309389962575864</c:v>
                  </c:pt>
                  <c:pt idx="17">
                    <c:v>292.77215380414543</c:v>
                  </c:pt>
                  <c:pt idx="18">
                    <c:v>246.99155837919821</c:v>
                  </c:pt>
                  <c:pt idx="19">
                    <c:v>259.58987251248897</c:v>
                  </c:pt>
                  <c:pt idx="20">
                    <c:v>547.82166485762684</c:v>
                  </c:pt>
                  <c:pt idx="21">
                    <c:v>311.53948179785283</c:v>
                  </c:pt>
                  <c:pt idx="22">
                    <c:v>501.46240023028827</c:v>
                  </c:pt>
                  <c:pt idx="23">
                    <c:v>622.41452620741188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harvest'!$H$3:$H$26</c:f>
              <c:numCache>
                <c:formatCode>0</c:formatCode>
                <c:ptCount val="24"/>
                <c:pt idx="0">
                  <c:v>264.55670091899998</c:v>
                </c:pt>
                <c:pt idx="1">
                  <c:v>367.12380944400002</c:v>
                </c:pt>
                <c:pt idx="2">
                  <c:v>1116.0000001440001</c:v>
                </c:pt>
                <c:pt idx="3">
                  <c:v>453.54098354399997</c:v>
                </c:pt>
                <c:pt idx="4">
                  <c:v>255.26315776199999</c:v>
                </c:pt>
                <c:pt idx="5">
                  <c:v>415.60869556799997</c:v>
                </c:pt>
                <c:pt idx="6">
                  <c:v>262.16666678799999</c:v>
                </c:pt>
                <c:pt idx="7">
                  <c:v>1099.7394955110001</c:v>
                </c:pt>
                <c:pt idx="8">
                  <c:v>663.41071461399997</c:v>
                </c:pt>
                <c:pt idx="9">
                  <c:v>1354.6329123600001</c:v>
                </c:pt>
                <c:pt idx="10">
                  <c:v>1710.5905521259999</c:v>
                </c:pt>
                <c:pt idx="11">
                  <c:v>2359.9722218659999</c:v>
                </c:pt>
                <c:pt idx="12">
                  <c:v>1055.181817485</c:v>
                </c:pt>
                <c:pt idx="13">
                  <c:v>2211.8478271650001</c:v>
                </c:pt>
                <c:pt idx="14">
                  <c:v>1858.6573420550001</c:v>
                </c:pt>
                <c:pt idx="15">
                  <c:v>1087.203540126</c:v>
                </c:pt>
                <c:pt idx="16">
                  <c:v>1844.1980520950001</c:v>
                </c:pt>
                <c:pt idx="17">
                  <c:v>2299.1067954139999</c:v>
                </c:pt>
                <c:pt idx="18">
                  <c:v>2467.9906561799999</c:v>
                </c:pt>
                <c:pt idx="19">
                  <c:v>2629.0083667540002</c:v>
                </c:pt>
                <c:pt idx="20">
                  <c:v>2822.0722867639997</c:v>
                </c:pt>
                <c:pt idx="21">
                  <c:v>4567.1152067359999</c:v>
                </c:pt>
                <c:pt idx="22">
                  <c:v>3719.1891879720001</c:v>
                </c:pt>
                <c:pt idx="23">
                  <c:v>1486.875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7-4701-8B71-C700DDC36094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harvest'!$T$3:$T$26</c:f>
                <c:numCache>
                  <c:formatCode>General</c:formatCode>
                  <c:ptCount val="24"/>
                  <c:pt idx="0">
                    <c:v>103.06044530076278</c:v>
                  </c:pt>
                  <c:pt idx="1">
                    <c:v>107.15785326282821</c:v>
                  </c:pt>
                  <c:pt idx="2">
                    <c:v>311.82900868429675</c:v>
                  </c:pt>
                  <c:pt idx="3">
                    <c:v>130.5238530023868</c:v>
                  </c:pt>
                  <c:pt idx="4">
                    <c:v>62.621605051804067</c:v>
                  </c:pt>
                  <c:pt idx="5">
                    <c:v>123.41848897250922</c:v>
                  </c:pt>
                  <c:pt idx="6">
                    <c:v>108.51404929607639</c:v>
                  </c:pt>
                  <c:pt idx="7">
                    <c:v>337.67761127601091</c:v>
                  </c:pt>
                  <c:pt idx="8">
                    <c:v>219.56259287995155</c:v>
                  </c:pt>
                  <c:pt idx="9">
                    <c:v>660.16896514034181</c:v>
                  </c:pt>
                  <c:pt idx="10">
                    <c:v>554.66348646404356</c:v>
                  </c:pt>
                  <c:pt idx="11">
                    <c:v>637.62945679107997</c:v>
                  </c:pt>
                  <c:pt idx="12">
                    <c:v>687.13462337025521</c:v>
                  </c:pt>
                  <c:pt idx="13">
                    <c:v>637.81152559777331</c:v>
                  </c:pt>
                  <c:pt idx="14">
                    <c:v>751.44482914865546</c:v>
                  </c:pt>
                  <c:pt idx="15">
                    <c:v>468.90470639223963</c:v>
                  </c:pt>
                  <c:pt idx="16">
                    <c:v>796.45328781408762</c:v>
                  </c:pt>
                  <c:pt idx="17">
                    <c:v>1489.7378066728822</c:v>
                  </c:pt>
                  <c:pt idx="18">
                    <c:v>413.26735888812442</c:v>
                  </c:pt>
                  <c:pt idx="19">
                    <c:v>419.027893689466</c:v>
                  </c:pt>
                  <c:pt idx="20">
                    <c:v>958.68818590957039</c:v>
                  </c:pt>
                  <c:pt idx="21">
                    <c:v>2923.0818003570571</c:v>
                  </c:pt>
                  <c:pt idx="22">
                    <c:v>1075.9281642108797</c:v>
                  </c:pt>
                  <c:pt idx="23">
                    <c:v>1022.3765695656011</c:v>
                  </c:pt>
                </c:numCache>
              </c:numRef>
            </c:plus>
            <c:minus>
              <c:numRef>
                <c:f>'BRF harvest'!$T$3:$T$26</c:f>
                <c:numCache>
                  <c:formatCode>General</c:formatCode>
                  <c:ptCount val="24"/>
                  <c:pt idx="0">
                    <c:v>103.06044530076278</c:v>
                  </c:pt>
                  <c:pt idx="1">
                    <c:v>107.15785326282821</c:v>
                  </c:pt>
                  <c:pt idx="2">
                    <c:v>311.82900868429675</c:v>
                  </c:pt>
                  <c:pt idx="3">
                    <c:v>130.5238530023868</c:v>
                  </c:pt>
                  <c:pt idx="4">
                    <c:v>62.621605051804067</c:v>
                  </c:pt>
                  <c:pt idx="5">
                    <c:v>123.41848897250922</c:v>
                  </c:pt>
                  <c:pt idx="6">
                    <c:v>108.51404929607639</c:v>
                  </c:pt>
                  <c:pt idx="7">
                    <c:v>337.67761127601091</c:v>
                  </c:pt>
                  <c:pt idx="8">
                    <c:v>219.56259287995155</c:v>
                  </c:pt>
                  <c:pt idx="9">
                    <c:v>660.16896514034181</c:v>
                  </c:pt>
                  <c:pt idx="10">
                    <c:v>554.66348646404356</c:v>
                  </c:pt>
                  <c:pt idx="11">
                    <c:v>637.62945679107997</c:v>
                  </c:pt>
                  <c:pt idx="12">
                    <c:v>687.13462337025521</c:v>
                  </c:pt>
                  <c:pt idx="13">
                    <c:v>637.81152559777331</c:v>
                  </c:pt>
                  <c:pt idx="14">
                    <c:v>751.44482914865546</c:v>
                  </c:pt>
                  <c:pt idx="15">
                    <c:v>468.90470639223963</c:v>
                  </c:pt>
                  <c:pt idx="16">
                    <c:v>796.45328781408762</c:v>
                  </c:pt>
                  <c:pt idx="17">
                    <c:v>1489.7378066728822</c:v>
                  </c:pt>
                  <c:pt idx="18">
                    <c:v>413.26735888812442</c:v>
                  </c:pt>
                  <c:pt idx="19">
                    <c:v>419.027893689466</c:v>
                  </c:pt>
                  <c:pt idx="20">
                    <c:v>958.68818590957039</c:v>
                  </c:pt>
                  <c:pt idx="21">
                    <c:v>2923.0818003570571</c:v>
                  </c:pt>
                  <c:pt idx="22">
                    <c:v>1075.9281642108797</c:v>
                  </c:pt>
                  <c:pt idx="23">
                    <c:v>1022.3765695656011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harvest'!$Q$3:$Q$26</c:f>
              <c:numCache>
                <c:formatCode>_(* #,##0_);_(* \(#,##0\);_(* "-"??_);_(@_)</c:formatCode>
                <c:ptCount val="24"/>
                <c:pt idx="0">
                  <c:v>94.584663366050634</c:v>
                </c:pt>
                <c:pt idx="1">
                  <c:v>98.435423933791753</c:v>
                </c:pt>
                <c:pt idx="2">
                  <c:v>286.46840230762723</c:v>
                </c:pt>
                <c:pt idx="3">
                  <c:v>119.72787474448849</c:v>
                </c:pt>
                <c:pt idx="4">
                  <c:v>57.271824547636839</c:v>
                </c:pt>
                <c:pt idx="5">
                  <c:v>113.33672465032411</c:v>
                </c:pt>
                <c:pt idx="6">
                  <c:v>99.554366063801695</c:v>
                </c:pt>
                <c:pt idx="7">
                  <c:v>310.55977287759237</c:v>
                </c:pt>
                <c:pt idx="8">
                  <c:v>201.41653657914128</c:v>
                </c:pt>
                <c:pt idx="9">
                  <c:v>606.95106897750304</c:v>
                </c:pt>
                <c:pt idx="10">
                  <c:v>505.08210233391543</c:v>
                </c:pt>
                <c:pt idx="11">
                  <c:v>573.7431850456411</c:v>
                </c:pt>
                <c:pt idx="12">
                  <c:v>618.83777179870913</c:v>
                </c:pt>
                <c:pt idx="13">
                  <c:v>612.53213787956372</c:v>
                </c:pt>
                <c:pt idx="14">
                  <c:v>827.62076873840772</c:v>
                </c:pt>
                <c:pt idx="15">
                  <c:v>488.91445553678665</c:v>
                </c:pt>
                <c:pt idx="16">
                  <c:v>959.902790419702</c:v>
                </c:pt>
                <c:pt idx="17">
                  <c:v>1270.3838399821288</c:v>
                </c:pt>
                <c:pt idx="18">
                  <c:v>390.14252283389879</c:v>
                </c:pt>
                <c:pt idx="19">
                  <c:v>382.94146016068242</c:v>
                </c:pt>
                <c:pt idx="20">
                  <c:v>1136.0641034459836</c:v>
                </c:pt>
                <c:pt idx="21">
                  <c:v>3492.8589353612178</c:v>
                </c:pt>
                <c:pt idx="22">
                  <c:v>1265.6366533148309</c:v>
                </c:pt>
                <c:pt idx="23">
                  <c:v>1261.8771419600091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47-4701-8B71-C700DDC36094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harvest'!$Y$3:$Y$26</c:f>
                <c:numCache>
                  <c:formatCode>General</c:formatCode>
                  <c:ptCount val="24"/>
                  <c:pt idx="0">
                    <c:v>106.31883961796915</c:v>
                  </c:pt>
                  <c:pt idx="1">
                    <c:v>110.39156678372757</c:v>
                  </c:pt>
                  <c:pt idx="2">
                    <c:v>319.09511285360048</c:v>
                  </c:pt>
                  <c:pt idx="3">
                    <c:v>133.10783452269283</c:v>
                  </c:pt>
                  <c:pt idx="4">
                    <c:v>67.433338938756663</c:v>
                  </c:pt>
                  <c:pt idx="5">
                    <c:v>128.18757382336764</c:v>
                  </c:pt>
                  <c:pt idx="6">
                    <c:v>110.76118130753045</c:v>
                  </c:pt>
                  <c:pt idx="7">
                    <c:v>341.8536774539615</c:v>
                  </c:pt>
                  <c:pt idx="8">
                    <c:v>224.86258048537971</c:v>
                  </c:pt>
                  <c:pt idx="9">
                    <c:v>700.82543052019719</c:v>
                  </c:pt>
                  <c:pt idx="10">
                    <c:v>571.26532581471008</c:v>
                  </c:pt>
                  <c:pt idx="11">
                    <c:v>717.35733556886271</c:v>
                  </c:pt>
                  <c:pt idx="12">
                    <c:v>714.16741770023361</c:v>
                  </c:pt>
                  <c:pt idx="13">
                    <c:v>654.75704871538392</c:v>
                  </c:pt>
                  <c:pt idx="14">
                    <c:v>771.33459300316133</c:v>
                  </c:pt>
                  <c:pt idx="15">
                    <c:v>477.96909312558404</c:v>
                  </c:pt>
                  <c:pt idx="16">
                    <c:v>802.49771079093034</c:v>
                  </c:pt>
                  <c:pt idx="17">
                    <c:v>1518.233930154918</c:v>
                  </c:pt>
                  <c:pt idx="18">
                    <c:v>481.45066188857885</c:v>
                  </c:pt>
                  <c:pt idx="19">
                    <c:v>492.92116773463954</c:v>
                  </c:pt>
                  <c:pt idx="20">
                    <c:v>1104.1701020630674</c:v>
                  </c:pt>
                  <c:pt idx="21">
                    <c:v>2939.6367225045897</c:v>
                  </c:pt>
                  <c:pt idx="22">
                    <c:v>1187.0492632519154</c:v>
                  </c:pt>
                  <c:pt idx="23">
                    <c:v>1196.9351245705523</c:v>
                  </c:pt>
                </c:numCache>
              </c:numRef>
            </c:plus>
            <c:minus>
              <c:numRef>
                <c:f>'BRF harvest'!$Y$3:$Y$26</c:f>
                <c:numCache>
                  <c:formatCode>General</c:formatCode>
                  <c:ptCount val="24"/>
                  <c:pt idx="0">
                    <c:v>106.31883961796915</c:v>
                  </c:pt>
                  <c:pt idx="1">
                    <c:v>110.39156678372757</c:v>
                  </c:pt>
                  <c:pt idx="2">
                    <c:v>319.09511285360048</c:v>
                  </c:pt>
                  <c:pt idx="3">
                    <c:v>133.10783452269283</c:v>
                  </c:pt>
                  <c:pt idx="4">
                    <c:v>67.433338938756663</c:v>
                  </c:pt>
                  <c:pt idx="5">
                    <c:v>128.18757382336764</c:v>
                  </c:pt>
                  <c:pt idx="6">
                    <c:v>110.76118130753045</c:v>
                  </c:pt>
                  <c:pt idx="7">
                    <c:v>341.8536774539615</c:v>
                  </c:pt>
                  <c:pt idx="8">
                    <c:v>224.86258048537971</c:v>
                  </c:pt>
                  <c:pt idx="9">
                    <c:v>700.82543052019719</c:v>
                  </c:pt>
                  <c:pt idx="10">
                    <c:v>571.26532581471008</c:v>
                  </c:pt>
                  <c:pt idx="11">
                    <c:v>717.35733556886271</c:v>
                  </c:pt>
                  <c:pt idx="12">
                    <c:v>714.16741770023361</c:v>
                  </c:pt>
                  <c:pt idx="13">
                    <c:v>654.75704871538392</c:v>
                  </c:pt>
                  <c:pt idx="14">
                    <c:v>771.33459300316133</c:v>
                  </c:pt>
                  <c:pt idx="15">
                    <c:v>477.96909312558404</c:v>
                  </c:pt>
                  <c:pt idx="16">
                    <c:v>802.49771079093034</c:v>
                  </c:pt>
                  <c:pt idx="17">
                    <c:v>1518.233930154918</c:v>
                  </c:pt>
                  <c:pt idx="18">
                    <c:v>481.45066188857885</c:v>
                  </c:pt>
                  <c:pt idx="19">
                    <c:v>492.92116773463954</c:v>
                  </c:pt>
                  <c:pt idx="20">
                    <c:v>1104.1701020630674</c:v>
                  </c:pt>
                  <c:pt idx="21">
                    <c:v>2939.6367225045897</c:v>
                  </c:pt>
                  <c:pt idx="22">
                    <c:v>1187.0492632519154</c:v>
                  </c:pt>
                  <c:pt idx="23">
                    <c:v>1196.9351245705523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harvest'!$V$3:$V$26</c:f>
              <c:numCache>
                <c:formatCode>_(* #,##0_);_(* \(#,##0\);_(* "-"??_);_(@_)</c:formatCode>
                <c:ptCount val="24"/>
                <c:pt idx="0">
                  <c:v>359.1413642850506</c:v>
                </c:pt>
                <c:pt idx="1">
                  <c:v>465.55923337779177</c:v>
                </c:pt>
                <c:pt idx="2">
                  <c:v>1402.4684024516273</c:v>
                </c:pt>
                <c:pt idx="3">
                  <c:v>573.26885828848845</c:v>
                </c:pt>
                <c:pt idx="4">
                  <c:v>312.5349823096368</c:v>
                </c:pt>
                <c:pt idx="5">
                  <c:v>528.9454202183241</c:v>
                </c:pt>
                <c:pt idx="6">
                  <c:v>361.72103285180168</c:v>
                </c:pt>
                <c:pt idx="7">
                  <c:v>1410.2992683885925</c:v>
                </c:pt>
                <c:pt idx="8">
                  <c:v>864.82725119314125</c:v>
                </c:pt>
                <c:pt idx="9">
                  <c:v>1961.5839813375032</c:v>
                </c:pt>
                <c:pt idx="10">
                  <c:v>2215.6726544599155</c:v>
                </c:pt>
                <c:pt idx="11">
                  <c:v>2933.7154069116409</c:v>
                </c:pt>
                <c:pt idx="12">
                  <c:v>1674.0195892837091</c:v>
                </c:pt>
                <c:pt idx="13">
                  <c:v>2824.379965044564</c:v>
                </c:pt>
                <c:pt idx="14">
                  <c:v>2686.2781107934079</c:v>
                </c:pt>
                <c:pt idx="15">
                  <c:v>1576.1179956627866</c:v>
                </c:pt>
                <c:pt idx="16">
                  <c:v>2804.100842514702</c:v>
                </c:pt>
                <c:pt idx="17">
                  <c:v>3569.4906353961287</c:v>
                </c:pt>
                <c:pt idx="18">
                  <c:v>2858.1331790138988</c:v>
                </c:pt>
                <c:pt idx="19">
                  <c:v>3011.9498269146825</c:v>
                </c:pt>
                <c:pt idx="20">
                  <c:v>3958.1363902099833</c:v>
                </c:pt>
                <c:pt idx="21">
                  <c:v>8059.9741420972177</c:v>
                </c:pt>
                <c:pt idx="22">
                  <c:v>4984.8258412868308</c:v>
                </c:pt>
                <c:pt idx="23">
                  <c:v>2748.7521419600089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47-4701-8B71-C700DDC36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WKMA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'rockfish harvests'!$B$2:$B$26</c:f>
            </c:multiLvlStrRef>
          </c:cat>
          <c:val>
            <c:numRef>
              <c:f>'rockfish harvests'!$D$27:$D$51</c:f>
            </c:numRef>
          </c:val>
          <c:smooth val="0"/>
          <c:extLst>
            <c:ext xmlns:c16="http://schemas.microsoft.com/office/drawing/2014/chart" uri="{C3380CC4-5D6E-409C-BE32-E72D297353CC}">
              <c16:uniqueId val="{00000000-BA6D-46A9-9654-A49464356926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harvests'!$N$27:$N$50</c:f>
              </c:numRef>
            </c:plus>
            <c:minus>
              <c:numRef>
                <c:f>'rockfish harvests'!$N$27:$N$50</c:f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'rockfish harvests'!$B$2:$B$26</c:f>
            </c:multiLvlStrRef>
          </c:cat>
          <c:val>
            <c:numRef>
              <c:f>'rockfish harvests'!$O$27:$O$51</c:f>
            </c:numRef>
          </c:val>
          <c:smooth val="0"/>
          <c:extLst>
            <c:ext xmlns:c16="http://schemas.microsoft.com/office/drawing/2014/chart" uri="{C3380CC4-5D6E-409C-BE32-E72D297353CC}">
              <c16:uniqueId val="{00000001-BA6D-46A9-9654-A49464356926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harvests'!$N$27:$N$50</c:f>
              </c:numRef>
            </c:plus>
            <c:minus>
              <c:numRef>
                <c:f>'rockfish harvests'!$N$27:$N$50</c:f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multiLvlStrRef>
              <c:f>'rockfish harvests'!$B$2:$B$26</c:f>
            </c:multiLvlStrRef>
          </c:cat>
          <c:val>
            <c:numRef>
              <c:f>'rockfish harvests'!$K$27:$K$51</c:f>
            </c:numRef>
          </c:val>
          <c:smooth val="0"/>
          <c:extLst>
            <c:ext xmlns:c16="http://schemas.microsoft.com/office/drawing/2014/chart" uri="{C3380CC4-5D6E-409C-BE32-E72D297353CC}">
              <c16:uniqueId val="{00000002-BA6D-46A9-9654-A49464356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WKMA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harvest'!$K$28:$K$51</c:f>
                <c:numCache>
                  <c:formatCode>General</c:formatCode>
                  <c:ptCount val="24"/>
                  <c:pt idx="0">
                    <c:v>9.2887792040869606</c:v>
                  </c:pt>
                  <c:pt idx="1">
                    <c:v>14.116290146671595</c:v>
                  </c:pt>
                  <c:pt idx="2">
                    <c:v>17.037610064105213</c:v>
                  </c:pt>
                  <c:pt idx="3">
                    <c:v>63.362701722689074</c:v>
                  </c:pt>
                  <c:pt idx="4">
                    <c:v>69.717547100120484</c:v>
                  </c:pt>
                  <c:pt idx="5">
                    <c:v>68.5643278753912</c:v>
                  </c:pt>
                  <c:pt idx="6">
                    <c:v>47.022466258987102</c:v>
                  </c:pt>
                  <c:pt idx="7">
                    <c:v>51.192285606065155</c:v>
                  </c:pt>
                  <c:pt idx="8">
                    <c:v>36.8749098502552</c:v>
                  </c:pt>
                  <c:pt idx="9">
                    <c:v>140.87959286044585</c:v>
                  </c:pt>
                  <c:pt idx="10">
                    <c:v>59.47241697311452</c:v>
                  </c:pt>
                  <c:pt idx="11">
                    <c:v>155.52302628961922</c:v>
                  </c:pt>
                  <c:pt idx="12">
                    <c:v>78.306517551518098</c:v>
                  </c:pt>
                  <c:pt idx="13">
                    <c:v>64.449579812503146</c:v>
                  </c:pt>
                  <c:pt idx="14">
                    <c:v>93.487415696694683</c:v>
                  </c:pt>
                  <c:pt idx="15">
                    <c:v>74.795649546692019</c:v>
                  </c:pt>
                  <c:pt idx="16">
                    <c:v>76.3277057729765</c:v>
                  </c:pt>
                  <c:pt idx="17">
                    <c:v>148.12188018549648</c:v>
                  </c:pt>
                  <c:pt idx="18">
                    <c:v>144.2557279334217</c:v>
                  </c:pt>
                  <c:pt idx="19">
                    <c:v>141.64484151084588</c:v>
                  </c:pt>
                  <c:pt idx="20">
                    <c:v>385.47624218084775</c:v>
                  </c:pt>
                  <c:pt idx="21">
                    <c:v>305.15946464197873</c:v>
                  </c:pt>
                  <c:pt idx="22">
                    <c:v>346.33374404394016</c:v>
                  </c:pt>
                  <c:pt idx="23">
                    <c:v>541.02185739567346</c:v>
                  </c:pt>
                </c:numCache>
              </c:numRef>
            </c:plus>
            <c:minus>
              <c:numRef>
                <c:f>'BRF harvest'!$K$28:$K$51</c:f>
                <c:numCache>
                  <c:formatCode>General</c:formatCode>
                  <c:ptCount val="24"/>
                  <c:pt idx="0">
                    <c:v>9.2887792040869606</c:v>
                  </c:pt>
                  <c:pt idx="1">
                    <c:v>14.116290146671595</c:v>
                  </c:pt>
                  <c:pt idx="2">
                    <c:v>17.037610064105213</c:v>
                  </c:pt>
                  <c:pt idx="3">
                    <c:v>63.362701722689074</c:v>
                  </c:pt>
                  <c:pt idx="4">
                    <c:v>69.717547100120484</c:v>
                  </c:pt>
                  <c:pt idx="5">
                    <c:v>68.5643278753912</c:v>
                  </c:pt>
                  <c:pt idx="6">
                    <c:v>47.022466258987102</c:v>
                  </c:pt>
                  <c:pt idx="7">
                    <c:v>51.192285606065155</c:v>
                  </c:pt>
                  <c:pt idx="8">
                    <c:v>36.8749098502552</c:v>
                  </c:pt>
                  <c:pt idx="9">
                    <c:v>140.87959286044585</c:v>
                  </c:pt>
                  <c:pt idx="10">
                    <c:v>59.47241697311452</c:v>
                  </c:pt>
                  <c:pt idx="11">
                    <c:v>155.52302628961922</c:v>
                  </c:pt>
                  <c:pt idx="12">
                    <c:v>78.306517551518098</c:v>
                  </c:pt>
                  <c:pt idx="13">
                    <c:v>64.449579812503146</c:v>
                  </c:pt>
                  <c:pt idx="14">
                    <c:v>93.487415696694683</c:v>
                  </c:pt>
                  <c:pt idx="15">
                    <c:v>74.795649546692019</c:v>
                  </c:pt>
                  <c:pt idx="16">
                    <c:v>76.3277057729765</c:v>
                  </c:pt>
                  <c:pt idx="17">
                    <c:v>148.12188018549648</c:v>
                  </c:pt>
                  <c:pt idx="18">
                    <c:v>144.2557279334217</c:v>
                  </c:pt>
                  <c:pt idx="19">
                    <c:v>141.64484151084588</c:v>
                  </c:pt>
                  <c:pt idx="20">
                    <c:v>385.47624218084775</c:v>
                  </c:pt>
                  <c:pt idx="21">
                    <c:v>305.15946464197873</c:v>
                  </c:pt>
                  <c:pt idx="22">
                    <c:v>346.33374404394016</c:v>
                  </c:pt>
                  <c:pt idx="23">
                    <c:v>541.02185739567346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harvest'!$H$28:$H$51</c:f>
              <c:numCache>
                <c:formatCode>0</c:formatCode>
                <c:ptCount val="24"/>
                <c:pt idx="0">
                  <c:v>94.082474187000003</c:v>
                </c:pt>
                <c:pt idx="1">
                  <c:v>195.390476148</c:v>
                </c:pt>
                <c:pt idx="2">
                  <c:v>280.82352944799999</c:v>
                </c:pt>
                <c:pt idx="3">
                  <c:v>1101.0491801759999</c:v>
                </c:pt>
                <c:pt idx="4">
                  <c:v>711.40350840199994</c:v>
                </c:pt>
                <c:pt idx="5">
                  <c:v>822.630434616</c:v>
                </c:pt>
                <c:pt idx="6">
                  <c:v>555.35897461599995</c:v>
                </c:pt>
                <c:pt idx="7">
                  <c:v>1056.831932497</c:v>
                </c:pt>
                <c:pt idx="8">
                  <c:v>504.05357167800003</c:v>
                </c:pt>
                <c:pt idx="9">
                  <c:v>811.29113982000001</c:v>
                </c:pt>
                <c:pt idx="10">
                  <c:v>744.09448859999998</c:v>
                </c:pt>
                <c:pt idx="11">
                  <c:v>1116.6805553870001</c:v>
                </c:pt>
                <c:pt idx="12">
                  <c:v>424.53535325500002</c:v>
                </c:pt>
                <c:pt idx="13">
                  <c:v>963.21014539700002</c:v>
                </c:pt>
                <c:pt idx="14">
                  <c:v>998.43356611000002</c:v>
                </c:pt>
                <c:pt idx="15">
                  <c:v>877.75221263399999</c:v>
                </c:pt>
                <c:pt idx="16">
                  <c:v>1431.8409092050001</c:v>
                </c:pt>
                <c:pt idx="17">
                  <c:v>1163.1844656640001</c:v>
                </c:pt>
                <c:pt idx="18">
                  <c:v>1441.43302296</c:v>
                </c:pt>
                <c:pt idx="19">
                  <c:v>1434.5146435620002</c:v>
                </c:pt>
                <c:pt idx="20">
                  <c:v>1985.7590344609998</c:v>
                </c:pt>
                <c:pt idx="21">
                  <c:v>4473.5852528320002</c:v>
                </c:pt>
                <c:pt idx="22">
                  <c:v>2568.6486478080001</c:v>
                </c:pt>
                <c:pt idx="23">
                  <c:v>1292.4375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16-47F9-8B8F-25D6CB8229D9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harvest'!$T$28:$T$51</c:f>
                <c:numCache>
                  <c:formatCode>General</c:formatCode>
                  <c:ptCount val="24"/>
                  <c:pt idx="0">
                    <c:v>42.801922395885057</c:v>
                  </c:pt>
                  <c:pt idx="1">
                    <c:v>56.372340216013335</c:v>
                  </c:pt>
                  <c:pt idx="2">
                    <c:v>99.524812508558455</c:v>
                  </c:pt>
                  <c:pt idx="3">
                    <c:v>336.60903550948456</c:v>
                  </c:pt>
                  <c:pt idx="4">
                    <c:v>186.37318642197135</c:v>
                  </c:pt>
                  <c:pt idx="5">
                    <c:v>281.30902219597431</c:v>
                  </c:pt>
                  <c:pt idx="6">
                    <c:v>219.23343932239709</c:v>
                  </c:pt>
                  <c:pt idx="7">
                    <c:v>360.42506311328248</c:v>
                  </c:pt>
                  <c:pt idx="8">
                    <c:v>204.20228919014346</c:v>
                  </c:pt>
                  <c:pt idx="9">
                    <c:v>509.65877132339159</c:v>
                  </c:pt>
                  <c:pt idx="10">
                    <c:v>289.72676335242687</c:v>
                  </c:pt>
                  <c:pt idx="11">
                    <c:v>364.7660476148352</c:v>
                  </c:pt>
                  <c:pt idx="12">
                    <c:v>334.07269421519413</c:v>
                  </c:pt>
                  <c:pt idx="13">
                    <c:v>322.08189637086093</c:v>
                  </c:pt>
                  <c:pt idx="14">
                    <c:v>942.44609371416061</c:v>
                  </c:pt>
                  <c:pt idx="15">
                    <c:v>347.15025658072955</c:v>
                  </c:pt>
                  <c:pt idx="16">
                    <c:v>757.27866910861621</c:v>
                  </c:pt>
                  <c:pt idx="17">
                    <c:v>1174.7705144871973</c:v>
                  </c:pt>
                  <c:pt idx="18">
                    <c:v>260.84228799123719</c:v>
                  </c:pt>
                  <c:pt idx="19">
                    <c:v>817.46511632191437</c:v>
                  </c:pt>
                  <c:pt idx="20">
                    <c:v>627.08984763839669</c:v>
                  </c:pt>
                  <c:pt idx="21">
                    <c:v>2997.2148097438771</c:v>
                  </c:pt>
                  <c:pt idx="22">
                    <c:v>545.41113389568966</c:v>
                  </c:pt>
                  <c:pt idx="23">
                    <c:v>899.44620153634105</c:v>
                  </c:pt>
                </c:numCache>
              </c:numRef>
            </c:plus>
            <c:minus>
              <c:numRef>
                <c:f>'BRF harvest'!$T$28:$T$51</c:f>
                <c:numCache>
                  <c:formatCode>General</c:formatCode>
                  <c:ptCount val="24"/>
                  <c:pt idx="0">
                    <c:v>42.801922395885057</c:v>
                  </c:pt>
                  <c:pt idx="1">
                    <c:v>56.372340216013335</c:v>
                  </c:pt>
                  <c:pt idx="2">
                    <c:v>99.524812508558455</c:v>
                  </c:pt>
                  <c:pt idx="3">
                    <c:v>336.60903550948456</c:v>
                  </c:pt>
                  <c:pt idx="4">
                    <c:v>186.37318642197135</c:v>
                  </c:pt>
                  <c:pt idx="5">
                    <c:v>281.30902219597431</c:v>
                  </c:pt>
                  <c:pt idx="6">
                    <c:v>219.23343932239709</c:v>
                  </c:pt>
                  <c:pt idx="7">
                    <c:v>360.42506311328248</c:v>
                  </c:pt>
                  <c:pt idx="8">
                    <c:v>204.20228919014346</c:v>
                  </c:pt>
                  <c:pt idx="9">
                    <c:v>509.65877132339159</c:v>
                  </c:pt>
                  <c:pt idx="10">
                    <c:v>289.72676335242687</c:v>
                  </c:pt>
                  <c:pt idx="11">
                    <c:v>364.7660476148352</c:v>
                  </c:pt>
                  <c:pt idx="12">
                    <c:v>334.07269421519413</c:v>
                  </c:pt>
                  <c:pt idx="13">
                    <c:v>322.08189637086093</c:v>
                  </c:pt>
                  <c:pt idx="14">
                    <c:v>942.44609371416061</c:v>
                  </c:pt>
                  <c:pt idx="15">
                    <c:v>347.15025658072955</c:v>
                  </c:pt>
                  <c:pt idx="16">
                    <c:v>757.27866910861621</c:v>
                  </c:pt>
                  <c:pt idx="17">
                    <c:v>1174.7705144871973</c:v>
                  </c:pt>
                  <c:pt idx="18">
                    <c:v>260.84228799123719</c:v>
                  </c:pt>
                  <c:pt idx="19">
                    <c:v>817.46511632191437</c:v>
                  </c:pt>
                  <c:pt idx="20">
                    <c:v>627.08984763839669</c:v>
                  </c:pt>
                  <c:pt idx="21">
                    <c:v>2997.2148097438771</c:v>
                  </c:pt>
                  <c:pt idx="22">
                    <c:v>545.41113389568966</c:v>
                  </c:pt>
                  <c:pt idx="23">
                    <c:v>899.44620153634105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harvest'!$Q$28:$Q$51</c:f>
              <c:numCache>
                <c:formatCode>_(* #,##0_);_(* \(#,##0\);_(* "-"??_);_(@_)</c:formatCode>
                <c:ptCount val="24"/>
                <c:pt idx="0">
                  <c:v>35.572170121197559</c:v>
                </c:pt>
                <c:pt idx="1">
                  <c:v>46.887491620335759</c:v>
                </c:pt>
                <c:pt idx="2">
                  <c:v>82.784796822381949</c:v>
                </c:pt>
                <c:pt idx="3">
                  <c:v>279.62771988402562</c:v>
                </c:pt>
                <c:pt idx="4">
                  <c:v>154.42792975983727</c:v>
                </c:pt>
                <c:pt idx="5">
                  <c:v>233.91413867459985</c:v>
                </c:pt>
                <c:pt idx="6">
                  <c:v>182.14645799346255</c:v>
                </c:pt>
                <c:pt idx="7">
                  <c:v>300.08921404354982</c:v>
                </c:pt>
                <c:pt idx="8">
                  <c:v>169.64541729296545</c:v>
                </c:pt>
                <c:pt idx="9">
                  <c:v>424.21933641066119</c:v>
                </c:pt>
                <c:pt idx="10">
                  <c:v>239.16804367554943</c:v>
                </c:pt>
                <c:pt idx="11">
                  <c:v>298.01730717969264</c:v>
                </c:pt>
                <c:pt idx="12">
                  <c:v>273.15086226931606</c:v>
                </c:pt>
                <c:pt idx="13">
                  <c:v>230.69851190999196</c:v>
                </c:pt>
                <c:pt idx="14">
                  <c:v>838.01371243202948</c:v>
                </c:pt>
                <c:pt idx="15">
                  <c:v>268.79497577999979</c:v>
                </c:pt>
                <c:pt idx="16">
                  <c:v>627.56627480587395</c:v>
                </c:pt>
                <c:pt idx="17">
                  <c:v>676.38208750877686</c:v>
                </c:pt>
                <c:pt idx="18">
                  <c:v>246.24656680475132</c:v>
                </c:pt>
                <c:pt idx="19">
                  <c:v>710.61393305407842</c:v>
                </c:pt>
                <c:pt idx="20">
                  <c:v>522.60583246984095</c:v>
                </c:pt>
                <c:pt idx="21">
                  <c:v>3581.4422053231947</c:v>
                </c:pt>
                <c:pt idx="22">
                  <c:v>551.26001148030105</c:v>
                </c:pt>
                <c:pt idx="23">
                  <c:v>1110.1492697780734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16-47F9-8B8F-25D6CB8229D9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harvest'!$Y$28:$Y$51</c:f>
                <c:numCache>
                  <c:formatCode>General</c:formatCode>
                  <c:ptCount val="24"/>
                  <c:pt idx="0">
                    <c:v>43.79824174422582</c:v>
                  </c:pt>
                  <c:pt idx="1">
                    <c:v>58.112910690611358</c:v>
                  </c:pt>
                  <c:pt idx="2">
                    <c:v>100.97261243307618</c:v>
                  </c:pt>
                  <c:pt idx="3">
                    <c:v>342.52076543798614</c:v>
                  </c:pt>
                  <c:pt idx="4">
                    <c:v>198.986182914132</c:v>
                  </c:pt>
                  <c:pt idx="5">
                    <c:v>289.54418147470921</c:v>
                  </c:pt>
                  <c:pt idx="6">
                    <c:v>224.21956482476</c:v>
                  </c:pt>
                  <c:pt idx="7">
                    <c:v>364.04240992745144</c:v>
                  </c:pt>
                  <c:pt idx="8">
                    <c:v>207.50502135360347</c:v>
                  </c:pt>
                  <c:pt idx="9">
                    <c:v>528.77133325417151</c:v>
                  </c:pt>
                  <c:pt idx="10">
                    <c:v>295.76775649704814</c:v>
                  </c:pt>
                  <c:pt idx="11">
                    <c:v>396.53711200697194</c:v>
                  </c:pt>
                  <c:pt idx="12">
                    <c:v>343.12749191990548</c:v>
                  </c:pt>
                  <c:pt idx="13">
                    <c:v>328.46688768863476</c:v>
                  </c:pt>
                  <c:pt idx="14">
                    <c:v>947.07155825245172</c:v>
                  </c:pt>
                  <c:pt idx="15">
                    <c:v>355.11644545863811</c:v>
                  </c:pt>
                  <c:pt idx="16">
                    <c:v>761.11556373226472</c:v>
                  </c:pt>
                  <c:pt idx="17">
                    <c:v>1184.0717263317288</c:v>
                  </c:pt>
                  <c:pt idx="18">
                    <c:v>298.07451123184768</c:v>
                  </c:pt>
                  <c:pt idx="19">
                    <c:v>829.64599530753696</c:v>
                  </c:pt>
                  <c:pt idx="20">
                    <c:v>736.09347931972286</c:v>
                  </c:pt>
                  <c:pt idx="21">
                    <c:v>3012.7095636002823</c:v>
                  </c:pt>
                  <c:pt idx="22">
                    <c:v>646.08077454825673</c:v>
                  </c:pt>
                  <c:pt idx="23">
                    <c:v>1049.6228463776961</c:v>
                  </c:pt>
                </c:numCache>
              </c:numRef>
            </c:plus>
            <c:minus>
              <c:numRef>
                <c:f>'BRF harvest'!$Y$28:$Y$51</c:f>
                <c:numCache>
                  <c:formatCode>General</c:formatCode>
                  <c:ptCount val="24"/>
                  <c:pt idx="0">
                    <c:v>43.79824174422582</c:v>
                  </c:pt>
                  <c:pt idx="1">
                    <c:v>58.112910690611358</c:v>
                  </c:pt>
                  <c:pt idx="2">
                    <c:v>100.97261243307618</c:v>
                  </c:pt>
                  <c:pt idx="3">
                    <c:v>342.52076543798614</c:v>
                  </c:pt>
                  <c:pt idx="4">
                    <c:v>198.986182914132</c:v>
                  </c:pt>
                  <c:pt idx="5">
                    <c:v>289.54418147470921</c:v>
                  </c:pt>
                  <c:pt idx="6">
                    <c:v>224.21956482476</c:v>
                  </c:pt>
                  <c:pt idx="7">
                    <c:v>364.04240992745144</c:v>
                  </c:pt>
                  <c:pt idx="8">
                    <c:v>207.50502135360347</c:v>
                  </c:pt>
                  <c:pt idx="9">
                    <c:v>528.77133325417151</c:v>
                  </c:pt>
                  <c:pt idx="10">
                    <c:v>295.76775649704814</c:v>
                  </c:pt>
                  <c:pt idx="11">
                    <c:v>396.53711200697194</c:v>
                  </c:pt>
                  <c:pt idx="12">
                    <c:v>343.12749191990548</c:v>
                  </c:pt>
                  <c:pt idx="13">
                    <c:v>328.46688768863476</c:v>
                  </c:pt>
                  <c:pt idx="14">
                    <c:v>947.07155825245172</c:v>
                  </c:pt>
                  <c:pt idx="15">
                    <c:v>355.11644545863811</c:v>
                  </c:pt>
                  <c:pt idx="16">
                    <c:v>761.11556373226472</c:v>
                  </c:pt>
                  <c:pt idx="17">
                    <c:v>1184.0717263317288</c:v>
                  </c:pt>
                  <c:pt idx="18">
                    <c:v>298.07451123184768</c:v>
                  </c:pt>
                  <c:pt idx="19">
                    <c:v>829.64599530753696</c:v>
                  </c:pt>
                  <c:pt idx="20">
                    <c:v>736.09347931972286</c:v>
                  </c:pt>
                  <c:pt idx="21">
                    <c:v>3012.7095636002823</c:v>
                  </c:pt>
                  <c:pt idx="22">
                    <c:v>646.08077454825673</c:v>
                  </c:pt>
                  <c:pt idx="23">
                    <c:v>1049.6228463776961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harvest'!$V$28:$V$51</c:f>
              <c:numCache>
                <c:formatCode>_(* #,##0_);_(* \(#,##0\);_(* "-"??_);_(@_)</c:formatCode>
                <c:ptCount val="24"/>
                <c:pt idx="0">
                  <c:v>129.65464430819756</c:v>
                </c:pt>
                <c:pt idx="1">
                  <c:v>242.27796776833577</c:v>
                </c:pt>
                <c:pt idx="2">
                  <c:v>363.60832627038195</c:v>
                </c:pt>
                <c:pt idx="3">
                  <c:v>1380.6769000600257</c:v>
                </c:pt>
                <c:pt idx="4">
                  <c:v>865.83143816183724</c:v>
                </c:pt>
                <c:pt idx="5">
                  <c:v>1056.5445732905998</c:v>
                </c:pt>
                <c:pt idx="6">
                  <c:v>737.50543260946256</c:v>
                </c:pt>
                <c:pt idx="7">
                  <c:v>1356.9211465405499</c:v>
                </c:pt>
                <c:pt idx="8">
                  <c:v>673.6989889709655</c:v>
                </c:pt>
                <c:pt idx="9">
                  <c:v>1235.5104762306612</c:v>
                </c:pt>
                <c:pt idx="10">
                  <c:v>983.26253227554935</c:v>
                </c:pt>
                <c:pt idx="11">
                  <c:v>1414.6978625666927</c:v>
                </c:pt>
                <c:pt idx="12">
                  <c:v>697.68621552431614</c:v>
                </c:pt>
                <c:pt idx="13">
                  <c:v>1193.9086573069919</c:v>
                </c:pt>
                <c:pt idx="14">
                  <c:v>1836.4472785420294</c:v>
                </c:pt>
                <c:pt idx="15">
                  <c:v>1146.5471884139997</c:v>
                </c:pt>
                <c:pt idx="16">
                  <c:v>2059.4071840108741</c:v>
                </c:pt>
                <c:pt idx="17">
                  <c:v>1839.5665531727768</c:v>
                </c:pt>
                <c:pt idx="18">
                  <c:v>1687.6795897647514</c:v>
                </c:pt>
                <c:pt idx="19">
                  <c:v>2145.1285766160786</c:v>
                </c:pt>
                <c:pt idx="20">
                  <c:v>2508.3648669308409</c:v>
                </c:pt>
                <c:pt idx="21">
                  <c:v>8055.0274581551948</c:v>
                </c:pt>
                <c:pt idx="22">
                  <c:v>3119.9086592883014</c:v>
                </c:pt>
                <c:pt idx="23">
                  <c:v>2402.5867697780732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16-47F9-8B8F-25D6CB822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SKMA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harvest'!$K$53:$K$76</c:f>
                <c:numCache>
                  <c:formatCode>General</c:formatCode>
                  <c:ptCount val="24"/>
                  <c:pt idx="0">
                    <c:v>2.2518513305825496</c:v>
                  </c:pt>
                  <c:pt idx="1">
                    <c:v>7.4720521423875512</c:v>
                  </c:pt>
                  <c:pt idx="2">
                    <c:v>0.51178439331421588</c:v>
                  </c:pt>
                  <c:pt idx="3">
                    <c:v>0.81885502930274545</c:v>
                  </c:pt>
                  <c:pt idx="4">
                    <c:v>9.0074053223301984</c:v>
                  </c:pt>
                  <c:pt idx="5">
                    <c:v>10.645115380935691</c:v>
                  </c:pt>
                  <c:pt idx="6">
                    <c:v>16.274743707392062</c:v>
                  </c:pt>
                  <c:pt idx="7">
                    <c:v>13.101680468843927</c:v>
                  </c:pt>
                  <c:pt idx="8">
                    <c:v>19.550163824603047</c:v>
                  </c:pt>
                  <c:pt idx="9">
                    <c:v>99.183815424295034</c:v>
                  </c:pt>
                  <c:pt idx="10">
                    <c:v>106.6558675666826</c:v>
                  </c:pt>
                  <c:pt idx="11">
                    <c:v>0</c:v>
                  </c:pt>
                  <c:pt idx="12">
                    <c:v>40.94275146513727</c:v>
                  </c:pt>
                  <c:pt idx="13">
                    <c:v>56.500997021889425</c:v>
                  </c:pt>
                  <c:pt idx="14">
                    <c:v>58.138707080494925</c:v>
                  </c:pt>
                  <c:pt idx="15">
                    <c:v>88.845770679347879</c:v>
                  </c:pt>
                  <c:pt idx="16">
                    <c:v>57.012781415203648</c:v>
                  </c:pt>
                  <c:pt idx="17">
                    <c:v>55.989212628575217</c:v>
                  </c:pt>
                  <c:pt idx="18">
                    <c:v>57.688746258789791</c:v>
                  </c:pt>
                  <c:pt idx="19">
                    <c:v>29.434932702865282</c:v>
                  </c:pt>
                  <c:pt idx="20">
                    <c:v>61.311770319043056</c:v>
                  </c:pt>
                  <c:pt idx="21">
                    <c:v>60.23222576302468</c:v>
                  </c:pt>
                  <c:pt idx="22">
                    <c:v>26.101004059025012</c:v>
                  </c:pt>
                  <c:pt idx="23">
                    <c:v>146.16562273054004</c:v>
                  </c:pt>
                </c:numCache>
              </c:numRef>
            </c:plus>
            <c:minus>
              <c:numRef>
                <c:f>'BRF harvest'!$K$53:$K$76</c:f>
                <c:numCache>
                  <c:formatCode>General</c:formatCode>
                  <c:ptCount val="24"/>
                  <c:pt idx="0">
                    <c:v>2.2518513305825496</c:v>
                  </c:pt>
                  <c:pt idx="1">
                    <c:v>7.4720521423875512</c:v>
                  </c:pt>
                  <c:pt idx="2">
                    <c:v>0.51178439331421588</c:v>
                  </c:pt>
                  <c:pt idx="3">
                    <c:v>0.81885502930274545</c:v>
                  </c:pt>
                  <c:pt idx="4">
                    <c:v>9.0074053223301984</c:v>
                  </c:pt>
                  <c:pt idx="5">
                    <c:v>10.645115380935691</c:v>
                  </c:pt>
                  <c:pt idx="6">
                    <c:v>16.274743707392062</c:v>
                  </c:pt>
                  <c:pt idx="7">
                    <c:v>13.101680468843927</c:v>
                  </c:pt>
                  <c:pt idx="8">
                    <c:v>19.550163824603047</c:v>
                  </c:pt>
                  <c:pt idx="9">
                    <c:v>99.183815424295034</c:v>
                  </c:pt>
                  <c:pt idx="10">
                    <c:v>106.6558675666826</c:v>
                  </c:pt>
                  <c:pt idx="11">
                    <c:v>0</c:v>
                  </c:pt>
                  <c:pt idx="12">
                    <c:v>40.94275146513727</c:v>
                  </c:pt>
                  <c:pt idx="13">
                    <c:v>56.500997021889425</c:v>
                  </c:pt>
                  <c:pt idx="14">
                    <c:v>58.138707080494925</c:v>
                  </c:pt>
                  <c:pt idx="15">
                    <c:v>88.845770679347879</c:v>
                  </c:pt>
                  <c:pt idx="16">
                    <c:v>57.012781415203648</c:v>
                  </c:pt>
                  <c:pt idx="17">
                    <c:v>55.989212628575217</c:v>
                  </c:pt>
                  <c:pt idx="18">
                    <c:v>57.688746258789791</c:v>
                  </c:pt>
                  <c:pt idx="19">
                    <c:v>29.434932702865282</c:v>
                  </c:pt>
                  <c:pt idx="20">
                    <c:v>61.311770319043056</c:v>
                  </c:pt>
                  <c:pt idx="21">
                    <c:v>60.23222576302468</c:v>
                  </c:pt>
                  <c:pt idx="22">
                    <c:v>26.101004059025012</c:v>
                  </c:pt>
                  <c:pt idx="23">
                    <c:v>146.16562273054004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harvest'!$H$53:$H$76</c:f>
              <c:numCache>
                <c:formatCode>0</c:formatCode>
                <c:ptCount val="24"/>
                <c:pt idx="0">
                  <c:v>20.730769223999999</c:v>
                </c:pt>
                <c:pt idx="1">
                  <c:v>68.788461515999998</c:v>
                </c:pt>
                <c:pt idx="2">
                  <c:v>4.7115384599999999</c:v>
                </c:pt>
                <c:pt idx="3">
                  <c:v>7.5384615359999998</c:v>
                </c:pt>
                <c:pt idx="4">
                  <c:v>82.923076895999998</c:v>
                </c:pt>
                <c:pt idx="5">
                  <c:v>97.999999967999997</c:v>
                </c:pt>
                <c:pt idx="6">
                  <c:v>149.82692302800001</c:v>
                </c:pt>
                <c:pt idx="7">
                  <c:v>120.615384576</c:v>
                </c:pt>
                <c:pt idx="8">
                  <c:v>179.98076917200001</c:v>
                </c:pt>
                <c:pt idx="9">
                  <c:v>913.09615354799996</c:v>
                </c:pt>
                <c:pt idx="10">
                  <c:v>981.88461506399995</c:v>
                </c:pt>
                <c:pt idx="11">
                  <c:v>721</c:v>
                </c:pt>
                <c:pt idx="12">
                  <c:v>376.92307679999999</c:v>
                </c:pt>
                <c:pt idx="13">
                  <c:v>520.15384598399999</c:v>
                </c:pt>
                <c:pt idx="14">
                  <c:v>535.23076905599999</c:v>
                </c:pt>
                <c:pt idx="15">
                  <c:v>817.92307665599992</c:v>
                </c:pt>
                <c:pt idx="16">
                  <c:v>524.86538444400003</c:v>
                </c:pt>
                <c:pt idx="17">
                  <c:v>515.44230752399994</c:v>
                </c:pt>
                <c:pt idx="18">
                  <c:v>644.44230780199996</c:v>
                </c:pt>
                <c:pt idx="19">
                  <c:v>560.30769226099994</c:v>
                </c:pt>
                <c:pt idx="20">
                  <c:v>564.442307508</c:v>
                </c:pt>
                <c:pt idx="21">
                  <c:v>554.07692289600004</c:v>
                </c:pt>
                <c:pt idx="22">
                  <c:v>240.28846146000001</c:v>
                </c:pt>
                <c:pt idx="23">
                  <c:v>1345.6153841759999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4B-4486-B902-013BD90B6C93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harvest'!$T$53:$T$76</c:f>
                <c:numCache>
                  <c:formatCode>General</c:formatCode>
                  <c:ptCount val="24"/>
                  <c:pt idx="0">
                    <c:v>7.8692107474769681</c:v>
                  </c:pt>
                  <c:pt idx="1">
                    <c:v>21.926789078449957</c:v>
                  </c:pt>
                  <c:pt idx="2">
                    <c:v>16.889554041530847</c:v>
                  </c:pt>
                  <c:pt idx="3">
                    <c:v>7.7489086447332722</c:v>
                  </c:pt>
                  <c:pt idx="4">
                    <c:v>21.13097716933385</c:v>
                  </c:pt>
                  <c:pt idx="5">
                    <c:v>36.877485282217584</c:v>
                  </c:pt>
                  <c:pt idx="6">
                    <c:v>54.553101360022872</c:v>
                  </c:pt>
                  <c:pt idx="7">
                    <c:v>82.341397494787714</c:v>
                  </c:pt>
                  <c:pt idx="8">
                    <c:v>84.606525634705619</c:v>
                  </c:pt>
                  <c:pt idx="9">
                    <c:v>358.43652188315133</c:v>
                  </c:pt>
                  <c:pt idx="10">
                    <c:v>275.89354180063839</c:v>
                  </c:pt>
                  <c:pt idx="11">
                    <c:v>161.07496083424863</c:v>
                  </c:pt>
                  <c:pt idx="12">
                    <c:v>171.298768635719</c:v>
                  </c:pt>
                  <c:pt idx="13">
                    <c:v>162.45565636861141</c:v>
                  </c:pt>
                  <c:pt idx="14">
                    <c:v>495.22925817378336</c:v>
                  </c:pt>
                  <c:pt idx="15">
                    <c:v>181.19037597632629</c:v>
                  </c:pt>
                  <c:pt idx="16">
                    <c:v>206.3868826911212</c:v>
                  </c:pt>
                  <c:pt idx="17">
                    <c:v>358.04182593184396</c:v>
                  </c:pt>
                  <c:pt idx="18">
                    <c:v>108.39381329677202</c:v>
                  </c:pt>
                  <c:pt idx="19">
                    <c:v>187.7998508004122</c:v>
                  </c:pt>
                  <c:pt idx="20">
                    <c:v>98.060425953242657</c:v>
                  </c:pt>
                  <c:pt idx="21">
                    <c:v>271.36370548760453</c:v>
                  </c:pt>
                  <c:pt idx="22">
                    <c:v>40.821353763692265</c:v>
                  </c:pt>
                  <c:pt idx="23">
                    <c:v>184.11177926450597</c:v>
                  </c:pt>
                </c:numCache>
              </c:numRef>
            </c:plus>
            <c:minus>
              <c:numRef>
                <c:f>'BRF harvest'!$T$53:$T$76</c:f>
                <c:numCache>
                  <c:formatCode>General</c:formatCode>
                  <c:ptCount val="24"/>
                  <c:pt idx="0">
                    <c:v>7.8692107474769681</c:v>
                  </c:pt>
                  <c:pt idx="1">
                    <c:v>21.926789078449957</c:v>
                  </c:pt>
                  <c:pt idx="2">
                    <c:v>16.889554041530847</c:v>
                  </c:pt>
                  <c:pt idx="3">
                    <c:v>7.7489086447332722</c:v>
                  </c:pt>
                  <c:pt idx="4">
                    <c:v>21.13097716933385</c:v>
                  </c:pt>
                  <c:pt idx="5">
                    <c:v>36.877485282217584</c:v>
                  </c:pt>
                  <c:pt idx="6">
                    <c:v>54.553101360022872</c:v>
                  </c:pt>
                  <c:pt idx="7">
                    <c:v>82.341397494787714</c:v>
                  </c:pt>
                  <c:pt idx="8">
                    <c:v>84.606525634705619</c:v>
                  </c:pt>
                  <c:pt idx="9">
                    <c:v>358.43652188315133</c:v>
                  </c:pt>
                  <c:pt idx="10">
                    <c:v>275.89354180063839</c:v>
                  </c:pt>
                  <c:pt idx="11">
                    <c:v>161.07496083424863</c:v>
                  </c:pt>
                  <c:pt idx="12">
                    <c:v>171.298768635719</c:v>
                  </c:pt>
                  <c:pt idx="13">
                    <c:v>162.45565636861141</c:v>
                  </c:pt>
                  <c:pt idx="14">
                    <c:v>495.22925817378336</c:v>
                  </c:pt>
                  <c:pt idx="15">
                    <c:v>181.19037597632629</c:v>
                  </c:pt>
                  <c:pt idx="16">
                    <c:v>206.3868826911212</c:v>
                  </c:pt>
                  <c:pt idx="17">
                    <c:v>358.04182593184396</c:v>
                  </c:pt>
                  <c:pt idx="18">
                    <c:v>108.39381329677202</c:v>
                  </c:pt>
                  <c:pt idx="19">
                    <c:v>187.7998508004122</c:v>
                  </c:pt>
                  <c:pt idx="20">
                    <c:v>98.060425953242657</c:v>
                  </c:pt>
                  <c:pt idx="21">
                    <c:v>271.36370548760453</c:v>
                  </c:pt>
                  <c:pt idx="22">
                    <c:v>40.821353763692265</c:v>
                  </c:pt>
                  <c:pt idx="23">
                    <c:v>184.11177926450597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harvest'!$Q$53:$Q$76</c:f>
              <c:numCache>
                <c:formatCode>_(* #,##0_);_(* \(#,##0\);_(* "-"??_);_(@_)</c:formatCode>
                <c:ptCount val="24"/>
                <c:pt idx="0">
                  <c:v>6.6012509536972832</c:v>
                </c:pt>
                <c:pt idx="1">
                  <c:v>18.408510880234463</c:v>
                </c:pt>
                <c:pt idx="2">
                  <c:v>14.180465025141904</c:v>
                </c:pt>
                <c:pt idx="3">
                  <c:v>6.497411052852768</c:v>
                </c:pt>
                <c:pt idx="4">
                  <c:v>17.67226461016244</c:v>
                </c:pt>
                <c:pt idx="5">
                  <c:v>30.951747805655966</c:v>
                </c:pt>
                <c:pt idx="6">
                  <c:v>45.748782525249233</c:v>
                </c:pt>
                <c:pt idx="7">
                  <c:v>69.201006474455781</c:v>
                </c:pt>
                <c:pt idx="8">
                  <c:v>70.946521489289509</c:v>
                </c:pt>
                <c:pt idx="9">
                  <c:v>301.14820569969572</c:v>
                </c:pt>
                <c:pt idx="10">
                  <c:v>229.86044800469506</c:v>
                </c:pt>
                <c:pt idx="11">
                  <c:v>132.80163678847097</c:v>
                </c:pt>
                <c:pt idx="12">
                  <c:v>141.34113398013176</c:v>
                </c:pt>
                <c:pt idx="13">
                  <c:v>116.36257299120381</c:v>
                </c:pt>
                <c:pt idx="14">
                  <c:v>440.35294104900004</c:v>
                </c:pt>
                <c:pt idx="15">
                  <c:v>140.29389810000001</c:v>
                </c:pt>
                <c:pt idx="16">
                  <c:v>171.03538290827868</c:v>
                </c:pt>
                <c:pt idx="17">
                  <c:v>206.1450084529458</c:v>
                </c:pt>
                <c:pt idx="18">
                  <c:v>78.780677746815343</c:v>
                </c:pt>
                <c:pt idx="19">
                  <c:v>163.25245926664925</c:v>
                </c:pt>
                <c:pt idx="20">
                  <c:v>81.721862872818278</c:v>
                </c:pt>
                <c:pt idx="21">
                  <c:v>181.38047515019116</c:v>
                </c:pt>
                <c:pt idx="22">
                  <c:v>41.259113622565323</c:v>
                </c:pt>
                <c:pt idx="23">
                  <c:v>227.24155926047902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4B-4486-B902-013BD90B6C93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harvest'!$Y$53:$Y$76</c:f>
                <c:numCache>
                  <c:formatCode>General</c:formatCode>
                  <c:ptCount val="24"/>
                  <c:pt idx="0">
                    <c:v>8.1850664141015628</c:v>
                  </c:pt>
                  <c:pt idx="1">
                    <c:v>23.164965843043902</c:v>
                  </c:pt>
                  <c:pt idx="2">
                    <c:v>16.897306264225403</c:v>
                  </c:pt>
                  <c:pt idx="3">
                    <c:v>7.7920542056274504</c:v>
                  </c:pt>
                  <c:pt idx="4">
                    <c:v>22.970667094615486</c:v>
                  </c:pt>
                  <c:pt idx="5">
                    <c:v>38.383165609595153</c:v>
                  </c:pt>
                  <c:pt idx="6">
                    <c:v>56.928974615201234</c:v>
                  </c:pt>
                  <c:pt idx="7">
                    <c:v>83.377213748735443</c:v>
                  </c:pt>
                  <c:pt idx="8">
                    <c:v>86.835897447685298</c:v>
                  </c:pt>
                  <c:pt idx="9">
                    <c:v>371.90612990620554</c:v>
                  </c:pt>
                  <c:pt idx="10">
                    <c:v>295.79168428761199</c:v>
                  </c:pt>
                  <c:pt idx="11">
                    <c:v>161.07496083424863</c:v>
                  </c:pt>
                  <c:pt idx="12">
                    <c:v>176.12375488175803</c:v>
                  </c:pt>
                  <c:pt idx="13">
                    <c:v>172.00058997173213</c:v>
                  </c:pt>
                  <c:pt idx="14">
                    <c:v>498.63025120057381</c:v>
                  </c:pt>
                  <c:pt idx="15">
                    <c:v>201.80070196619673</c:v>
                  </c:pt>
                  <c:pt idx="16">
                    <c:v>214.1167966126348</c:v>
                  </c:pt>
                  <c:pt idx="17">
                    <c:v>362.39307533033337</c:v>
                  </c:pt>
                  <c:pt idx="18">
                    <c:v>122.78929190253729</c:v>
                  </c:pt>
                  <c:pt idx="19">
                    <c:v>190.09260696797045</c:v>
                  </c:pt>
                  <c:pt idx="20">
                    <c:v>115.65024996854298</c:v>
                  </c:pt>
                  <c:pt idx="21">
                    <c:v>277.96795080787876</c:v>
                  </c:pt>
                  <c:pt idx="22">
                    <c:v>48.452505982557319</c:v>
                  </c:pt>
                  <c:pt idx="23">
                    <c:v>235.07772444906118</c:v>
                  </c:pt>
                </c:numCache>
              </c:numRef>
            </c:plus>
            <c:minus>
              <c:numRef>
                <c:f>'BRF harvest'!$Y$53:$Y$76</c:f>
                <c:numCache>
                  <c:formatCode>General</c:formatCode>
                  <c:ptCount val="24"/>
                  <c:pt idx="0">
                    <c:v>8.1850664141015628</c:v>
                  </c:pt>
                  <c:pt idx="1">
                    <c:v>23.164965843043902</c:v>
                  </c:pt>
                  <c:pt idx="2">
                    <c:v>16.897306264225403</c:v>
                  </c:pt>
                  <c:pt idx="3">
                    <c:v>7.7920542056274504</c:v>
                  </c:pt>
                  <c:pt idx="4">
                    <c:v>22.970667094615486</c:v>
                  </c:pt>
                  <c:pt idx="5">
                    <c:v>38.383165609595153</c:v>
                  </c:pt>
                  <c:pt idx="6">
                    <c:v>56.928974615201234</c:v>
                  </c:pt>
                  <c:pt idx="7">
                    <c:v>83.377213748735443</c:v>
                  </c:pt>
                  <c:pt idx="8">
                    <c:v>86.835897447685298</c:v>
                  </c:pt>
                  <c:pt idx="9">
                    <c:v>371.90612990620554</c:v>
                  </c:pt>
                  <c:pt idx="10">
                    <c:v>295.79168428761199</c:v>
                  </c:pt>
                  <c:pt idx="11">
                    <c:v>161.07496083424863</c:v>
                  </c:pt>
                  <c:pt idx="12">
                    <c:v>176.12375488175803</c:v>
                  </c:pt>
                  <c:pt idx="13">
                    <c:v>172.00058997173213</c:v>
                  </c:pt>
                  <c:pt idx="14">
                    <c:v>498.63025120057381</c:v>
                  </c:pt>
                  <c:pt idx="15">
                    <c:v>201.80070196619673</c:v>
                  </c:pt>
                  <c:pt idx="16">
                    <c:v>214.1167966126348</c:v>
                  </c:pt>
                  <c:pt idx="17">
                    <c:v>362.39307533033337</c:v>
                  </c:pt>
                  <c:pt idx="18">
                    <c:v>122.78929190253729</c:v>
                  </c:pt>
                  <c:pt idx="19">
                    <c:v>190.09260696797045</c:v>
                  </c:pt>
                  <c:pt idx="20">
                    <c:v>115.65024996854298</c:v>
                  </c:pt>
                  <c:pt idx="21">
                    <c:v>277.96795080787876</c:v>
                  </c:pt>
                  <c:pt idx="22">
                    <c:v>48.452505982557319</c:v>
                  </c:pt>
                  <c:pt idx="23">
                    <c:v>235.07772444906118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harvest'!$V$53:$V$76</c:f>
              <c:numCache>
                <c:formatCode>_(* #,##0_);_(* \(#,##0\);_(* "-"??_);_(@_)</c:formatCode>
                <c:ptCount val="24"/>
                <c:pt idx="0">
                  <c:v>27.332020177697281</c:v>
                </c:pt>
                <c:pt idx="1">
                  <c:v>87.196972396234457</c:v>
                </c:pt>
                <c:pt idx="2">
                  <c:v>18.892003485141906</c:v>
                </c:pt>
                <c:pt idx="3">
                  <c:v>14.035872588852769</c:v>
                </c:pt>
                <c:pt idx="4">
                  <c:v>100.59534150616244</c:v>
                </c:pt>
                <c:pt idx="5">
                  <c:v>128.95174777365597</c:v>
                </c:pt>
                <c:pt idx="6">
                  <c:v>195.57570555324924</c:v>
                </c:pt>
                <c:pt idx="7">
                  <c:v>189.81639105045576</c:v>
                </c:pt>
                <c:pt idx="8">
                  <c:v>250.92729066128953</c:v>
                </c:pt>
                <c:pt idx="9">
                  <c:v>1214.2443592476957</c:v>
                </c:pt>
                <c:pt idx="10">
                  <c:v>1211.7450630686949</c:v>
                </c:pt>
                <c:pt idx="11">
                  <c:v>853.801636788471</c:v>
                </c:pt>
                <c:pt idx="12">
                  <c:v>518.26421078013175</c:v>
                </c:pt>
                <c:pt idx="13">
                  <c:v>636.51641897520381</c:v>
                </c:pt>
                <c:pt idx="14">
                  <c:v>975.58371010500002</c:v>
                </c:pt>
                <c:pt idx="15">
                  <c:v>958.2169747559999</c:v>
                </c:pt>
                <c:pt idx="16">
                  <c:v>695.90076735227876</c:v>
                </c:pt>
                <c:pt idx="17">
                  <c:v>721.58731597694577</c:v>
                </c:pt>
                <c:pt idx="18">
                  <c:v>723.22298554881536</c:v>
                </c:pt>
                <c:pt idx="19">
                  <c:v>723.56015152764917</c:v>
                </c:pt>
                <c:pt idx="20">
                  <c:v>646.16417038081829</c:v>
                </c:pt>
                <c:pt idx="21">
                  <c:v>735.4573980461912</c:v>
                </c:pt>
                <c:pt idx="22">
                  <c:v>281.54757508256534</c:v>
                </c:pt>
                <c:pt idx="23">
                  <c:v>1572.856943436479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4B-4486-B902-013BD90B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harvest'!$K$78:$K$101</c:f>
                <c:numCache>
                  <c:formatCode>General</c:formatCode>
                  <c:ptCount val="24"/>
                  <c:pt idx="0">
                    <c:v>172.13554301991701</c:v>
                  </c:pt>
                  <c:pt idx="1">
                    <c:v>192.61086348978267</c:v>
                  </c:pt>
                  <c:pt idx="2">
                    <c:v>291.65427413471411</c:v>
                  </c:pt>
                  <c:pt idx="3">
                    <c:v>165.23107448938092</c:v>
                  </c:pt>
                  <c:pt idx="4">
                    <c:v>501.64535151170833</c:v>
                  </c:pt>
                  <c:pt idx="5">
                    <c:v>571.92671525508035</c:v>
                  </c:pt>
                  <c:pt idx="6">
                    <c:v>1064.2404941895284</c:v>
                  </c:pt>
                  <c:pt idx="7">
                    <c:v>433.24298174710816</c:v>
                  </c:pt>
                  <c:pt idx="8">
                    <c:v>535.69152392090359</c:v>
                  </c:pt>
                  <c:pt idx="9">
                    <c:v>563.07131292130521</c:v>
                  </c:pt>
                  <c:pt idx="10">
                    <c:v>477.59875421570337</c:v>
                  </c:pt>
                  <c:pt idx="11">
                    <c:v>354.38650265701114</c:v>
                  </c:pt>
                  <c:pt idx="12">
                    <c:v>156.47312259416194</c:v>
                  </c:pt>
                  <c:pt idx="13">
                    <c:v>269.58461919038155</c:v>
                  </c:pt>
                  <c:pt idx="14">
                    <c:v>227.09494072531197</c:v>
                  </c:pt>
                  <c:pt idx="15">
                    <c:v>511.20793681879269</c:v>
                  </c:pt>
                  <c:pt idx="16">
                    <c:v>348.96899846179377</c:v>
                  </c:pt>
                  <c:pt idx="17">
                    <c:v>722.34848564272625</c:v>
                  </c:pt>
                  <c:pt idx="18">
                    <c:v>876.1225003944777</c:v>
                  </c:pt>
                  <c:pt idx="19">
                    <c:v>834.64024246269128</c:v>
                  </c:pt>
                  <c:pt idx="20">
                    <c:v>693.90207180020661</c:v>
                  </c:pt>
                  <c:pt idx="21">
                    <c:v>720.65303460957375</c:v>
                  </c:pt>
                  <c:pt idx="22">
                    <c:v>568.10167949642289</c:v>
                  </c:pt>
                  <c:pt idx="23">
                    <c:v>963.83469868814439</c:v>
                  </c:pt>
                </c:numCache>
              </c:numRef>
            </c:plus>
            <c:minus>
              <c:numRef>
                <c:f>'BRF harvest'!$K$78:$K$101</c:f>
                <c:numCache>
                  <c:formatCode>General</c:formatCode>
                  <c:ptCount val="24"/>
                  <c:pt idx="0">
                    <c:v>172.13554301991701</c:v>
                  </c:pt>
                  <c:pt idx="1">
                    <c:v>192.61086348978267</c:v>
                  </c:pt>
                  <c:pt idx="2">
                    <c:v>291.65427413471411</c:v>
                  </c:pt>
                  <c:pt idx="3">
                    <c:v>165.23107448938092</c:v>
                  </c:pt>
                  <c:pt idx="4">
                    <c:v>501.64535151170833</c:v>
                  </c:pt>
                  <c:pt idx="5">
                    <c:v>571.92671525508035</c:v>
                  </c:pt>
                  <c:pt idx="6">
                    <c:v>1064.2404941895284</c:v>
                  </c:pt>
                  <c:pt idx="7">
                    <c:v>433.24298174710816</c:v>
                  </c:pt>
                  <c:pt idx="8">
                    <c:v>535.69152392090359</c:v>
                  </c:pt>
                  <c:pt idx="9">
                    <c:v>563.07131292130521</c:v>
                  </c:pt>
                  <c:pt idx="10">
                    <c:v>477.59875421570337</c:v>
                  </c:pt>
                  <c:pt idx="11">
                    <c:v>354.38650265701114</c:v>
                  </c:pt>
                  <c:pt idx="12">
                    <c:v>156.47312259416194</c:v>
                  </c:pt>
                  <c:pt idx="13">
                    <c:v>269.58461919038155</c:v>
                  </c:pt>
                  <c:pt idx="14">
                    <c:v>227.09494072531197</c:v>
                  </c:pt>
                  <c:pt idx="15">
                    <c:v>511.20793681879269</c:v>
                  </c:pt>
                  <c:pt idx="16">
                    <c:v>348.96899846179377</c:v>
                  </c:pt>
                  <c:pt idx="17">
                    <c:v>722.34848564272625</c:v>
                  </c:pt>
                  <c:pt idx="18">
                    <c:v>876.1225003944777</c:v>
                  </c:pt>
                  <c:pt idx="19">
                    <c:v>834.64024246269128</c:v>
                  </c:pt>
                  <c:pt idx="20">
                    <c:v>693.90207180020661</c:v>
                  </c:pt>
                  <c:pt idx="21">
                    <c:v>720.65303460957375</c:v>
                  </c:pt>
                  <c:pt idx="22">
                    <c:v>568.10167949642289</c:v>
                  </c:pt>
                  <c:pt idx="23">
                    <c:v>963.83469868814439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harvest'!$H$78:$H$101</c:f>
              <c:numCache>
                <c:formatCode>0</c:formatCode>
                <c:ptCount val="24"/>
                <c:pt idx="0">
                  <c:v>302.84273453700001</c:v>
                </c:pt>
                <c:pt idx="1">
                  <c:v>338.86552177100003</c:v>
                </c:pt>
                <c:pt idx="2">
                  <c:v>513.11528327500002</c:v>
                </c:pt>
                <c:pt idx="3">
                  <c:v>290.695515586</c:v>
                </c:pt>
                <c:pt idx="4">
                  <c:v>882.5582872330001</c:v>
                </c:pt>
                <c:pt idx="5">
                  <c:v>2531.8653839620001</c:v>
                </c:pt>
                <c:pt idx="6">
                  <c:v>1872.3471969300001</c:v>
                </c:pt>
                <c:pt idx="7">
                  <c:v>1618.3870950999999</c:v>
                </c:pt>
                <c:pt idx="8">
                  <c:v>942.45664275000001</c:v>
                </c:pt>
                <c:pt idx="9">
                  <c:v>990.62664893500005</c:v>
                </c:pt>
                <c:pt idx="10">
                  <c:v>840.25245571400001</c:v>
                </c:pt>
                <c:pt idx="11">
                  <c:v>1133.8148150120001</c:v>
                </c:pt>
                <c:pt idx="12">
                  <c:v>850.20560750699997</c:v>
                </c:pt>
                <c:pt idx="13">
                  <c:v>940.24390362999998</c:v>
                </c:pt>
                <c:pt idx="14">
                  <c:v>756.92105133400003</c:v>
                </c:pt>
                <c:pt idx="15">
                  <c:v>1777.3913023800001</c:v>
                </c:pt>
                <c:pt idx="16">
                  <c:v>1765.5547943409999</c:v>
                </c:pt>
                <c:pt idx="17">
                  <c:v>2513.1428596559999</c:v>
                </c:pt>
                <c:pt idx="18">
                  <c:v>3648.6095193599999</c:v>
                </c:pt>
                <c:pt idx="19">
                  <c:v>4532.2297289240005</c:v>
                </c:pt>
                <c:pt idx="20">
                  <c:v>5842.9268286839997</c:v>
                </c:pt>
                <c:pt idx="21">
                  <c:v>12060.800000000001</c:v>
                </c:pt>
                <c:pt idx="22">
                  <c:v>7440.2781456953644</c:v>
                </c:pt>
                <c:pt idx="23">
                  <c:v>11087.626262626261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AA-48CF-85B0-716EFEE0C89C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harvest'!$T$78:$T$101</c:f>
                <c:numCache>
                  <c:formatCode>General</c:formatCode>
                  <c:ptCount val="24"/>
                  <c:pt idx="0">
                    <c:v>268.15162914649096</c:v>
                  </c:pt>
                  <c:pt idx="1">
                    <c:v>258.51702289089195</c:v>
                  </c:pt>
                  <c:pt idx="2">
                    <c:v>377.67835091055071</c:v>
                  </c:pt>
                  <c:pt idx="3">
                    <c:v>184.66291385886996</c:v>
                  </c:pt>
                  <c:pt idx="4">
                    <c:v>641.51365604663533</c:v>
                  </c:pt>
                  <c:pt idx="5">
                    <c:v>1247.1478687567683</c:v>
                  </c:pt>
                  <c:pt idx="6">
                    <c:v>1277.6319070802626</c:v>
                  </c:pt>
                  <c:pt idx="7">
                    <c:v>975.21945610117189</c:v>
                  </c:pt>
                  <c:pt idx="8">
                    <c:v>664.44412735191884</c:v>
                  </c:pt>
                  <c:pt idx="9">
                    <c:v>690.3420714143565</c:v>
                  </c:pt>
                  <c:pt idx="10">
                    <c:v>583.51305215680088</c:v>
                  </c:pt>
                  <c:pt idx="11">
                    <c:v>456.01197167748535</c:v>
                  </c:pt>
                  <c:pt idx="12">
                    <c:v>490.81605500975957</c:v>
                  </c:pt>
                  <c:pt idx="13">
                    <c:v>435.63020041013505</c:v>
                  </c:pt>
                  <c:pt idx="14">
                    <c:v>556.19952316374702</c:v>
                  </c:pt>
                  <c:pt idx="15">
                    <c:v>751.78257115115889</c:v>
                  </c:pt>
                  <c:pt idx="16">
                    <c:v>681.91747368619826</c:v>
                  </c:pt>
                  <c:pt idx="17">
                    <c:v>806.91927708329774</c:v>
                  </c:pt>
                  <c:pt idx="18">
                    <c:v>905.91837236404615</c:v>
                  </c:pt>
                  <c:pt idx="19">
                    <c:v>911.56992748883772</c:v>
                  </c:pt>
                  <c:pt idx="20">
                    <c:v>2137.3807920606564</c:v>
                  </c:pt>
                  <c:pt idx="21">
                    <c:v>4140.2908295566185</c:v>
                  </c:pt>
                  <c:pt idx="22">
                    <c:v>4030.8026900760187</c:v>
                  </c:pt>
                  <c:pt idx="23">
                    <c:v>2819.3338644969253</c:v>
                  </c:pt>
                </c:numCache>
              </c:numRef>
            </c:plus>
            <c:minus>
              <c:numRef>
                <c:f>'BRF harvest'!$T$78:$T$101</c:f>
                <c:numCache>
                  <c:formatCode>General</c:formatCode>
                  <c:ptCount val="24"/>
                  <c:pt idx="0">
                    <c:v>268.15162914649096</c:v>
                  </c:pt>
                  <c:pt idx="1">
                    <c:v>258.51702289089195</c:v>
                  </c:pt>
                  <c:pt idx="2">
                    <c:v>377.67835091055071</c:v>
                  </c:pt>
                  <c:pt idx="3">
                    <c:v>184.66291385886996</c:v>
                  </c:pt>
                  <c:pt idx="4">
                    <c:v>641.51365604663533</c:v>
                  </c:pt>
                  <c:pt idx="5">
                    <c:v>1247.1478687567683</c:v>
                  </c:pt>
                  <c:pt idx="6">
                    <c:v>1277.6319070802626</c:v>
                  </c:pt>
                  <c:pt idx="7">
                    <c:v>975.21945610117189</c:v>
                  </c:pt>
                  <c:pt idx="8">
                    <c:v>664.44412735191884</c:v>
                  </c:pt>
                  <c:pt idx="9">
                    <c:v>690.3420714143565</c:v>
                  </c:pt>
                  <c:pt idx="10">
                    <c:v>583.51305215680088</c:v>
                  </c:pt>
                  <c:pt idx="11">
                    <c:v>456.01197167748535</c:v>
                  </c:pt>
                  <c:pt idx="12">
                    <c:v>490.81605500975957</c:v>
                  </c:pt>
                  <c:pt idx="13">
                    <c:v>435.63020041013505</c:v>
                  </c:pt>
                  <c:pt idx="14">
                    <c:v>556.19952316374702</c:v>
                  </c:pt>
                  <c:pt idx="15">
                    <c:v>751.78257115115889</c:v>
                  </c:pt>
                  <c:pt idx="16">
                    <c:v>681.91747368619826</c:v>
                  </c:pt>
                  <c:pt idx="17">
                    <c:v>806.91927708329774</c:v>
                  </c:pt>
                  <c:pt idx="18">
                    <c:v>905.91837236404615</c:v>
                  </c:pt>
                  <c:pt idx="19">
                    <c:v>911.56992748883772</c:v>
                  </c:pt>
                  <c:pt idx="20">
                    <c:v>2137.3807920606564</c:v>
                  </c:pt>
                  <c:pt idx="21">
                    <c:v>4140.2908295566185</c:v>
                  </c:pt>
                  <c:pt idx="22">
                    <c:v>4030.8026900760187</c:v>
                  </c:pt>
                  <c:pt idx="23">
                    <c:v>2819.3338644969253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harvest'!$Q$78:$Q$101</c:f>
              <c:numCache>
                <c:formatCode>_(* #,##0_);_(* \(#,##0\);_(* "-"??_);_(@_)</c:formatCode>
                <c:ptCount val="24"/>
                <c:pt idx="0">
                  <c:v>275.6918168798851</c:v>
                </c:pt>
                <c:pt idx="1">
                  <c:v>412.52474982033687</c:v>
                </c:pt>
                <c:pt idx="2">
                  <c:v>388.29833363364099</c:v>
                </c:pt>
                <c:pt idx="3">
                  <c:v>284.7580707236225</c:v>
                </c:pt>
                <c:pt idx="4">
                  <c:v>659.55245527199872</c:v>
                </c:pt>
                <c:pt idx="5">
                  <c:v>1282.2165688488017</c:v>
                </c:pt>
                <c:pt idx="6">
                  <c:v>1313.5577914920882</c:v>
                </c:pt>
                <c:pt idx="7">
                  <c:v>1002.64176863258</c:v>
                </c:pt>
                <c:pt idx="8">
                  <c:v>683.12771124261269</c:v>
                </c:pt>
                <c:pt idx="9">
                  <c:v>709.75388269177665</c:v>
                </c:pt>
                <c:pt idx="10">
                  <c:v>599.92092546397532</c:v>
                </c:pt>
                <c:pt idx="11">
                  <c:v>658.52618856921674</c:v>
                </c:pt>
                <c:pt idx="12">
                  <c:v>784.15580381144264</c:v>
                </c:pt>
                <c:pt idx="13">
                  <c:v>715.85500316051605</c:v>
                </c:pt>
                <c:pt idx="14">
                  <c:v>988.87800050254634</c:v>
                </c:pt>
                <c:pt idx="15">
                  <c:v>1223.5584078171398</c:v>
                </c:pt>
                <c:pt idx="16">
                  <c:v>1441.9465989456419</c:v>
                </c:pt>
                <c:pt idx="17">
                  <c:v>1584.2737280562849</c:v>
                </c:pt>
                <c:pt idx="18">
                  <c:v>2011.8733356759212</c:v>
                </c:pt>
                <c:pt idx="19">
                  <c:v>1941.7150861777525</c:v>
                </c:pt>
                <c:pt idx="20">
                  <c:v>4508.4196775114706</c:v>
                </c:pt>
                <c:pt idx="21">
                  <c:v>8890.2014370900124</c:v>
                </c:pt>
                <c:pt idx="22">
                  <c:v>7999.4968588578849</c:v>
                </c:pt>
                <c:pt idx="23">
                  <c:v>5695.7899383789882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AA-48CF-85B0-716EFEE0C89C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harvest'!$Y$78:$Y$101</c:f>
                <c:numCache>
                  <c:formatCode>General</c:formatCode>
                  <c:ptCount val="24"/>
                  <c:pt idx="0">
                    <c:v>318.64704829117585</c:v>
                  </c:pt>
                  <c:pt idx="1">
                    <c:v>322.38175484764901</c:v>
                  </c:pt>
                  <c:pt idx="2">
                    <c:v>477.18251473368139</c:v>
                  </c:pt>
                  <c:pt idx="3">
                    <c:v>247.79366362311157</c:v>
                  </c:pt>
                  <c:pt idx="4">
                    <c:v>814.36345054749745</c:v>
                  </c:pt>
                  <c:pt idx="5">
                    <c:v>1372.0342467179948</c:v>
                  </c:pt>
                  <c:pt idx="6">
                    <c:v>1662.8142167609467</c:v>
                  </c:pt>
                  <c:pt idx="7">
                    <c:v>1067.1234552718774</c:v>
                  </c:pt>
                  <c:pt idx="8">
                    <c:v>853.49364799812827</c:v>
                  </c:pt>
                  <c:pt idx="9">
                    <c:v>890.8543534156338</c:v>
                  </c:pt>
                  <c:pt idx="10">
                    <c:v>754.04777837066604</c:v>
                  </c:pt>
                  <c:pt idx="11">
                    <c:v>577.52637305897588</c:v>
                  </c:pt>
                  <c:pt idx="12">
                    <c:v>515.15457675314406</c:v>
                  </c:pt>
                  <c:pt idx="13">
                    <c:v>512.29829046503517</c:v>
                  </c:pt>
                  <c:pt idx="14">
                    <c:v>600.77451816019334</c:v>
                  </c:pt>
                  <c:pt idx="15">
                    <c:v>909.12627778168076</c:v>
                  </c:pt>
                  <c:pt idx="16">
                    <c:v>766.02271689943655</c:v>
                  </c:pt>
                  <c:pt idx="17">
                    <c:v>1083.0078736735811</c:v>
                  </c:pt>
                  <c:pt idx="18">
                    <c:v>1260.2693097446252</c:v>
                  </c:pt>
                  <c:pt idx="19">
                    <c:v>1235.9547188470074</c:v>
                  </c:pt>
                  <c:pt idx="20">
                    <c:v>2247.197529261382</c:v>
                  </c:pt>
                  <c:pt idx="21">
                    <c:v>4202.540773104125</c:v>
                  </c:pt>
                  <c:pt idx="22">
                    <c:v>4070.6399797293207</c:v>
                  </c:pt>
                  <c:pt idx="23">
                    <c:v>2979.5336490622881</c:v>
                  </c:pt>
                </c:numCache>
              </c:numRef>
            </c:plus>
            <c:minus>
              <c:numRef>
                <c:f>'BRF harvest'!$Y$78:$Y$101</c:f>
                <c:numCache>
                  <c:formatCode>General</c:formatCode>
                  <c:ptCount val="24"/>
                  <c:pt idx="0">
                    <c:v>318.64704829117585</c:v>
                  </c:pt>
                  <c:pt idx="1">
                    <c:v>322.38175484764901</c:v>
                  </c:pt>
                  <c:pt idx="2">
                    <c:v>477.18251473368139</c:v>
                  </c:pt>
                  <c:pt idx="3">
                    <c:v>247.79366362311157</c:v>
                  </c:pt>
                  <c:pt idx="4">
                    <c:v>814.36345054749745</c:v>
                  </c:pt>
                  <c:pt idx="5">
                    <c:v>1372.0342467179948</c:v>
                  </c:pt>
                  <c:pt idx="6">
                    <c:v>1662.8142167609467</c:v>
                  </c:pt>
                  <c:pt idx="7">
                    <c:v>1067.1234552718774</c:v>
                  </c:pt>
                  <c:pt idx="8">
                    <c:v>853.49364799812827</c:v>
                  </c:pt>
                  <c:pt idx="9">
                    <c:v>890.8543534156338</c:v>
                  </c:pt>
                  <c:pt idx="10">
                    <c:v>754.04777837066604</c:v>
                  </c:pt>
                  <c:pt idx="11">
                    <c:v>577.52637305897588</c:v>
                  </c:pt>
                  <c:pt idx="12">
                    <c:v>515.15457675314406</c:v>
                  </c:pt>
                  <c:pt idx="13">
                    <c:v>512.29829046503517</c:v>
                  </c:pt>
                  <c:pt idx="14">
                    <c:v>600.77451816019334</c:v>
                  </c:pt>
                  <c:pt idx="15">
                    <c:v>909.12627778168076</c:v>
                  </c:pt>
                  <c:pt idx="16">
                    <c:v>766.02271689943655</c:v>
                  </c:pt>
                  <c:pt idx="17">
                    <c:v>1083.0078736735811</c:v>
                  </c:pt>
                  <c:pt idx="18">
                    <c:v>1260.2693097446252</c:v>
                  </c:pt>
                  <c:pt idx="19">
                    <c:v>1235.9547188470074</c:v>
                  </c:pt>
                  <c:pt idx="20">
                    <c:v>2247.197529261382</c:v>
                  </c:pt>
                  <c:pt idx="21">
                    <c:v>4202.540773104125</c:v>
                  </c:pt>
                  <c:pt idx="22">
                    <c:v>4070.6399797293207</c:v>
                  </c:pt>
                  <c:pt idx="23">
                    <c:v>2979.5336490622881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harvest'!$V$78:$V$101</c:f>
              <c:numCache>
                <c:formatCode>_(* #,##0_);_(* \(#,##0\);_(* "-"??_);_(@_)</c:formatCode>
                <c:ptCount val="24"/>
                <c:pt idx="0">
                  <c:v>578.53455141688505</c:v>
                </c:pt>
                <c:pt idx="1">
                  <c:v>751.39027159133684</c:v>
                </c:pt>
                <c:pt idx="2">
                  <c:v>901.41361690864096</c:v>
                </c:pt>
                <c:pt idx="3">
                  <c:v>575.45358630962255</c:v>
                </c:pt>
                <c:pt idx="4">
                  <c:v>1542.1107425049988</c:v>
                </c:pt>
                <c:pt idx="5">
                  <c:v>3814.0819528108018</c:v>
                </c:pt>
                <c:pt idx="6">
                  <c:v>3185.9049884220885</c:v>
                </c:pt>
                <c:pt idx="7">
                  <c:v>2621.0288637325798</c:v>
                </c:pt>
                <c:pt idx="8">
                  <c:v>1625.5843539926127</c:v>
                </c:pt>
                <c:pt idx="9">
                  <c:v>1700.3805316267767</c:v>
                </c:pt>
                <c:pt idx="10">
                  <c:v>1440.1733811779754</c:v>
                </c:pt>
                <c:pt idx="11">
                  <c:v>1792.3410035812167</c:v>
                </c:pt>
                <c:pt idx="12">
                  <c:v>1634.3614113184426</c:v>
                </c:pt>
                <c:pt idx="13">
                  <c:v>1656.0989067905161</c:v>
                </c:pt>
                <c:pt idx="14">
                  <c:v>1745.7990518365464</c:v>
                </c:pt>
                <c:pt idx="15">
                  <c:v>3000.9497101971401</c:v>
                </c:pt>
                <c:pt idx="16">
                  <c:v>3207.5013932866418</c:v>
                </c:pt>
                <c:pt idx="17">
                  <c:v>4097.416587712285</c:v>
                </c:pt>
                <c:pt idx="18">
                  <c:v>5660.4828550359216</c:v>
                </c:pt>
                <c:pt idx="19">
                  <c:v>6473.9448151017532</c:v>
                </c:pt>
                <c:pt idx="20">
                  <c:v>10351.34650619547</c:v>
                </c:pt>
                <c:pt idx="21">
                  <c:v>20951.001437090013</c:v>
                </c:pt>
                <c:pt idx="22">
                  <c:v>15439.775004553248</c:v>
                </c:pt>
                <c:pt idx="23">
                  <c:v>16783.41620100525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AA-48CF-85B0-716EFEE0C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EASTSIDE</a:t>
            </a:r>
          </a:p>
        </c:rich>
      </c:tx>
      <c:layout>
        <c:manualLayout>
          <c:xMode val="edge"/>
          <c:yMode val="edge"/>
          <c:x val="0.46940785096473719"/>
          <c:y val="2.427919932171181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harvest'!$K$103:$K$126</c:f>
                <c:numCache>
                  <c:formatCode>General</c:formatCode>
                  <c:ptCount val="24"/>
                  <c:pt idx="0">
                    <c:v>7.6767658997132386</c:v>
                  </c:pt>
                  <c:pt idx="1">
                    <c:v>10.235687866284318</c:v>
                  </c:pt>
                  <c:pt idx="2">
                    <c:v>38.895613891880409</c:v>
                  </c:pt>
                  <c:pt idx="3">
                    <c:v>23.644438971116774</c:v>
                  </c:pt>
                  <c:pt idx="4">
                    <c:v>27.534000360304812</c:v>
                  </c:pt>
                  <c:pt idx="5">
                    <c:v>98.672031030980818</c:v>
                  </c:pt>
                  <c:pt idx="6">
                    <c:v>68.783822461430617</c:v>
                  </c:pt>
                  <c:pt idx="7">
                    <c:v>109.93128768389357</c:v>
                  </c:pt>
                  <c:pt idx="8">
                    <c:v>138.79592746681533</c:v>
                  </c:pt>
                  <c:pt idx="9">
                    <c:v>338.80126837401087</c:v>
                  </c:pt>
                  <c:pt idx="10">
                    <c:v>214.74473143464499</c:v>
                  </c:pt>
                  <c:pt idx="11">
                    <c:v>0</c:v>
                  </c:pt>
                  <c:pt idx="12">
                    <c:v>170.2194892163082</c:v>
                  </c:pt>
                  <c:pt idx="13">
                    <c:v>189.66729616224839</c:v>
                  </c:pt>
                  <c:pt idx="14">
                    <c:v>328.56558050772662</c:v>
                  </c:pt>
                  <c:pt idx="15">
                    <c:v>213.00466449737664</c:v>
                  </c:pt>
                  <c:pt idx="16">
                    <c:v>346.47803427372418</c:v>
                  </c:pt>
                  <c:pt idx="17">
                    <c:v>269.71037527659172</c:v>
                  </c:pt>
                  <c:pt idx="18">
                    <c:v>274.44632161264371</c:v>
                  </c:pt>
                  <c:pt idx="19">
                    <c:v>188.00532798848218</c:v>
                  </c:pt>
                  <c:pt idx="20">
                    <c:v>377.6968822658913</c:v>
                  </c:pt>
                  <c:pt idx="21">
                    <c:v>569.95255807052604</c:v>
                  </c:pt>
                  <c:pt idx="22">
                    <c:v>146.9844777598428</c:v>
                  </c:pt>
                  <c:pt idx="23">
                    <c:v>276.15885863235087</c:v>
                  </c:pt>
                </c:numCache>
              </c:numRef>
            </c:plus>
            <c:minus>
              <c:numRef>
                <c:f>'BRF harvest'!$K$103:$K$126</c:f>
                <c:numCache>
                  <c:formatCode>General</c:formatCode>
                  <c:ptCount val="24"/>
                  <c:pt idx="0">
                    <c:v>7.6767658997132386</c:v>
                  </c:pt>
                  <c:pt idx="1">
                    <c:v>10.235687866284318</c:v>
                  </c:pt>
                  <c:pt idx="2">
                    <c:v>38.895613891880409</c:v>
                  </c:pt>
                  <c:pt idx="3">
                    <c:v>23.644438971116774</c:v>
                  </c:pt>
                  <c:pt idx="4">
                    <c:v>27.534000360304812</c:v>
                  </c:pt>
                  <c:pt idx="5">
                    <c:v>98.672031030980818</c:v>
                  </c:pt>
                  <c:pt idx="6">
                    <c:v>68.783822461430617</c:v>
                  </c:pt>
                  <c:pt idx="7">
                    <c:v>109.93128768389357</c:v>
                  </c:pt>
                  <c:pt idx="8">
                    <c:v>138.79592746681533</c:v>
                  </c:pt>
                  <c:pt idx="9">
                    <c:v>338.80126837401087</c:v>
                  </c:pt>
                  <c:pt idx="10">
                    <c:v>214.74473143464499</c:v>
                  </c:pt>
                  <c:pt idx="11">
                    <c:v>0</c:v>
                  </c:pt>
                  <c:pt idx="12">
                    <c:v>170.2194892163082</c:v>
                  </c:pt>
                  <c:pt idx="13">
                    <c:v>189.66729616224839</c:v>
                  </c:pt>
                  <c:pt idx="14">
                    <c:v>328.56558050772662</c:v>
                  </c:pt>
                  <c:pt idx="15">
                    <c:v>213.00466449737664</c:v>
                  </c:pt>
                  <c:pt idx="16">
                    <c:v>346.47803427372418</c:v>
                  </c:pt>
                  <c:pt idx="17">
                    <c:v>269.71037527659172</c:v>
                  </c:pt>
                  <c:pt idx="18">
                    <c:v>274.44632161264371</c:v>
                  </c:pt>
                  <c:pt idx="19">
                    <c:v>188.00532798848218</c:v>
                  </c:pt>
                  <c:pt idx="20">
                    <c:v>377.6968822658913</c:v>
                  </c:pt>
                  <c:pt idx="21">
                    <c:v>569.95255807052604</c:v>
                  </c:pt>
                  <c:pt idx="22">
                    <c:v>146.9844777598428</c:v>
                  </c:pt>
                  <c:pt idx="23">
                    <c:v>276.15885863235087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harvest'!$H$103:$H$126</c:f>
              <c:numCache>
                <c:formatCode>0</c:formatCode>
                <c:ptCount val="24"/>
                <c:pt idx="0">
                  <c:v>70.673076899999998</c:v>
                </c:pt>
                <c:pt idx="1">
                  <c:v>94.230769199999997</c:v>
                </c:pt>
                <c:pt idx="2">
                  <c:v>358.07692295999999</c:v>
                </c:pt>
                <c:pt idx="3">
                  <c:v>217.67307685200001</c:v>
                </c:pt>
                <c:pt idx="4">
                  <c:v>253.48076914799998</c:v>
                </c:pt>
                <c:pt idx="5">
                  <c:v>908.38461508799992</c:v>
                </c:pt>
                <c:pt idx="6">
                  <c:v>633.23076902399998</c:v>
                </c:pt>
                <c:pt idx="7">
                  <c:v>1012.0384612079999</c:v>
                </c:pt>
                <c:pt idx="8">
                  <c:v>1277.769230352</c:v>
                </c:pt>
                <c:pt idx="9">
                  <c:v>3119.0384605199997</c:v>
                </c:pt>
                <c:pt idx="10">
                  <c:v>1976.9615378159999</c:v>
                </c:pt>
                <c:pt idx="11">
                  <c:v>2247</c:v>
                </c:pt>
                <c:pt idx="12">
                  <c:v>1567.057691796</c:v>
                </c:pt>
                <c:pt idx="13">
                  <c:v>1746.096153276</c:v>
                </c:pt>
                <c:pt idx="14">
                  <c:v>3024.8076913199998</c:v>
                </c:pt>
                <c:pt idx="15">
                  <c:v>1960.9423070519999</c:v>
                </c:pt>
                <c:pt idx="16">
                  <c:v>3189.7115374199998</c:v>
                </c:pt>
                <c:pt idx="17">
                  <c:v>2482.98076842</c:v>
                </c:pt>
                <c:pt idx="18">
                  <c:v>3065.846154368</c:v>
                </c:pt>
                <c:pt idx="19">
                  <c:v>3578.7692304709999</c:v>
                </c:pt>
                <c:pt idx="20">
                  <c:v>3477.1153834799998</c:v>
                </c:pt>
                <c:pt idx="21">
                  <c:v>5242.9999982879999</c:v>
                </c:pt>
                <c:pt idx="22">
                  <c:v>1353.153845712</c:v>
                </c:pt>
                <c:pt idx="23">
                  <c:v>2542.3461530159998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0-4250-AFE3-7ABEC6892284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harvest'!$T$103:$T$126</c:f>
                <c:numCache>
                  <c:formatCode>General</c:formatCode>
                  <c:ptCount val="24"/>
                  <c:pt idx="0">
                    <c:v>30.67135601271913</c:v>
                  </c:pt>
                  <c:pt idx="1">
                    <c:v>20.111015672284587</c:v>
                  </c:pt>
                  <c:pt idx="2">
                    <c:v>73.31823500790783</c:v>
                  </c:pt>
                  <c:pt idx="3">
                    <c:v>57.022930860084564</c:v>
                  </c:pt>
                  <c:pt idx="4">
                    <c:v>45.354303298462781</c:v>
                  </c:pt>
                  <c:pt idx="5">
                    <c:v>172.8588312085661</c:v>
                  </c:pt>
                  <c:pt idx="6">
                    <c:v>132.76724328731444</c:v>
                  </c:pt>
                  <c:pt idx="7">
                    <c:v>237.78253528961736</c:v>
                  </c:pt>
                  <c:pt idx="8">
                    <c:v>282.2454844088067</c:v>
                  </c:pt>
                  <c:pt idx="9">
                    <c:v>725.18694800846015</c:v>
                  </c:pt>
                  <c:pt idx="10">
                    <c:v>375.32223198983587</c:v>
                  </c:pt>
                  <c:pt idx="11">
                    <c:v>302.55999048720901</c:v>
                  </c:pt>
                  <c:pt idx="12">
                    <c:v>450.48227168078148</c:v>
                  </c:pt>
                  <c:pt idx="13">
                    <c:v>57.603787459915544</c:v>
                  </c:pt>
                  <c:pt idx="14">
                    <c:v>232.50278829286935</c:v>
                  </c:pt>
                  <c:pt idx="15">
                    <c:v>403.12993885457951</c:v>
                  </c:pt>
                  <c:pt idx="16">
                    <c:v>235.73560632088615</c:v>
                  </c:pt>
                  <c:pt idx="17">
                    <c:v>862.23268880499791</c:v>
                  </c:pt>
                  <c:pt idx="18">
                    <c:v>480.08752381816566</c:v>
                  </c:pt>
                  <c:pt idx="19">
                    <c:v>1109.0342540510831</c:v>
                  </c:pt>
                  <c:pt idx="20">
                    <c:v>289.05171343668724</c:v>
                  </c:pt>
                  <c:pt idx="21">
                    <c:v>2152.7176636446839</c:v>
                  </c:pt>
                  <c:pt idx="22">
                    <c:v>203.70125868173588</c:v>
                  </c:pt>
                  <c:pt idx="23">
                    <c:v>327.47378740943259</c:v>
                  </c:pt>
                </c:numCache>
              </c:numRef>
            </c:plus>
            <c:minus>
              <c:numRef>
                <c:f>'BRF harvest'!$T$103:$T$126</c:f>
                <c:numCache>
                  <c:formatCode>General</c:formatCode>
                  <c:ptCount val="24"/>
                  <c:pt idx="0">
                    <c:v>30.67135601271913</c:v>
                  </c:pt>
                  <c:pt idx="1">
                    <c:v>20.111015672284587</c:v>
                  </c:pt>
                  <c:pt idx="2">
                    <c:v>73.31823500790783</c:v>
                  </c:pt>
                  <c:pt idx="3">
                    <c:v>57.022930860084564</c:v>
                  </c:pt>
                  <c:pt idx="4">
                    <c:v>45.354303298462781</c:v>
                  </c:pt>
                  <c:pt idx="5">
                    <c:v>172.8588312085661</c:v>
                  </c:pt>
                  <c:pt idx="6">
                    <c:v>132.76724328731444</c:v>
                  </c:pt>
                  <c:pt idx="7">
                    <c:v>237.78253528961736</c:v>
                  </c:pt>
                  <c:pt idx="8">
                    <c:v>282.2454844088067</c:v>
                  </c:pt>
                  <c:pt idx="9">
                    <c:v>725.18694800846015</c:v>
                  </c:pt>
                  <c:pt idx="10">
                    <c:v>375.32223198983587</c:v>
                  </c:pt>
                  <c:pt idx="11">
                    <c:v>302.55999048720901</c:v>
                  </c:pt>
                  <c:pt idx="12">
                    <c:v>450.48227168078148</c:v>
                  </c:pt>
                  <c:pt idx="13">
                    <c:v>57.603787459915544</c:v>
                  </c:pt>
                  <c:pt idx="14">
                    <c:v>232.50278829286935</c:v>
                  </c:pt>
                  <c:pt idx="15">
                    <c:v>403.12993885457951</c:v>
                  </c:pt>
                  <c:pt idx="16">
                    <c:v>235.73560632088615</c:v>
                  </c:pt>
                  <c:pt idx="17">
                    <c:v>862.23268880499791</c:v>
                  </c:pt>
                  <c:pt idx="18">
                    <c:v>480.08752381816566</c:v>
                  </c:pt>
                  <c:pt idx="19">
                    <c:v>1109.0342540510831</c:v>
                  </c:pt>
                  <c:pt idx="20">
                    <c:v>289.05171343668724</c:v>
                  </c:pt>
                  <c:pt idx="21">
                    <c:v>2152.7176636446839</c:v>
                  </c:pt>
                  <c:pt idx="22">
                    <c:v>203.70125868173588</c:v>
                  </c:pt>
                  <c:pt idx="23">
                    <c:v>327.47378740943259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harvest'!$Q$103:$Q$126</c:f>
              <c:numCache>
                <c:formatCode>_(* #,##0_);_(* \(#,##0\);_(* "-"??_);_(@_)</c:formatCode>
                <c:ptCount val="24"/>
                <c:pt idx="0">
                  <c:v>18.423596270685824</c:v>
                </c:pt>
                <c:pt idx="1">
                  <c:v>11.897942718934321</c:v>
                </c:pt>
                <c:pt idx="2">
                  <c:v>43.377847821363204</c:v>
                </c:pt>
                <c:pt idx="3">
                  <c:v>33.708805238764896</c:v>
                </c:pt>
                <c:pt idx="4">
                  <c:v>26.766908305576372</c:v>
                </c:pt>
                <c:pt idx="5">
                  <c:v>102.24773954088243</c:v>
                </c:pt>
                <c:pt idx="6">
                  <c:v>78.491553107449604</c:v>
                </c:pt>
                <c:pt idx="7">
                  <c:v>140.76757435958791</c:v>
                </c:pt>
                <c:pt idx="8">
                  <c:v>166.85460479729193</c:v>
                </c:pt>
                <c:pt idx="9">
                  <c:v>429.23283044853986</c:v>
                </c:pt>
                <c:pt idx="10">
                  <c:v>220.97150207576996</c:v>
                </c:pt>
                <c:pt idx="11">
                  <c:v>176.94602449879943</c:v>
                </c:pt>
                <c:pt idx="12">
                  <c:v>263.58708391158035</c:v>
                </c:pt>
                <c:pt idx="13">
                  <c:v>36.965090347942919</c:v>
                </c:pt>
                <c:pt idx="14">
                  <c:v>205.94427993966715</c:v>
                </c:pt>
                <c:pt idx="15">
                  <c:v>235.23931021352575</c:v>
                </c:pt>
                <c:pt idx="16">
                  <c:v>195.12849864347677</c:v>
                </c:pt>
                <c:pt idx="17">
                  <c:v>681.97695877841613</c:v>
                </c:pt>
                <c:pt idx="18">
                  <c:v>348.92785255772304</c:v>
                </c:pt>
                <c:pt idx="19">
                  <c:v>964.07195539899681</c:v>
                </c:pt>
                <c:pt idx="20">
                  <c:v>229.48988404246077</c:v>
                </c:pt>
                <c:pt idx="21">
                  <c:v>1438.884216275259</c:v>
                </c:pt>
                <c:pt idx="22">
                  <c:v>205.88570936823143</c:v>
                </c:pt>
                <c:pt idx="23">
                  <c:v>404.18736033691874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0-4250-AFE3-7ABEC6892284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harvest'!$Y$103:$Y$126</c:f>
                <c:numCache>
                  <c:formatCode>General</c:formatCode>
                  <c:ptCount val="24"/>
                  <c:pt idx="0">
                    <c:v>31.617476406853889</c:v>
                  </c:pt>
                  <c:pt idx="1">
                    <c:v>22.56595350227586</c:v>
                  </c:pt>
                  <c:pt idx="2">
                    <c:v>82.996580439805115</c:v>
                  </c:pt>
                  <c:pt idx="3">
                    <c:v>61.730658008260775</c:v>
                  </c:pt>
                  <c:pt idx="4">
                    <c:v>53.057836400763811</c:v>
                  </c:pt>
                  <c:pt idx="5">
                    <c:v>199.03855213141594</c:v>
                  </c:pt>
                  <c:pt idx="6">
                    <c:v>149.5271049760496</c:v>
                  </c:pt>
                  <c:pt idx="7">
                    <c:v>261.96454359435188</c:v>
                  </c:pt>
                  <c:pt idx="8">
                    <c:v>314.52634698946196</c:v>
                  </c:pt>
                  <c:pt idx="9">
                    <c:v>800.42639200220253</c:v>
                  </c:pt>
                  <c:pt idx="10">
                    <c:v>432.41424294855278</c:v>
                  </c:pt>
                  <c:pt idx="11">
                    <c:v>302.55999048720901</c:v>
                  </c:pt>
                  <c:pt idx="12">
                    <c:v>481.56925940900572</c:v>
                  </c:pt>
                  <c:pt idx="13">
                    <c:v>198.22179386542027</c:v>
                  </c:pt>
                  <c:pt idx="14">
                    <c:v>402.50824495696759</c:v>
                  </c:pt>
                  <c:pt idx="15">
                    <c:v>455.94378458153915</c:v>
                  </c:pt>
                  <c:pt idx="16">
                    <c:v>419.06837666621874</c:v>
                  </c:pt>
                  <c:pt idx="17">
                    <c:v>903.43173299134014</c:v>
                  </c:pt>
                  <c:pt idx="18">
                    <c:v>552.99621515211879</c:v>
                  </c:pt>
                  <c:pt idx="19">
                    <c:v>1124.856870899893</c:v>
                  </c:pt>
                  <c:pt idx="20">
                    <c:v>475.61100482858814</c:v>
                  </c:pt>
                  <c:pt idx="21">
                    <c:v>2226.8900416991769</c:v>
                  </c:pt>
                  <c:pt idx="22">
                    <c:v>251.19442567632186</c:v>
                  </c:pt>
                  <c:pt idx="23">
                    <c:v>428.37226408977625</c:v>
                  </c:pt>
                </c:numCache>
              </c:numRef>
            </c:plus>
            <c:minus>
              <c:numRef>
                <c:f>'BRF harvest'!$Y$103:$Y$126</c:f>
                <c:numCache>
                  <c:formatCode>General</c:formatCode>
                  <c:ptCount val="24"/>
                  <c:pt idx="0">
                    <c:v>31.617476406853889</c:v>
                  </c:pt>
                  <c:pt idx="1">
                    <c:v>22.56595350227586</c:v>
                  </c:pt>
                  <c:pt idx="2">
                    <c:v>82.996580439805115</c:v>
                  </c:pt>
                  <c:pt idx="3">
                    <c:v>61.730658008260775</c:v>
                  </c:pt>
                  <c:pt idx="4">
                    <c:v>53.057836400763811</c:v>
                  </c:pt>
                  <c:pt idx="5">
                    <c:v>199.03855213141594</c:v>
                  </c:pt>
                  <c:pt idx="6">
                    <c:v>149.5271049760496</c:v>
                  </c:pt>
                  <c:pt idx="7">
                    <c:v>261.96454359435188</c:v>
                  </c:pt>
                  <c:pt idx="8">
                    <c:v>314.52634698946196</c:v>
                  </c:pt>
                  <c:pt idx="9">
                    <c:v>800.42639200220253</c:v>
                  </c:pt>
                  <c:pt idx="10">
                    <c:v>432.41424294855278</c:v>
                  </c:pt>
                  <c:pt idx="11">
                    <c:v>302.55999048720901</c:v>
                  </c:pt>
                  <c:pt idx="12">
                    <c:v>481.56925940900572</c:v>
                  </c:pt>
                  <c:pt idx="13">
                    <c:v>198.22179386542027</c:v>
                  </c:pt>
                  <c:pt idx="14">
                    <c:v>402.50824495696759</c:v>
                  </c:pt>
                  <c:pt idx="15">
                    <c:v>455.94378458153915</c:v>
                  </c:pt>
                  <c:pt idx="16">
                    <c:v>419.06837666621874</c:v>
                  </c:pt>
                  <c:pt idx="17">
                    <c:v>903.43173299134014</c:v>
                  </c:pt>
                  <c:pt idx="18">
                    <c:v>552.99621515211879</c:v>
                  </c:pt>
                  <c:pt idx="19">
                    <c:v>1124.856870899893</c:v>
                  </c:pt>
                  <c:pt idx="20">
                    <c:v>475.61100482858814</c:v>
                  </c:pt>
                  <c:pt idx="21">
                    <c:v>2226.8900416991769</c:v>
                  </c:pt>
                  <c:pt idx="22">
                    <c:v>251.19442567632186</c:v>
                  </c:pt>
                  <c:pt idx="23">
                    <c:v>428.37226408977625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harvest'!$V$103:$V$126</c:f>
              <c:numCache>
                <c:formatCode>_(* #,##0_);_(* \(#,##0\);_(* "-"??_);_(@_)</c:formatCode>
                <c:ptCount val="24"/>
                <c:pt idx="0">
                  <c:v>89.096673170685818</c:v>
                </c:pt>
                <c:pt idx="1">
                  <c:v>106.12871191893431</c:v>
                </c:pt>
                <c:pt idx="2">
                  <c:v>401.45477078136321</c:v>
                </c:pt>
                <c:pt idx="3">
                  <c:v>251.38188209076492</c:v>
                </c:pt>
                <c:pt idx="4">
                  <c:v>280.24767745357633</c:v>
                </c:pt>
                <c:pt idx="5">
                  <c:v>1010.6323546288824</c:v>
                </c:pt>
                <c:pt idx="6">
                  <c:v>711.72232213144957</c:v>
                </c:pt>
                <c:pt idx="7">
                  <c:v>1152.806035567588</c:v>
                </c:pt>
                <c:pt idx="8">
                  <c:v>1444.6238351492921</c:v>
                </c:pt>
                <c:pt idx="9">
                  <c:v>3548.2712909685397</c:v>
                </c:pt>
                <c:pt idx="10">
                  <c:v>2197.93303989177</c:v>
                </c:pt>
                <c:pt idx="11">
                  <c:v>2423.9460244987995</c:v>
                </c:pt>
                <c:pt idx="12">
                  <c:v>1830.6447757075803</c:v>
                </c:pt>
                <c:pt idx="13">
                  <c:v>1783.061243623943</c:v>
                </c:pt>
                <c:pt idx="14">
                  <c:v>3230.7519712596668</c:v>
                </c:pt>
                <c:pt idx="15">
                  <c:v>2196.1816172655258</c:v>
                </c:pt>
                <c:pt idx="16">
                  <c:v>3384.8400360634764</c:v>
                </c:pt>
                <c:pt idx="17">
                  <c:v>3164.9577271984163</c:v>
                </c:pt>
                <c:pt idx="18">
                  <c:v>3414.7740069257229</c:v>
                </c:pt>
                <c:pt idx="19">
                  <c:v>4542.8411858699965</c:v>
                </c:pt>
                <c:pt idx="20">
                  <c:v>3706.6052675224605</c:v>
                </c:pt>
                <c:pt idx="21">
                  <c:v>6681.8842145632589</c:v>
                </c:pt>
                <c:pt idx="22">
                  <c:v>1559.0395550802314</c:v>
                </c:pt>
                <c:pt idx="23">
                  <c:v>2946.5335133529184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40-4250-AFE3-7ABEC6892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</a:p>
        </c:rich>
      </c:tx>
      <c:layout>
        <c:manualLayout>
          <c:xMode val="edge"/>
          <c:yMode val="edge"/>
          <c:x val="0.46940785096473719"/>
          <c:y val="2.427919932171181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harvest'!$K$128:$K$151</c:f>
                <c:numCache>
                  <c:formatCode>General</c:formatCode>
                  <c:ptCount val="24"/>
                  <c:pt idx="0">
                    <c:v>243.110236879897</c:v>
                  </c:pt>
                  <c:pt idx="1">
                    <c:v>259.47367043792855</c:v>
                  </c:pt>
                  <c:pt idx="2">
                    <c:v>690.47569504688556</c:v>
                  </c:pt>
                  <c:pt idx="3">
                    <c:v>812.1501510027141</c:v>
                  </c:pt>
                  <c:pt idx="4">
                    <c:v>650.34919656852094</c:v>
                  </c:pt>
                  <c:pt idx="5">
                    <c:v>366.96053648018926</c:v>
                  </c:pt>
                  <c:pt idx="6">
                    <c:v>370.26295316124862</c:v>
                  </c:pt>
                  <c:pt idx="7">
                    <c:v>540.78028066060449</c:v>
                  </c:pt>
                  <c:pt idx="8">
                    <c:v>356.95733926716571</c:v>
                  </c:pt>
                  <c:pt idx="9">
                    <c:v>313.78054453631535</c:v>
                  </c:pt>
                  <c:pt idx="10">
                    <c:v>357.41021605326358</c:v>
                  </c:pt>
                  <c:pt idx="11">
                    <c:v>494.52981872341252</c:v>
                  </c:pt>
                  <c:pt idx="12">
                    <c:v>488.67476890665239</c:v>
                  </c:pt>
                  <c:pt idx="13">
                    <c:v>738.38644849199682</c:v>
                  </c:pt>
                  <c:pt idx="14">
                    <c:v>536.56126109080219</c:v>
                  </c:pt>
                  <c:pt idx="15">
                    <c:v>613.26298463121964</c:v>
                  </c:pt>
                  <c:pt idx="16">
                    <c:v>825.47725536640371</c:v>
                  </c:pt>
                  <c:pt idx="17">
                    <c:v>1429.446500624427</c:v>
                  </c:pt>
                  <c:pt idx="18">
                    <c:v>991.81894762587945</c:v>
                  </c:pt>
                  <c:pt idx="19">
                    <c:v>1104.7197670102846</c:v>
                  </c:pt>
                  <c:pt idx="20">
                    <c:v>1069.0399380850442</c:v>
                  </c:pt>
                  <c:pt idx="21">
                    <c:v>1482.490774692609</c:v>
                  </c:pt>
                  <c:pt idx="22">
                    <c:v>1243.4122406773042</c:v>
                  </c:pt>
                  <c:pt idx="23">
                    <c:v>1707.5565366389119</c:v>
                  </c:pt>
                </c:numCache>
              </c:numRef>
            </c:plus>
            <c:minus>
              <c:numRef>
                <c:f>'BRF harvest'!$K$128:$K$151</c:f>
                <c:numCache>
                  <c:formatCode>General</c:formatCode>
                  <c:ptCount val="24"/>
                  <c:pt idx="0">
                    <c:v>243.110236879897</c:v>
                  </c:pt>
                  <c:pt idx="1">
                    <c:v>259.47367043792855</c:v>
                  </c:pt>
                  <c:pt idx="2">
                    <c:v>690.47569504688556</c:v>
                  </c:pt>
                  <c:pt idx="3">
                    <c:v>812.1501510027141</c:v>
                  </c:pt>
                  <c:pt idx="4">
                    <c:v>650.34919656852094</c:v>
                  </c:pt>
                  <c:pt idx="5">
                    <c:v>366.96053648018926</c:v>
                  </c:pt>
                  <c:pt idx="6">
                    <c:v>370.26295316124862</c:v>
                  </c:pt>
                  <c:pt idx="7">
                    <c:v>540.78028066060449</c:v>
                  </c:pt>
                  <c:pt idx="8">
                    <c:v>356.95733926716571</c:v>
                  </c:pt>
                  <c:pt idx="9">
                    <c:v>313.78054453631535</c:v>
                  </c:pt>
                  <c:pt idx="10">
                    <c:v>357.41021605326358</c:v>
                  </c:pt>
                  <c:pt idx="11">
                    <c:v>494.52981872341252</c:v>
                  </c:pt>
                  <c:pt idx="12">
                    <c:v>488.67476890665239</c:v>
                  </c:pt>
                  <c:pt idx="13">
                    <c:v>738.38644849199682</c:v>
                  </c:pt>
                  <c:pt idx="14">
                    <c:v>536.56126109080219</c:v>
                  </c:pt>
                  <c:pt idx="15">
                    <c:v>613.26298463121964</c:v>
                  </c:pt>
                  <c:pt idx="16">
                    <c:v>825.47725536640371</c:v>
                  </c:pt>
                  <c:pt idx="17">
                    <c:v>1429.446500624427</c:v>
                  </c:pt>
                  <c:pt idx="18">
                    <c:v>991.81894762587945</c:v>
                  </c:pt>
                  <c:pt idx="19">
                    <c:v>1104.7197670102846</c:v>
                  </c:pt>
                  <c:pt idx="20">
                    <c:v>1069.0399380850442</c:v>
                  </c:pt>
                  <c:pt idx="21">
                    <c:v>1482.490774692609</c:v>
                  </c:pt>
                  <c:pt idx="22">
                    <c:v>1243.4122406773042</c:v>
                  </c:pt>
                  <c:pt idx="23">
                    <c:v>1707.5565366389119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harvest'!$H$128:$H$151</c:f>
              <c:numCache>
                <c:formatCode>0</c:formatCode>
                <c:ptCount val="24"/>
                <c:pt idx="0">
                  <c:v>3485.6182219319999</c:v>
                </c:pt>
                <c:pt idx="1">
                  <c:v>7583.3427122439998</c:v>
                </c:pt>
                <c:pt idx="2">
                  <c:v>9410.6119258689996</c:v>
                </c:pt>
                <c:pt idx="3">
                  <c:v>16801.507358424002</c:v>
                </c:pt>
                <c:pt idx="4">
                  <c:v>13357.027691199999</c:v>
                </c:pt>
                <c:pt idx="5">
                  <c:v>12118.000419440999</c:v>
                </c:pt>
                <c:pt idx="6">
                  <c:v>14383.504666711999</c:v>
                </c:pt>
                <c:pt idx="7">
                  <c:v>16990.06519062</c:v>
                </c:pt>
                <c:pt idx="8">
                  <c:v>14566.863208508999</c:v>
                </c:pt>
                <c:pt idx="9">
                  <c:v>19027.768522644001</c:v>
                </c:pt>
                <c:pt idx="10">
                  <c:v>19910.015153412998</c:v>
                </c:pt>
                <c:pt idx="11">
                  <c:v>15301.186547171999</c:v>
                </c:pt>
                <c:pt idx="12">
                  <c:v>17841.668367857998</c:v>
                </c:pt>
                <c:pt idx="13">
                  <c:v>19601.142219919002</c:v>
                </c:pt>
                <c:pt idx="14">
                  <c:v>19557.619899768</c:v>
                </c:pt>
                <c:pt idx="15">
                  <c:v>20617.935552915002</c:v>
                </c:pt>
                <c:pt idx="16">
                  <c:v>26922.135536576003</c:v>
                </c:pt>
                <c:pt idx="17">
                  <c:v>32947.552201536004</c:v>
                </c:pt>
                <c:pt idx="18">
                  <c:v>41905.929899092996</c:v>
                </c:pt>
                <c:pt idx="19">
                  <c:v>26754.165087925001</c:v>
                </c:pt>
                <c:pt idx="20">
                  <c:v>34531.875709954002</c:v>
                </c:pt>
                <c:pt idx="21">
                  <c:v>42942.112430121</c:v>
                </c:pt>
                <c:pt idx="22">
                  <c:v>30981.696105202554</c:v>
                </c:pt>
                <c:pt idx="23">
                  <c:v>65561.885345001036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3-4DFD-8833-0F2C984C7DE6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harvest'!$T$128:$T$151</c:f>
                <c:numCache>
                  <c:formatCode>General</c:formatCode>
                  <c:ptCount val="24"/>
                  <c:pt idx="0">
                    <c:v>952.35312561883825</c:v>
                  </c:pt>
                  <c:pt idx="1">
                    <c:v>1312.4977188336932</c:v>
                  </c:pt>
                  <c:pt idx="2">
                    <c:v>2330.2501999821716</c:v>
                  </c:pt>
                  <c:pt idx="3">
                    <c:v>3666.229780419892</c:v>
                  </c:pt>
                  <c:pt idx="4">
                    <c:v>3096.4157340735405</c:v>
                  </c:pt>
                  <c:pt idx="5">
                    <c:v>3210.1475755153915</c:v>
                  </c:pt>
                  <c:pt idx="6">
                    <c:v>3301.9327847578675</c:v>
                  </c:pt>
                  <c:pt idx="7">
                    <c:v>3574.0956897452866</c:v>
                  </c:pt>
                  <c:pt idx="8">
                    <c:v>2859.4701381082737</c:v>
                  </c:pt>
                  <c:pt idx="9">
                    <c:v>3943.521177162811</c:v>
                  </c:pt>
                  <c:pt idx="10">
                    <c:v>4232.7794923418287</c:v>
                  </c:pt>
                  <c:pt idx="11">
                    <c:v>3481.968410867963</c:v>
                  </c:pt>
                  <c:pt idx="12">
                    <c:v>4310.4371363556584</c:v>
                  </c:pt>
                  <c:pt idx="13">
                    <c:v>2980.414273450976</c:v>
                  </c:pt>
                  <c:pt idx="14">
                    <c:v>2011.3432103613</c:v>
                  </c:pt>
                  <c:pt idx="15">
                    <c:v>3120.182397039745</c:v>
                  </c:pt>
                  <c:pt idx="16">
                    <c:v>3553.8804274866761</c:v>
                  </c:pt>
                  <c:pt idx="17">
                    <c:v>3935.6395466915787</c:v>
                  </c:pt>
                  <c:pt idx="18">
                    <c:v>3178.5786315347732</c:v>
                  </c:pt>
                  <c:pt idx="19">
                    <c:v>2753.7936317074364</c:v>
                  </c:pt>
                  <c:pt idx="20">
                    <c:v>2839.1422383885483</c:v>
                  </c:pt>
                  <c:pt idx="21">
                    <c:v>4151.5242539565152</c:v>
                  </c:pt>
                  <c:pt idx="22">
                    <c:v>2236.6396754184561</c:v>
                  </c:pt>
                  <c:pt idx="23">
                    <c:v>4598.5656423264927</c:v>
                  </c:pt>
                </c:numCache>
              </c:numRef>
            </c:plus>
            <c:minus>
              <c:numRef>
                <c:f>'BRF harvest'!$T$128:$T$151</c:f>
                <c:numCache>
                  <c:formatCode>General</c:formatCode>
                  <c:ptCount val="24"/>
                  <c:pt idx="0">
                    <c:v>952.35312561883825</c:v>
                  </c:pt>
                  <c:pt idx="1">
                    <c:v>1312.4977188336932</c:v>
                  </c:pt>
                  <c:pt idx="2">
                    <c:v>2330.2501999821716</c:v>
                  </c:pt>
                  <c:pt idx="3">
                    <c:v>3666.229780419892</c:v>
                  </c:pt>
                  <c:pt idx="4">
                    <c:v>3096.4157340735405</c:v>
                  </c:pt>
                  <c:pt idx="5">
                    <c:v>3210.1475755153915</c:v>
                  </c:pt>
                  <c:pt idx="6">
                    <c:v>3301.9327847578675</c:v>
                  </c:pt>
                  <c:pt idx="7">
                    <c:v>3574.0956897452866</c:v>
                  </c:pt>
                  <c:pt idx="8">
                    <c:v>2859.4701381082737</c:v>
                  </c:pt>
                  <c:pt idx="9">
                    <c:v>3943.521177162811</c:v>
                  </c:pt>
                  <c:pt idx="10">
                    <c:v>4232.7794923418287</c:v>
                  </c:pt>
                  <c:pt idx="11">
                    <c:v>3481.968410867963</c:v>
                  </c:pt>
                  <c:pt idx="12">
                    <c:v>4310.4371363556584</c:v>
                  </c:pt>
                  <c:pt idx="13">
                    <c:v>2980.414273450976</c:v>
                  </c:pt>
                  <c:pt idx="14">
                    <c:v>2011.3432103613</c:v>
                  </c:pt>
                  <c:pt idx="15">
                    <c:v>3120.182397039745</c:v>
                  </c:pt>
                  <c:pt idx="16">
                    <c:v>3553.8804274866761</c:v>
                  </c:pt>
                  <c:pt idx="17">
                    <c:v>3935.6395466915787</c:v>
                  </c:pt>
                  <c:pt idx="18">
                    <c:v>3178.5786315347732</c:v>
                  </c:pt>
                  <c:pt idx="19">
                    <c:v>2753.7936317074364</c:v>
                  </c:pt>
                  <c:pt idx="20">
                    <c:v>2839.1422383885483</c:v>
                  </c:pt>
                  <c:pt idx="21">
                    <c:v>4151.5242539565152</c:v>
                  </c:pt>
                  <c:pt idx="22">
                    <c:v>2236.6396754184561</c:v>
                  </c:pt>
                  <c:pt idx="23">
                    <c:v>4598.5656423264927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harvest'!$Q$128:$Q$151</c:f>
              <c:numCache>
                <c:formatCode>_(* #,##0_);_(* \(#,##0\);_(* "-"??_);_(@_)</c:formatCode>
                <c:ptCount val="24"/>
                <c:pt idx="0">
                  <c:v>1981.0473043795562</c:v>
                </c:pt>
                <c:pt idx="1">
                  <c:v>2659.5181967492572</c:v>
                </c:pt>
                <c:pt idx="2">
                  <c:v>4813.6845159896211</c:v>
                </c:pt>
                <c:pt idx="3">
                  <c:v>7598.6303959455945</c:v>
                </c:pt>
                <c:pt idx="4">
                  <c:v>6475.9017059231392</c:v>
                </c:pt>
                <c:pt idx="5">
                  <c:v>6734.3636832951806</c:v>
                </c:pt>
                <c:pt idx="6">
                  <c:v>6922.7041194414751</c:v>
                </c:pt>
                <c:pt idx="7">
                  <c:v>7410.3711157451717</c:v>
                </c:pt>
                <c:pt idx="8">
                  <c:v>5928.4759973613318</c:v>
                </c:pt>
                <c:pt idx="9">
                  <c:v>8207.0226160400271</c:v>
                </c:pt>
                <c:pt idx="10">
                  <c:v>8785.4383059511892</c:v>
                </c:pt>
                <c:pt idx="11">
                  <c:v>7300.7580177191667</c:v>
                </c:pt>
                <c:pt idx="12">
                  <c:v>9037.5604403249472</c:v>
                </c:pt>
                <c:pt idx="13">
                  <c:v>10809.376660873779</c:v>
                </c:pt>
                <c:pt idx="14">
                  <c:v>8223.3949138138832</c:v>
                </c:pt>
                <c:pt idx="15">
                  <c:v>13465.211621808796</c:v>
                </c:pt>
                <c:pt idx="16">
                  <c:v>14728.939853168304</c:v>
                </c:pt>
                <c:pt idx="17">
                  <c:v>17494.121992733071</c:v>
                </c:pt>
                <c:pt idx="18">
                  <c:v>13138.078218255876</c:v>
                </c:pt>
                <c:pt idx="19">
                  <c:v>10244.696256089434</c:v>
                </c:pt>
                <c:pt idx="20">
                  <c:v>10538.925671468149</c:v>
                </c:pt>
                <c:pt idx="21">
                  <c:v>15612.504713816004</c:v>
                </c:pt>
                <c:pt idx="22">
                  <c:v>7775.8166285195612</c:v>
                </c:pt>
                <c:pt idx="23">
                  <c:v>16027.917062129292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3-4DFD-8833-0F2C984C7DE6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harvest'!$Y$128:$Y$151</c:f>
                <c:numCache>
                  <c:formatCode>General</c:formatCode>
                  <c:ptCount val="24"/>
                  <c:pt idx="0">
                    <c:v>982.89321045155782</c:v>
                  </c:pt>
                  <c:pt idx="1">
                    <c:v>1337.9001635376903</c:v>
                  </c:pt>
                  <c:pt idx="2">
                    <c:v>2430.3955809636072</c:v>
                  </c:pt>
                  <c:pt idx="3">
                    <c:v>3755.1070118721541</c:v>
                  </c:pt>
                  <c:pt idx="4">
                    <c:v>3163.9760548549521</c:v>
                  </c:pt>
                  <c:pt idx="5">
                    <c:v>3231.0536194747951</c:v>
                  </c:pt>
                  <c:pt idx="6">
                    <c:v>3322.6276904797105</c:v>
                  </c:pt>
                  <c:pt idx="7">
                    <c:v>3614.7756930973187</c:v>
                  </c:pt>
                  <c:pt idx="8">
                    <c:v>2881.6641047821035</c:v>
                  </c:pt>
                  <c:pt idx="9">
                    <c:v>3955.9850233362954</c:v>
                  </c:pt>
                  <c:pt idx="10">
                    <c:v>4247.8423103181212</c:v>
                  </c:pt>
                  <c:pt idx="11">
                    <c:v>3516.9111100351943</c:v>
                  </c:pt>
                  <c:pt idx="12">
                    <c:v>4338.0492547042313</c:v>
                  </c:pt>
                  <c:pt idx="13">
                    <c:v>3070.5184885792387</c:v>
                  </c:pt>
                  <c:pt idx="14">
                    <c:v>2081.681891348881</c:v>
                  </c:pt>
                  <c:pt idx="15">
                    <c:v>3179.8788780573827</c:v>
                  </c:pt>
                  <c:pt idx="16">
                    <c:v>3648.4899331093311</c:v>
                  </c:pt>
                  <c:pt idx="17">
                    <c:v>4187.1918919044201</c:v>
                  </c:pt>
                  <c:pt idx="18">
                    <c:v>3329.7247546485246</c:v>
                  </c:pt>
                  <c:pt idx="19">
                    <c:v>2967.1173097226356</c:v>
                  </c:pt>
                  <c:pt idx="20">
                    <c:v>3033.7394481106662</c:v>
                  </c:pt>
                  <c:pt idx="21">
                    <c:v>4408.2799965789254</c:v>
                  </c:pt>
                  <c:pt idx="22">
                    <c:v>2559.0293155652066</c:v>
                  </c:pt>
                  <c:pt idx="23">
                    <c:v>4905.3598535279698</c:v>
                  </c:pt>
                </c:numCache>
              </c:numRef>
            </c:plus>
            <c:minus>
              <c:numRef>
                <c:f>'BRF harvest'!$Y$128:$Y$151</c:f>
                <c:numCache>
                  <c:formatCode>General</c:formatCode>
                  <c:ptCount val="24"/>
                  <c:pt idx="0">
                    <c:v>982.89321045155782</c:v>
                  </c:pt>
                  <c:pt idx="1">
                    <c:v>1337.9001635376903</c:v>
                  </c:pt>
                  <c:pt idx="2">
                    <c:v>2430.3955809636072</c:v>
                  </c:pt>
                  <c:pt idx="3">
                    <c:v>3755.1070118721541</c:v>
                  </c:pt>
                  <c:pt idx="4">
                    <c:v>3163.9760548549521</c:v>
                  </c:pt>
                  <c:pt idx="5">
                    <c:v>3231.0536194747951</c:v>
                  </c:pt>
                  <c:pt idx="6">
                    <c:v>3322.6276904797105</c:v>
                  </c:pt>
                  <c:pt idx="7">
                    <c:v>3614.7756930973187</c:v>
                  </c:pt>
                  <c:pt idx="8">
                    <c:v>2881.6641047821035</c:v>
                  </c:pt>
                  <c:pt idx="9">
                    <c:v>3955.9850233362954</c:v>
                  </c:pt>
                  <c:pt idx="10">
                    <c:v>4247.8423103181212</c:v>
                  </c:pt>
                  <c:pt idx="11">
                    <c:v>3516.9111100351943</c:v>
                  </c:pt>
                  <c:pt idx="12">
                    <c:v>4338.0492547042313</c:v>
                  </c:pt>
                  <c:pt idx="13">
                    <c:v>3070.5184885792387</c:v>
                  </c:pt>
                  <c:pt idx="14">
                    <c:v>2081.681891348881</c:v>
                  </c:pt>
                  <c:pt idx="15">
                    <c:v>3179.8788780573827</c:v>
                  </c:pt>
                  <c:pt idx="16">
                    <c:v>3648.4899331093311</c:v>
                  </c:pt>
                  <c:pt idx="17">
                    <c:v>4187.1918919044201</c:v>
                  </c:pt>
                  <c:pt idx="18">
                    <c:v>3329.7247546485246</c:v>
                  </c:pt>
                  <c:pt idx="19">
                    <c:v>2967.1173097226356</c:v>
                  </c:pt>
                  <c:pt idx="20">
                    <c:v>3033.7394481106662</c:v>
                  </c:pt>
                  <c:pt idx="21">
                    <c:v>4408.2799965789254</c:v>
                  </c:pt>
                  <c:pt idx="22">
                    <c:v>2559.0293155652066</c:v>
                  </c:pt>
                  <c:pt idx="23">
                    <c:v>4905.3598535279698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harvest'!$V$128:$V$151</c:f>
              <c:numCache>
                <c:formatCode>_(* #,##0_);_(* \(#,##0\);_(* "-"??_);_(@_)</c:formatCode>
                <c:ptCount val="24"/>
                <c:pt idx="0">
                  <c:v>5466.6655263115563</c:v>
                </c:pt>
                <c:pt idx="1">
                  <c:v>10242.860908993258</c:v>
                </c:pt>
                <c:pt idx="2">
                  <c:v>14224.29644185862</c:v>
                </c:pt>
                <c:pt idx="3">
                  <c:v>24400.137754369596</c:v>
                </c:pt>
                <c:pt idx="4">
                  <c:v>19832.929397123138</c:v>
                </c:pt>
                <c:pt idx="5">
                  <c:v>18852.364102736181</c:v>
                </c:pt>
                <c:pt idx="6">
                  <c:v>21306.208786153475</c:v>
                </c:pt>
                <c:pt idx="7">
                  <c:v>24400.436306365173</c:v>
                </c:pt>
                <c:pt idx="8">
                  <c:v>20495.339205870332</c:v>
                </c:pt>
                <c:pt idx="9">
                  <c:v>27234.791138684028</c:v>
                </c:pt>
                <c:pt idx="10">
                  <c:v>28695.453459364187</c:v>
                </c:pt>
                <c:pt idx="11">
                  <c:v>22601.944564891164</c:v>
                </c:pt>
                <c:pt idx="12">
                  <c:v>26879.228808182947</c:v>
                </c:pt>
                <c:pt idx="13">
                  <c:v>30410.518880792781</c:v>
                </c:pt>
                <c:pt idx="14">
                  <c:v>27781.014813581882</c:v>
                </c:pt>
                <c:pt idx="15">
                  <c:v>34083.147174723796</c:v>
                </c:pt>
                <c:pt idx="16">
                  <c:v>41651.075389744306</c:v>
                </c:pt>
                <c:pt idx="17">
                  <c:v>50441.674194269071</c:v>
                </c:pt>
                <c:pt idx="18">
                  <c:v>55044.008117348872</c:v>
                </c:pt>
                <c:pt idx="19">
                  <c:v>36998.861344014433</c:v>
                </c:pt>
                <c:pt idx="20">
                  <c:v>45070.801381422149</c:v>
                </c:pt>
                <c:pt idx="21">
                  <c:v>58554.617143937008</c:v>
                </c:pt>
                <c:pt idx="22">
                  <c:v>38757.512733722113</c:v>
                </c:pt>
                <c:pt idx="23">
                  <c:v>81589.802407130323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33-4DFD-8833-0F2C984C7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6940785096473719"/>
          <c:y val="2.427919932171181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harvest'!$K$153:$K$176</c:f>
                <c:numCache>
                  <c:formatCode>General</c:formatCode>
                  <c:ptCount val="24"/>
                  <c:pt idx="0">
                    <c:v>77.565275917888556</c:v>
                  </c:pt>
                  <c:pt idx="1">
                    <c:v>106.91665496739159</c:v>
                  </c:pt>
                  <c:pt idx="2">
                    <c:v>103.16604795310461</c:v>
                  </c:pt>
                  <c:pt idx="3">
                    <c:v>101.44598358710321</c:v>
                  </c:pt>
                  <c:pt idx="4">
                    <c:v>176.40000819907181</c:v>
                  </c:pt>
                  <c:pt idx="5">
                    <c:v>177.27958261726934</c:v>
                  </c:pt>
                  <c:pt idx="6">
                    <c:v>201.4873274896263</c:v>
                  </c:pt>
                  <c:pt idx="7">
                    <c:v>195.41627117937492</c:v>
                  </c:pt>
                  <c:pt idx="8">
                    <c:v>222.96015079561522</c:v>
                  </c:pt>
                  <c:pt idx="9">
                    <c:v>501.04882720702909</c:v>
                  </c:pt>
                  <c:pt idx="10">
                    <c:v>386.7689517151548</c:v>
                  </c:pt>
                  <c:pt idx="11">
                    <c:v>624.03998749170216</c:v>
                  </c:pt>
                  <c:pt idx="12">
                    <c:v>662.39611568169414</c:v>
                  </c:pt>
                  <c:pt idx="13">
                    <c:v>381.44688642834228</c:v>
                  </c:pt>
                  <c:pt idx="14">
                    <c:v>442.47409985946956</c:v>
                  </c:pt>
                  <c:pt idx="15">
                    <c:v>429.03998974292523</c:v>
                  </c:pt>
                  <c:pt idx="16">
                    <c:v>450.0597790597817</c:v>
                  </c:pt>
                  <c:pt idx="17">
                    <c:v>1050.2945098008852</c:v>
                  </c:pt>
                  <c:pt idx="18">
                    <c:v>701.69172350670829</c:v>
                  </c:pt>
                  <c:pt idx="19">
                    <c:v>398.77239604835273</c:v>
                  </c:pt>
                  <c:pt idx="20">
                    <c:v>379.8409317057928</c:v>
                  </c:pt>
                  <c:pt idx="21">
                    <c:v>510.72578012192258</c:v>
                  </c:pt>
                  <c:pt idx="22">
                    <c:v>419.18809355781292</c:v>
                  </c:pt>
                  <c:pt idx="23">
                    <c:v>292.44591388223671</c:v>
                  </c:pt>
                </c:numCache>
              </c:numRef>
            </c:plus>
            <c:minus>
              <c:numRef>
                <c:f>'BRF harvest'!$K$153:$K$176</c:f>
                <c:numCache>
                  <c:formatCode>General</c:formatCode>
                  <c:ptCount val="24"/>
                  <c:pt idx="0">
                    <c:v>77.565275917888556</c:v>
                  </c:pt>
                  <c:pt idx="1">
                    <c:v>106.91665496739159</c:v>
                  </c:pt>
                  <c:pt idx="2">
                    <c:v>103.16604795310461</c:v>
                  </c:pt>
                  <c:pt idx="3">
                    <c:v>101.44598358710321</c:v>
                  </c:pt>
                  <c:pt idx="4">
                    <c:v>176.40000819907181</c:v>
                  </c:pt>
                  <c:pt idx="5">
                    <c:v>177.27958261726934</c:v>
                  </c:pt>
                  <c:pt idx="6">
                    <c:v>201.4873274896263</c:v>
                  </c:pt>
                  <c:pt idx="7">
                    <c:v>195.41627117937492</c:v>
                  </c:pt>
                  <c:pt idx="8">
                    <c:v>222.96015079561522</c:v>
                  </c:pt>
                  <c:pt idx="9">
                    <c:v>501.04882720702909</c:v>
                  </c:pt>
                  <c:pt idx="10">
                    <c:v>386.7689517151548</c:v>
                  </c:pt>
                  <c:pt idx="11">
                    <c:v>624.03998749170216</c:v>
                  </c:pt>
                  <c:pt idx="12">
                    <c:v>662.39611568169414</c:v>
                  </c:pt>
                  <c:pt idx="13">
                    <c:v>381.44688642834228</c:v>
                  </c:pt>
                  <c:pt idx="14">
                    <c:v>442.47409985946956</c:v>
                  </c:pt>
                  <c:pt idx="15">
                    <c:v>429.03998974292523</c:v>
                  </c:pt>
                  <c:pt idx="16">
                    <c:v>450.0597790597817</c:v>
                  </c:pt>
                  <c:pt idx="17">
                    <c:v>1050.2945098008852</c:v>
                  </c:pt>
                  <c:pt idx="18">
                    <c:v>701.69172350670829</c:v>
                  </c:pt>
                  <c:pt idx="19">
                    <c:v>398.77239604835273</c:v>
                  </c:pt>
                  <c:pt idx="20">
                    <c:v>379.8409317057928</c:v>
                  </c:pt>
                  <c:pt idx="21">
                    <c:v>510.72578012192258</c:v>
                  </c:pt>
                  <c:pt idx="22">
                    <c:v>419.18809355781292</c:v>
                  </c:pt>
                  <c:pt idx="23">
                    <c:v>292.44591388223671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harvest'!$H$153:$H$176</c:f>
              <c:numCache>
                <c:formatCode>0</c:formatCode>
                <c:ptCount val="24"/>
                <c:pt idx="0">
                  <c:v>785.628865647</c:v>
                </c:pt>
                <c:pt idx="1">
                  <c:v>1479.8857139639999</c:v>
                </c:pt>
                <c:pt idx="2">
                  <c:v>1700.44117669</c:v>
                </c:pt>
                <c:pt idx="3">
                  <c:v>1762.8196718879999</c:v>
                </c:pt>
                <c:pt idx="4">
                  <c:v>1799.9999990639999</c:v>
                </c:pt>
                <c:pt idx="5">
                  <c:v>2126.9891300039999</c:v>
                </c:pt>
                <c:pt idx="6">
                  <c:v>2379.666667768</c:v>
                </c:pt>
                <c:pt idx="7">
                  <c:v>4034.2436964250001</c:v>
                </c:pt>
                <c:pt idx="8">
                  <c:v>3047.7053586510001</c:v>
                </c:pt>
                <c:pt idx="9">
                  <c:v>2885.4177235800003</c:v>
                </c:pt>
                <c:pt idx="10">
                  <c:v>4839.0944908619995</c:v>
                </c:pt>
                <c:pt idx="11">
                  <c:v>4480.708332657</c:v>
                </c:pt>
                <c:pt idx="12">
                  <c:v>3591.1515127800003</c:v>
                </c:pt>
                <c:pt idx="13">
                  <c:v>5700.7898578510003</c:v>
                </c:pt>
                <c:pt idx="14">
                  <c:v>4725.5664320349997</c:v>
                </c:pt>
                <c:pt idx="15">
                  <c:v>5034.9292049430005</c:v>
                </c:pt>
                <c:pt idx="16">
                  <c:v>8442.7272733999998</c:v>
                </c:pt>
                <c:pt idx="17">
                  <c:v>8247.8446576740007</c:v>
                </c:pt>
                <c:pt idx="18">
                  <c:v>7011.4486037400002</c:v>
                </c:pt>
                <c:pt idx="19">
                  <c:v>4038.5857718360003</c:v>
                </c:pt>
                <c:pt idx="20">
                  <c:v>6128.3783804129998</c:v>
                </c:pt>
                <c:pt idx="21">
                  <c:v>7487.1520726879999</c:v>
                </c:pt>
                <c:pt idx="22">
                  <c:v>3108.9864854689999</c:v>
                </c:pt>
                <c:pt idx="23">
                  <c:v>8062.2252261419999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C5C-BC14-4EF15CC04395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harvest'!$T$153:$T$176</c:f>
                <c:numCache>
                  <c:formatCode>General</c:formatCode>
                  <c:ptCount val="24"/>
                  <c:pt idx="0">
                    <c:v>597.97138010664321</c:v>
                  </c:pt>
                  <c:pt idx="1">
                    <c:v>640.06487696810711</c:v>
                  </c:pt>
                  <c:pt idx="2">
                    <c:v>756.4466038529863</c:v>
                  </c:pt>
                  <c:pt idx="3">
                    <c:v>824.22172726681276</c:v>
                  </c:pt>
                  <c:pt idx="4">
                    <c:v>669.6926512054938</c:v>
                  </c:pt>
                  <c:pt idx="5">
                    <c:v>967.56920416824312</c:v>
                  </c:pt>
                  <c:pt idx="6">
                    <c:v>1238.4934628387405</c:v>
                  </c:pt>
                  <c:pt idx="7">
                    <c:v>1829.2411657995406</c:v>
                  </c:pt>
                  <c:pt idx="8">
                    <c:v>1422.9238981273229</c:v>
                  </c:pt>
                  <c:pt idx="9">
                    <c:v>2180.2627400888491</c:v>
                  </c:pt>
                  <c:pt idx="10">
                    <c:v>2135.5079297350635</c:v>
                  </c:pt>
                  <c:pt idx="11">
                    <c:v>1804.0654047361932</c:v>
                  </c:pt>
                  <c:pt idx="12">
                    <c:v>3080.1857925176673</c:v>
                  </c:pt>
                  <c:pt idx="13">
                    <c:v>2152.0417172496682</c:v>
                  </c:pt>
                  <c:pt idx="14">
                    <c:v>2107.529968742414</c:v>
                  </c:pt>
                  <c:pt idx="15">
                    <c:v>2931.7092178058952</c:v>
                  </c:pt>
                  <c:pt idx="16">
                    <c:v>1989.8527191671797</c:v>
                  </c:pt>
                  <c:pt idx="17">
                    <c:v>4586.8068518825276</c:v>
                  </c:pt>
                  <c:pt idx="18">
                    <c:v>7796.690986225989</c:v>
                  </c:pt>
                  <c:pt idx="19">
                    <c:v>1433.2538536852937</c:v>
                  </c:pt>
                  <c:pt idx="20">
                    <c:v>3698.5003855682958</c:v>
                  </c:pt>
                  <c:pt idx="21">
                    <c:v>3504.6486342439352</c:v>
                  </c:pt>
                  <c:pt idx="22">
                    <c:v>2350.8522086366074</c:v>
                  </c:pt>
                  <c:pt idx="23">
                    <c:v>2886.5670807914285</c:v>
                  </c:pt>
                </c:numCache>
              </c:numRef>
            </c:plus>
            <c:minus>
              <c:numRef>
                <c:f>'BRF harvest'!$T$153:$T$176</c:f>
                <c:numCache>
                  <c:formatCode>General</c:formatCode>
                  <c:ptCount val="24"/>
                  <c:pt idx="0">
                    <c:v>597.97138010664321</c:v>
                  </c:pt>
                  <c:pt idx="1">
                    <c:v>640.06487696810711</c:v>
                  </c:pt>
                  <c:pt idx="2">
                    <c:v>756.4466038529863</c:v>
                  </c:pt>
                  <c:pt idx="3">
                    <c:v>824.22172726681276</c:v>
                  </c:pt>
                  <c:pt idx="4">
                    <c:v>669.6926512054938</c:v>
                  </c:pt>
                  <c:pt idx="5">
                    <c:v>967.56920416824312</c:v>
                  </c:pt>
                  <c:pt idx="6">
                    <c:v>1238.4934628387405</c:v>
                  </c:pt>
                  <c:pt idx="7">
                    <c:v>1829.2411657995406</c:v>
                  </c:pt>
                  <c:pt idx="8">
                    <c:v>1422.9238981273229</c:v>
                  </c:pt>
                  <c:pt idx="9">
                    <c:v>2180.2627400888491</c:v>
                  </c:pt>
                  <c:pt idx="10">
                    <c:v>2135.5079297350635</c:v>
                  </c:pt>
                  <c:pt idx="11">
                    <c:v>1804.0654047361932</c:v>
                  </c:pt>
                  <c:pt idx="12">
                    <c:v>3080.1857925176673</c:v>
                  </c:pt>
                  <c:pt idx="13">
                    <c:v>2152.0417172496682</c:v>
                  </c:pt>
                  <c:pt idx="14">
                    <c:v>2107.529968742414</c:v>
                  </c:pt>
                  <c:pt idx="15">
                    <c:v>2931.7092178058952</c:v>
                  </c:pt>
                  <c:pt idx="16">
                    <c:v>1989.8527191671797</c:v>
                  </c:pt>
                  <c:pt idx="17">
                    <c:v>4586.8068518825276</c:v>
                  </c:pt>
                  <c:pt idx="18">
                    <c:v>7796.690986225989</c:v>
                  </c:pt>
                  <c:pt idx="19">
                    <c:v>1433.2538536852937</c:v>
                  </c:pt>
                  <c:pt idx="20">
                    <c:v>3698.5003855682958</c:v>
                  </c:pt>
                  <c:pt idx="21">
                    <c:v>3504.6486342439352</c:v>
                  </c:pt>
                  <c:pt idx="22">
                    <c:v>2350.8522086366074</c:v>
                  </c:pt>
                  <c:pt idx="23">
                    <c:v>2886.5670807914285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harvest'!$Q$153:$Q$176</c:f>
              <c:numCache>
                <c:formatCode>_(* #,##0_);_(* \(#,##0\);_(* "-"??_);_(@_)</c:formatCode>
                <c:ptCount val="24"/>
                <c:pt idx="0">
                  <c:v>965.62625611647206</c:v>
                </c:pt>
                <c:pt idx="1">
                  <c:v>1036.0752076677722</c:v>
                </c:pt>
                <c:pt idx="2">
                  <c:v>1224.7040214075948</c:v>
                </c:pt>
                <c:pt idx="3">
                  <c:v>1329.2060663828643</c:v>
                </c:pt>
                <c:pt idx="4">
                  <c:v>1071.7494453700324</c:v>
                </c:pt>
                <c:pt idx="5">
                  <c:v>1564.9200303127902</c:v>
                </c:pt>
                <c:pt idx="6">
                  <c:v>1998.1177757853307</c:v>
                </c:pt>
                <c:pt idx="7">
                  <c:v>2970.2003054822426</c:v>
                </c:pt>
                <c:pt idx="8">
                  <c:v>2295.1519423730583</c:v>
                </c:pt>
                <c:pt idx="9">
                  <c:v>3537.0871450288823</c:v>
                </c:pt>
                <c:pt idx="10">
                  <c:v>3379.8995576951152</c:v>
                </c:pt>
                <c:pt idx="11">
                  <c:v>2771.6176195339171</c:v>
                </c:pt>
                <c:pt idx="12">
                  <c:v>4742.4647822061943</c:v>
                </c:pt>
                <c:pt idx="13">
                  <c:v>4310.2346399986181</c:v>
                </c:pt>
                <c:pt idx="14">
                  <c:v>3679.6512672151289</c:v>
                </c:pt>
                <c:pt idx="15">
                  <c:v>5768.1930901057713</c:v>
                </c:pt>
                <c:pt idx="16">
                  <c:v>4208.5613123902995</c:v>
                </c:pt>
                <c:pt idx="17">
                  <c:v>7883.8439937112516</c:v>
                </c:pt>
                <c:pt idx="18">
                  <c:v>11804.208772993012</c:v>
                </c:pt>
                <c:pt idx="19">
                  <c:v>2676.3527394507523</c:v>
                </c:pt>
                <c:pt idx="20">
                  <c:v>6598.0160907466861</c:v>
                </c:pt>
                <c:pt idx="21">
                  <c:v>8114.1323068440033</c:v>
                </c:pt>
                <c:pt idx="22">
                  <c:v>3918.7558098723694</c:v>
                </c:pt>
                <c:pt idx="23">
                  <c:v>6210.1113950029849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E-4C5C-BC14-4EF15CC04395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harvest'!$Y$153:$Y$176</c:f>
                <c:numCache>
                  <c:formatCode>General</c:formatCode>
                  <c:ptCount val="24"/>
                  <c:pt idx="0">
                    <c:v>602.98104734300045</c:v>
                  </c:pt>
                  <c:pt idx="1">
                    <c:v>648.93313818729769</c:v>
                  </c:pt>
                  <c:pt idx="2">
                    <c:v>763.44921110115695</c:v>
                  </c:pt>
                  <c:pt idx="3">
                    <c:v>830.44129430360294</c:v>
                  </c:pt>
                  <c:pt idx="4">
                    <c:v>692.53534925754934</c:v>
                  </c:pt>
                  <c:pt idx="5">
                    <c:v>983.67586900753054</c:v>
                  </c:pt>
                  <c:pt idx="6">
                    <c:v>1254.7761555884008</c:v>
                  </c:pt>
                  <c:pt idx="7">
                    <c:v>1839.6496301462714</c:v>
                  </c:pt>
                  <c:pt idx="8">
                    <c:v>1440.2859607399703</c:v>
                  </c:pt>
                  <c:pt idx="9">
                    <c:v>2237.0953361592074</c:v>
                  </c:pt>
                  <c:pt idx="10">
                    <c:v>2170.2498335381056</c:v>
                  </c:pt>
                  <c:pt idx="11">
                    <c:v>1908.9468013945827</c:v>
                  </c:pt>
                  <c:pt idx="12">
                    <c:v>3150.605200671434</c:v>
                  </c:pt>
                  <c:pt idx="13">
                    <c:v>2185.5857978923586</c:v>
                  </c:pt>
                  <c:pt idx="14">
                    <c:v>2153.477628904895</c:v>
                  </c:pt>
                  <c:pt idx="15">
                    <c:v>2962.9367611487532</c:v>
                  </c:pt>
                  <c:pt idx="16">
                    <c:v>2040.1146165606378</c:v>
                  </c:pt>
                  <c:pt idx="17">
                    <c:v>4705.5197007125989</c:v>
                  </c:pt>
                  <c:pt idx="18">
                    <c:v>7828.2029616978771</c:v>
                  </c:pt>
                  <c:pt idx="19">
                    <c:v>1487.6948722617449</c:v>
                  </c:pt>
                  <c:pt idx="20">
                    <c:v>3717.9543078752267</c:v>
                  </c:pt>
                  <c:pt idx="21">
                    <c:v>3541.6666799670784</c:v>
                  </c:pt>
                  <c:pt idx="22">
                    <c:v>2387.9331574883431</c:v>
                  </c:pt>
                  <c:pt idx="23">
                    <c:v>2901.3435033541218</c:v>
                  </c:pt>
                </c:numCache>
              </c:numRef>
            </c:plus>
            <c:minus>
              <c:numRef>
                <c:f>'BRF harvest'!$Y$153:$Y$176</c:f>
                <c:numCache>
                  <c:formatCode>General</c:formatCode>
                  <c:ptCount val="24"/>
                  <c:pt idx="0">
                    <c:v>602.98104734300045</c:v>
                  </c:pt>
                  <c:pt idx="1">
                    <c:v>648.93313818729769</c:v>
                  </c:pt>
                  <c:pt idx="2">
                    <c:v>763.44921110115695</c:v>
                  </c:pt>
                  <c:pt idx="3">
                    <c:v>830.44129430360294</c:v>
                  </c:pt>
                  <c:pt idx="4">
                    <c:v>692.53534925754934</c:v>
                  </c:pt>
                  <c:pt idx="5">
                    <c:v>983.67586900753054</c:v>
                  </c:pt>
                  <c:pt idx="6">
                    <c:v>1254.7761555884008</c:v>
                  </c:pt>
                  <c:pt idx="7">
                    <c:v>1839.6496301462714</c:v>
                  </c:pt>
                  <c:pt idx="8">
                    <c:v>1440.2859607399703</c:v>
                  </c:pt>
                  <c:pt idx="9">
                    <c:v>2237.0953361592074</c:v>
                  </c:pt>
                  <c:pt idx="10">
                    <c:v>2170.2498335381056</c:v>
                  </c:pt>
                  <c:pt idx="11">
                    <c:v>1908.9468013945827</c:v>
                  </c:pt>
                  <c:pt idx="12">
                    <c:v>3150.605200671434</c:v>
                  </c:pt>
                  <c:pt idx="13">
                    <c:v>2185.5857978923586</c:v>
                  </c:pt>
                  <c:pt idx="14">
                    <c:v>2153.477628904895</c:v>
                  </c:pt>
                  <c:pt idx="15">
                    <c:v>2962.9367611487532</c:v>
                  </c:pt>
                  <c:pt idx="16">
                    <c:v>2040.1146165606378</c:v>
                  </c:pt>
                  <c:pt idx="17">
                    <c:v>4705.5197007125989</c:v>
                  </c:pt>
                  <c:pt idx="18">
                    <c:v>7828.2029616978771</c:v>
                  </c:pt>
                  <c:pt idx="19">
                    <c:v>1487.6948722617449</c:v>
                  </c:pt>
                  <c:pt idx="20">
                    <c:v>3717.9543078752267</c:v>
                  </c:pt>
                  <c:pt idx="21">
                    <c:v>3541.6666799670784</c:v>
                  </c:pt>
                  <c:pt idx="22">
                    <c:v>2387.9331574883431</c:v>
                  </c:pt>
                  <c:pt idx="23">
                    <c:v>2901.3435033541218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harvest'!$V$153:$V$176</c:f>
              <c:numCache>
                <c:formatCode>_(* #,##0_);_(* \(#,##0\);_(* "-"??_);_(@_)</c:formatCode>
                <c:ptCount val="24"/>
                <c:pt idx="0">
                  <c:v>1751.2551217634721</c:v>
                </c:pt>
                <c:pt idx="1">
                  <c:v>2515.9609216317722</c:v>
                </c:pt>
                <c:pt idx="2">
                  <c:v>2925.1451980975949</c:v>
                </c:pt>
                <c:pt idx="3">
                  <c:v>3092.0257382708642</c:v>
                </c:pt>
                <c:pt idx="4">
                  <c:v>2871.7494444340323</c:v>
                </c:pt>
                <c:pt idx="5">
                  <c:v>3691.9091603167899</c:v>
                </c:pt>
                <c:pt idx="6">
                  <c:v>4377.7844435533307</c:v>
                </c:pt>
                <c:pt idx="7">
                  <c:v>7004.4440019072426</c:v>
                </c:pt>
                <c:pt idx="8">
                  <c:v>5342.857301024058</c:v>
                </c:pt>
                <c:pt idx="9">
                  <c:v>6422.504868608883</c:v>
                </c:pt>
                <c:pt idx="10">
                  <c:v>8218.9940485571151</c:v>
                </c:pt>
                <c:pt idx="11">
                  <c:v>7252.3259521909167</c:v>
                </c:pt>
                <c:pt idx="12">
                  <c:v>8333.6162949861937</c:v>
                </c:pt>
                <c:pt idx="13">
                  <c:v>10011.024497849619</c:v>
                </c:pt>
                <c:pt idx="14">
                  <c:v>8405.2176992501281</c:v>
                </c:pt>
                <c:pt idx="15">
                  <c:v>10803.122295048772</c:v>
                </c:pt>
                <c:pt idx="16">
                  <c:v>12651.288585790298</c:v>
                </c:pt>
                <c:pt idx="17">
                  <c:v>16131.688651385251</c:v>
                </c:pt>
                <c:pt idx="18">
                  <c:v>18815.657376733012</c:v>
                </c:pt>
                <c:pt idx="19">
                  <c:v>6714.9385112867531</c:v>
                </c:pt>
                <c:pt idx="20">
                  <c:v>12726.394471159685</c:v>
                </c:pt>
                <c:pt idx="21">
                  <c:v>15601.284379532004</c:v>
                </c:pt>
                <c:pt idx="22">
                  <c:v>7027.7422953413698</c:v>
                </c:pt>
                <c:pt idx="23">
                  <c:v>14272.336621144985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8E-4C5C-BC14-4EF15CC04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PWSI</a:t>
            </a:r>
          </a:p>
        </c:rich>
      </c:tx>
      <c:layout>
        <c:manualLayout>
          <c:xMode val="edge"/>
          <c:yMode val="edge"/>
          <c:x val="0.48803725881570192"/>
          <c:y val="1.618613288114121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harvest'!$K$178:$K$201</c:f>
                <c:numCache>
                  <c:formatCode>General</c:formatCode>
                  <c:ptCount val="24"/>
                  <c:pt idx="0">
                    <c:v>95.503002670597525</c:v>
                  </c:pt>
                  <c:pt idx="1">
                    <c:v>110.90092908294666</c:v>
                  </c:pt>
                  <c:pt idx="2">
                    <c:v>271.84229903206443</c:v>
                  </c:pt>
                  <c:pt idx="3">
                    <c:v>299.47147688590229</c:v>
                  </c:pt>
                  <c:pt idx="4">
                    <c:v>405.2655536385364</c:v>
                  </c:pt>
                  <c:pt idx="5">
                    <c:v>402.35574463585567</c:v>
                  </c:pt>
                  <c:pt idx="6">
                    <c:v>346.30564765885134</c:v>
                  </c:pt>
                  <c:pt idx="7">
                    <c:v>231.52601335088457</c:v>
                  </c:pt>
                  <c:pt idx="8">
                    <c:v>230.46469764120181</c:v>
                  </c:pt>
                  <c:pt idx="9">
                    <c:v>330.01401144122048</c:v>
                  </c:pt>
                  <c:pt idx="10">
                    <c:v>429.00363453608088</c:v>
                  </c:pt>
                  <c:pt idx="11">
                    <c:v>272.0847296040086</c:v>
                  </c:pt>
                  <c:pt idx="12">
                    <c:v>356.70737202893037</c:v>
                  </c:pt>
                  <c:pt idx="13">
                    <c:v>398.44430188068895</c:v>
                  </c:pt>
                  <c:pt idx="14">
                    <c:v>357.28407007823415</c:v>
                  </c:pt>
                  <c:pt idx="15">
                    <c:v>449.70305975043129</c:v>
                  </c:pt>
                  <c:pt idx="16">
                    <c:v>378.60965001290577</c:v>
                  </c:pt>
                  <c:pt idx="17">
                    <c:v>563.30848388153993</c:v>
                  </c:pt>
                  <c:pt idx="18">
                    <c:v>863.74661686051024</c:v>
                  </c:pt>
                  <c:pt idx="19">
                    <c:v>548.39988495467685</c:v>
                  </c:pt>
                  <c:pt idx="20">
                    <c:v>292.8531270991748</c:v>
                  </c:pt>
                  <c:pt idx="21">
                    <c:v>582.95711232942051</c:v>
                  </c:pt>
                  <c:pt idx="22">
                    <c:v>317.34895546506425</c:v>
                  </c:pt>
                  <c:pt idx="23">
                    <c:v>588.48820653229689</c:v>
                  </c:pt>
                </c:numCache>
              </c:numRef>
            </c:plus>
            <c:minus>
              <c:numRef>
                <c:f>'BRF harvest'!$K$178:$K$201</c:f>
                <c:numCache>
                  <c:formatCode>General</c:formatCode>
                  <c:ptCount val="24"/>
                  <c:pt idx="0">
                    <c:v>95.503002670597525</c:v>
                  </c:pt>
                  <c:pt idx="1">
                    <c:v>110.90092908294666</c:v>
                  </c:pt>
                  <c:pt idx="2">
                    <c:v>271.84229903206443</c:v>
                  </c:pt>
                  <c:pt idx="3">
                    <c:v>299.47147688590229</c:v>
                  </c:pt>
                  <c:pt idx="4">
                    <c:v>405.2655536385364</c:v>
                  </c:pt>
                  <c:pt idx="5">
                    <c:v>402.35574463585567</c:v>
                  </c:pt>
                  <c:pt idx="6">
                    <c:v>346.30564765885134</c:v>
                  </c:pt>
                  <c:pt idx="7">
                    <c:v>231.52601335088457</c:v>
                  </c:pt>
                  <c:pt idx="8">
                    <c:v>230.46469764120181</c:v>
                  </c:pt>
                  <c:pt idx="9">
                    <c:v>330.01401144122048</c:v>
                  </c:pt>
                  <c:pt idx="10">
                    <c:v>429.00363453608088</c:v>
                  </c:pt>
                  <c:pt idx="11">
                    <c:v>272.0847296040086</c:v>
                  </c:pt>
                  <c:pt idx="12">
                    <c:v>356.70737202893037</c:v>
                  </c:pt>
                  <c:pt idx="13">
                    <c:v>398.44430188068895</c:v>
                  </c:pt>
                  <c:pt idx="14">
                    <c:v>357.28407007823415</c:v>
                  </c:pt>
                  <c:pt idx="15">
                    <c:v>449.70305975043129</c:v>
                  </c:pt>
                  <c:pt idx="16">
                    <c:v>378.60965001290577</c:v>
                  </c:pt>
                  <c:pt idx="17">
                    <c:v>563.30848388153993</c:v>
                  </c:pt>
                  <c:pt idx="18">
                    <c:v>863.74661686051024</c:v>
                  </c:pt>
                  <c:pt idx="19">
                    <c:v>548.39988495467685</c:v>
                  </c:pt>
                  <c:pt idx="20">
                    <c:v>292.8531270991748</c:v>
                  </c:pt>
                  <c:pt idx="21">
                    <c:v>582.95711232942051</c:v>
                  </c:pt>
                  <c:pt idx="22">
                    <c:v>317.34895546506425</c:v>
                  </c:pt>
                  <c:pt idx="23">
                    <c:v>588.48820653229689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harvest'!$H$178:$H$201</c:f>
              <c:numCache>
                <c:formatCode>0</c:formatCode>
                <c:ptCount val="24"/>
                <c:pt idx="0">
                  <c:v>2009.382277986</c:v>
                </c:pt>
                <c:pt idx="1">
                  <c:v>2445.345377014</c:v>
                </c:pt>
                <c:pt idx="2">
                  <c:v>2352.544893836</c:v>
                </c:pt>
                <c:pt idx="3">
                  <c:v>3575.6998650749997</c:v>
                </c:pt>
                <c:pt idx="4">
                  <c:v>4018.1639107200003</c:v>
                </c:pt>
                <c:pt idx="5">
                  <c:v>7823.9617772250003</c:v>
                </c:pt>
                <c:pt idx="6">
                  <c:v>6427.7982639060001</c:v>
                </c:pt>
                <c:pt idx="7">
                  <c:v>7927.8287047680005</c:v>
                </c:pt>
                <c:pt idx="8">
                  <c:v>4258.5995480009997</c:v>
                </c:pt>
                <c:pt idx="9">
                  <c:v>8538.6342827520002</c:v>
                </c:pt>
                <c:pt idx="10">
                  <c:v>5706.9514419019997</c:v>
                </c:pt>
                <c:pt idx="11">
                  <c:v>5145.2893209630001</c:v>
                </c:pt>
                <c:pt idx="12">
                  <c:v>7024.8572929639995</c:v>
                </c:pt>
                <c:pt idx="13">
                  <c:v>6518.223437824</c:v>
                </c:pt>
                <c:pt idx="14">
                  <c:v>7884.2573457910003</c:v>
                </c:pt>
                <c:pt idx="15">
                  <c:v>8613.7466666250002</c:v>
                </c:pt>
                <c:pt idx="16">
                  <c:v>8456.6139900609996</c:v>
                </c:pt>
                <c:pt idx="17">
                  <c:v>12541.214692245001</c:v>
                </c:pt>
                <c:pt idx="18">
                  <c:v>13826.943563576</c:v>
                </c:pt>
                <c:pt idx="19">
                  <c:v>8288.5811641759992</c:v>
                </c:pt>
                <c:pt idx="20">
                  <c:v>7895.5750078379997</c:v>
                </c:pt>
                <c:pt idx="21">
                  <c:v>8975.7771145000006</c:v>
                </c:pt>
                <c:pt idx="22">
                  <c:v>5122.3203862145929</c:v>
                </c:pt>
                <c:pt idx="23">
                  <c:v>10506.860603030051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9-45EE-8ED2-C048CC5CE0B2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harvest'!$T$178:$T$201</c:f>
                <c:numCache>
                  <c:formatCode>General</c:formatCode>
                  <c:ptCount val="24"/>
                  <c:pt idx="0">
                    <c:v>4559.685207330941</c:v>
                  </c:pt>
                  <c:pt idx="1">
                    <c:v>3236.5481154739482</c:v>
                  </c:pt>
                  <c:pt idx="2">
                    <c:v>5951.4531582937525</c:v>
                  </c:pt>
                  <c:pt idx="3">
                    <c:v>903.53275177419516</c:v>
                  </c:pt>
                  <c:pt idx="4">
                    <c:v>3204.5116694146336</c:v>
                  </c:pt>
                  <c:pt idx="5">
                    <c:v>10575.578448944048</c:v>
                  </c:pt>
                  <c:pt idx="6">
                    <c:v>7422.589691070596</c:v>
                  </c:pt>
                  <c:pt idx="7">
                    <c:v>314.30444713168788</c:v>
                  </c:pt>
                  <c:pt idx="8">
                    <c:v>5834.1591014998003</c:v>
                  </c:pt>
                  <c:pt idx="9">
                    <c:v>12033.636303425126</c:v>
                  </c:pt>
                  <c:pt idx="10">
                    <c:v>8310.3112066833946</c:v>
                  </c:pt>
                  <c:pt idx="11">
                    <c:v>4321.2059696114256</c:v>
                  </c:pt>
                  <c:pt idx="12">
                    <c:v>10434.301971872594</c:v>
                  </c:pt>
                  <c:pt idx="13">
                    <c:v>11869.283752795256</c:v>
                  </c:pt>
                  <c:pt idx="14">
                    <c:v>3710.3855810446612</c:v>
                  </c:pt>
                  <c:pt idx="15">
                    <c:v>4097.8460714102321</c:v>
                  </c:pt>
                  <c:pt idx="16">
                    <c:v>2356.8685921113561</c:v>
                  </c:pt>
                  <c:pt idx="17">
                    <c:v>1899.8543492755377</c:v>
                  </c:pt>
                  <c:pt idx="18">
                    <c:v>8930.299478244795</c:v>
                  </c:pt>
                  <c:pt idx="19">
                    <c:v>6574.3100503321966</c:v>
                  </c:pt>
                  <c:pt idx="20">
                    <c:v>3105.8778038099172</c:v>
                  </c:pt>
                  <c:pt idx="21">
                    <c:v>3492.483374320419</c:v>
                  </c:pt>
                  <c:pt idx="22">
                    <c:v>2449.9393172968989</c:v>
                  </c:pt>
                  <c:pt idx="23">
                    <c:v>4642.2160419616384</c:v>
                  </c:pt>
                </c:numCache>
              </c:numRef>
            </c:plus>
            <c:minus>
              <c:numRef>
                <c:f>'BRF harvest'!$T$178:$T$201</c:f>
                <c:numCache>
                  <c:formatCode>General</c:formatCode>
                  <c:ptCount val="24"/>
                  <c:pt idx="0">
                    <c:v>4559.685207330941</c:v>
                  </c:pt>
                  <c:pt idx="1">
                    <c:v>3236.5481154739482</c:v>
                  </c:pt>
                  <c:pt idx="2">
                    <c:v>5951.4531582937525</c:v>
                  </c:pt>
                  <c:pt idx="3">
                    <c:v>903.53275177419516</c:v>
                  </c:pt>
                  <c:pt idx="4">
                    <c:v>3204.5116694146336</c:v>
                  </c:pt>
                  <c:pt idx="5">
                    <c:v>10575.578448944048</c:v>
                  </c:pt>
                  <c:pt idx="6">
                    <c:v>7422.589691070596</c:v>
                  </c:pt>
                  <c:pt idx="7">
                    <c:v>314.30444713168788</c:v>
                  </c:pt>
                  <c:pt idx="8">
                    <c:v>5834.1591014998003</c:v>
                  </c:pt>
                  <c:pt idx="9">
                    <c:v>12033.636303425126</c:v>
                  </c:pt>
                  <c:pt idx="10">
                    <c:v>8310.3112066833946</c:v>
                  </c:pt>
                  <c:pt idx="11">
                    <c:v>4321.2059696114256</c:v>
                  </c:pt>
                  <c:pt idx="12">
                    <c:v>10434.301971872594</c:v>
                  </c:pt>
                  <c:pt idx="13">
                    <c:v>11869.283752795256</c:v>
                  </c:pt>
                  <c:pt idx="14">
                    <c:v>3710.3855810446612</c:v>
                  </c:pt>
                  <c:pt idx="15">
                    <c:v>4097.8460714102321</c:v>
                  </c:pt>
                  <c:pt idx="16">
                    <c:v>2356.8685921113561</c:v>
                  </c:pt>
                  <c:pt idx="17">
                    <c:v>1899.8543492755377</c:v>
                  </c:pt>
                  <c:pt idx="18">
                    <c:v>8930.299478244795</c:v>
                  </c:pt>
                  <c:pt idx="19">
                    <c:v>6574.3100503321966</c:v>
                  </c:pt>
                  <c:pt idx="20">
                    <c:v>3105.8778038099172</c:v>
                  </c:pt>
                  <c:pt idx="21">
                    <c:v>3492.483374320419</c:v>
                  </c:pt>
                  <c:pt idx="22">
                    <c:v>2449.9393172968989</c:v>
                  </c:pt>
                  <c:pt idx="23">
                    <c:v>4642.2160419616384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harvest'!$Q$178:$Q$201</c:f>
              <c:numCache>
                <c:formatCode>_(* #,##0_);_(* \(#,##0\);_(* "-"??_);_(@_)</c:formatCode>
                <c:ptCount val="24"/>
                <c:pt idx="0">
                  <c:v>3773.4125017270394</c:v>
                </c:pt>
                <c:pt idx="1">
                  <c:v>5261.1873716695582</c:v>
                </c:pt>
                <c:pt idx="2">
                  <c:v>9838.8628937503436</c:v>
                </c:pt>
                <c:pt idx="3">
                  <c:v>1163.430244810156</c:v>
                </c:pt>
                <c:pt idx="4">
                  <c:v>4982.9496400101043</c:v>
                </c:pt>
                <c:pt idx="5">
                  <c:v>17611.130353079858</c:v>
                </c:pt>
                <c:pt idx="6">
                  <c:v>12157.606862313623</c:v>
                </c:pt>
                <c:pt idx="7">
                  <c:v>201.21099276150642</c:v>
                </c:pt>
                <c:pt idx="8">
                  <c:v>9654.3332969443181</c:v>
                </c:pt>
                <c:pt idx="9">
                  <c:v>20050.508641440054</c:v>
                </c:pt>
                <c:pt idx="10">
                  <c:v>13880.479842596049</c:v>
                </c:pt>
                <c:pt idx="11">
                  <c:v>7107.867069889704</c:v>
                </c:pt>
                <c:pt idx="12">
                  <c:v>17408.408374010651</c:v>
                </c:pt>
                <c:pt idx="13">
                  <c:v>34635.439505088922</c:v>
                </c:pt>
                <c:pt idx="14">
                  <c:v>10103.27488729407</c:v>
                </c:pt>
                <c:pt idx="15">
                  <c:v>12635.734962352706</c:v>
                </c:pt>
                <c:pt idx="16">
                  <c:v>5698.4876752227938</c:v>
                </c:pt>
                <c:pt idx="17">
                  <c:v>4666.961199005872</c:v>
                </c:pt>
                <c:pt idx="18">
                  <c:v>21941.983672911781</c:v>
                </c:pt>
                <c:pt idx="19">
                  <c:v>18226.853167698217</c:v>
                </c:pt>
                <c:pt idx="20">
                  <c:v>7404.1194778566787</c:v>
                </c:pt>
                <c:pt idx="21">
                  <c:v>9854.25188536307</c:v>
                </c:pt>
                <c:pt idx="22">
                  <c:v>6625.0321983882814</c:v>
                </c:pt>
                <c:pt idx="23">
                  <c:v>12622.555986498241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9-45EE-8ED2-C048CC5CE0B2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harvest'!$Y$178:$Y$201</c:f>
                <c:numCache>
                  <c:formatCode>General</c:formatCode>
                  <c:ptCount val="24"/>
                  <c:pt idx="0">
                    <c:v>4560.6852570059809</c:v>
                  </c:pt>
                  <c:pt idx="1">
                    <c:v>3238.4475786786215</c:v>
                  </c:pt>
                  <c:pt idx="2">
                    <c:v>5957.6583429152533</c:v>
                  </c:pt>
                  <c:pt idx="3">
                    <c:v>951.86900306548114</c:v>
                  </c:pt>
                  <c:pt idx="4">
                    <c:v>3230.0364097608117</c:v>
                  </c:pt>
                  <c:pt idx="5">
                    <c:v>10583.229642930897</c:v>
                  </c:pt>
                  <c:pt idx="6">
                    <c:v>7430.6638548374603</c:v>
                  </c:pt>
                  <c:pt idx="7">
                    <c:v>390.37364196998493</c:v>
                  </c:pt>
                  <c:pt idx="8">
                    <c:v>5838.7093092970308</c:v>
                  </c:pt>
                  <c:pt idx="9">
                    <c:v>12038.160653972793</c:v>
                  </c:pt>
                  <c:pt idx="10">
                    <c:v>8321.3770777662012</c:v>
                  </c:pt>
                  <c:pt idx="11">
                    <c:v>4329.7634036849067</c:v>
                  </c:pt>
                  <c:pt idx="12">
                    <c:v>10440.397396147526</c:v>
                  </c:pt>
                  <c:pt idx="13">
                    <c:v>11875.969630563673</c:v>
                  </c:pt>
                  <c:pt idx="14">
                    <c:v>3727.5478624366174</c:v>
                  </c:pt>
                  <c:pt idx="15">
                    <c:v>4122.4477276153757</c:v>
                  </c:pt>
                  <c:pt idx="16">
                    <c:v>2387.0850063547928</c:v>
                  </c:pt>
                  <c:pt idx="17">
                    <c:v>1981.6061658346991</c:v>
                  </c:pt>
                  <c:pt idx="18">
                    <c:v>8971.9734166613125</c:v>
                  </c:pt>
                  <c:pt idx="19">
                    <c:v>6597.1429476491739</c:v>
                  </c:pt>
                  <c:pt idx="20">
                    <c:v>3119.6538087183458</c:v>
                  </c:pt>
                  <c:pt idx="21">
                    <c:v>3540.8020439894676</c:v>
                  </c:pt>
                  <c:pt idx="22">
                    <c:v>2470.4074599085802</c:v>
                  </c:pt>
                  <c:pt idx="23">
                    <c:v>4679.368349411443</c:v>
                  </c:pt>
                </c:numCache>
              </c:numRef>
            </c:plus>
            <c:minus>
              <c:numRef>
                <c:f>'BRF harvest'!$Y$178:$Y$201</c:f>
                <c:numCache>
                  <c:formatCode>General</c:formatCode>
                  <c:ptCount val="24"/>
                  <c:pt idx="0">
                    <c:v>4560.6852570059809</c:v>
                  </c:pt>
                  <c:pt idx="1">
                    <c:v>3238.4475786786215</c:v>
                  </c:pt>
                  <c:pt idx="2">
                    <c:v>5957.6583429152533</c:v>
                  </c:pt>
                  <c:pt idx="3">
                    <c:v>951.86900306548114</c:v>
                  </c:pt>
                  <c:pt idx="4">
                    <c:v>3230.0364097608117</c:v>
                  </c:pt>
                  <c:pt idx="5">
                    <c:v>10583.229642930897</c:v>
                  </c:pt>
                  <c:pt idx="6">
                    <c:v>7430.6638548374603</c:v>
                  </c:pt>
                  <c:pt idx="7">
                    <c:v>390.37364196998493</c:v>
                  </c:pt>
                  <c:pt idx="8">
                    <c:v>5838.7093092970308</c:v>
                  </c:pt>
                  <c:pt idx="9">
                    <c:v>12038.160653972793</c:v>
                  </c:pt>
                  <c:pt idx="10">
                    <c:v>8321.3770777662012</c:v>
                  </c:pt>
                  <c:pt idx="11">
                    <c:v>4329.7634036849067</c:v>
                  </c:pt>
                  <c:pt idx="12">
                    <c:v>10440.397396147526</c:v>
                  </c:pt>
                  <c:pt idx="13">
                    <c:v>11875.969630563673</c:v>
                  </c:pt>
                  <c:pt idx="14">
                    <c:v>3727.5478624366174</c:v>
                  </c:pt>
                  <c:pt idx="15">
                    <c:v>4122.4477276153757</c:v>
                  </c:pt>
                  <c:pt idx="16">
                    <c:v>2387.0850063547928</c:v>
                  </c:pt>
                  <c:pt idx="17">
                    <c:v>1981.6061658346991</c:v>
                  </c:pt>
                  <c:pt idx="18">
                    <c:v>8971.9734166613125</c:v>
                  </c:pt>
                  <c:pt idx="19">
                    <c:v>6597.1429476491739</c:v>
                  </c:pt>
                  <c:pt idx="20">
                    <c:v>3119.6538087183458</c:v>
                  </c:pt>
                  <c:pt idx="21">
                    <c:v>3540.8020439894676</c:v>
                  </c:pt>
                  <c:pt idx="22">
                    <c:v>2470.4074599085802</c:v>
                  </c:pt>
                  <c:pt idx="23">
                    <c:v>4679.368349411443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harvest'!$V$178:$V$201</c:f>
              <c:numCache>
                <c:formatCode>_(* #,##0_);_(* \(#,##0\);_(* "-"??_);_(@_)</c:formatCode>
                <c:ptCount val="24"/>
                <c:pt idx="0">
                  <c:v>5782.7947797130391</c:v>
                </c:pt>
                <c:pt idx="1">
                  <c:v>7706.5327486835577</c:v>
                </c:pt>
                <c:pt idx="2">
                  <c:v>12191.407787586344</c:v>
                </c:pt>
                <c:pt idx="3">
                  <c:v>4739.1301098851554</c:v>
                </c:pt>
                <c:pt idx="4">
                  <c:v>9001.1135507301042</c:v>
                </c:pt>
                <c:pt idx="5">
                  <c:v>25435.09213030486</c:v>
                </c:pt>
                <c:pt idx="6">
                  <c:v>18585.405126219623</c:v>
                </c:pt>
                <c:pt idx="7">
                  <c:v>8129.0396975295071</c:v>
                </c:pt>
                <c:pt idx="8">
                  <c:v>13912.932844945317</c:v>
                </c:pt>
                <c:pt idx="9">
                  <c:v>28589.142924192056</c:v>
                </c:pt>
                <c:pt idx="10">
                  <c:v>19587.431284498049</c:v>
                </c:pt>
                <c:pt idx="11">
                  <c:v>12253.156390852704</c:v>
                </c:pt>
                <c:pt idx="12">
                  <c:v>24433.26566697465</c:v>
                </c:pt>
                <c:pt idx="13">
                  <c:v>41153.662942912924</c:v>
                </c:pt>
                <c:pt idx="14">
                  <c:v>17987.532233085069</c:v>
                </c:pt>
                <c:pt idx="15">
                  <c:v>21249.481628977708</c:v>
                </c:pt>
                <c:pt idx="16">
                  <c:v>14155.101665283793</c:v>
                </c:pt>
                <c:pt idx="17">
                  <c:v>17208.175891250874</c:v>
                </c:pt>
                <c:pt idx="18">
                  <c:v>35768.927236487783</c:v>
                </c:pt>
                <c:pt idx="19">
                  <c:v>26515.434331874218</c:v>
                </c:pt>
                <c:pt idx="20">
                  <c:v>15299.694485694679</c:v>
                </c:pt>
                <c:pt idx="21">
                  <c:v>18830.028999863069</c:v>
                </c:pt>
                <c:pt idx="22">
                  <c:v>11747.352584602875</c:v>
                </c:pt>
                <c:pt idx="23">
                  <c:v>23129.416589528293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29-45EE-8ED2-C048CC5CE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PWSO</a:t>
            </a:r>
          </a:p>
        </c:rich>
      </c:tx>
      <c:layout>
        <c:manualLayout>
          <c:xMode val="edge"/>
          <c:yMode val="edge"/>
          <c:x val="0.48803725881570192"/>
          <c:y val="1.618613288114121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harvest'!$K$203:$K$226</c:f>
                <c:numCache>
                  <c:formatCode>General</c:formatCode>
                  <c:ptCount val="24"/>
                  <c:pt idx="0">
                    <c:v>254.98805356526293</c:v>
                  </c:pt>
                  <c:pt idx="1">
                    <c:v>58.466854364875161</c:v>
                  </c:pt>
                  <c:pt idx="2">
                    <c:v>226.04224380517783</c:v>
                  </c:pt>
                  <c:pt idx="3">
                    <c:v>317.70619586776081</c:v>
                  </c:pt>
                  <c:pt idx="4">
                    <c:v>244.00990001305823</c:v>
                  </c:pt>
                  <c:pt idx="5">
                    <c:v>156.99807390414466</c:v>
                  </c:pt>
                  <c:pt idx="6">
                    <c:v>248.8226603438894</c:v>
                  </c:pt>
                  <c:pt idx="7">
                    <c:v>241.39905220841968</c:v>
                  </c:pt>
                  <c:pt idx="8">
                    <c:v>133.14574242109327</c:v>
                  </c:pt>
                  <c:pt idx="9">
                    <c:v>116.27067469141933</c:v>
                  </c:pt>
                  <c:pt idx="10">
                    <c:v>264.90106618795778</c:v>
                  </c:pt>
                  <c:pt idx="11">
                    <c:v>278.60742581687595</c:v>
                  </c:pt>
                  <c:pt idx="12">
                    <c:v>236.51476702370167</c:v>
                  </c:pt>
                  <c:pt idx="13">
                    <c:v>249.0143850804283</c:v>
                  </c:pt>
                  <c:pt idx="14">
                    <c:v>349.38821366650058</c:v>
                  </c:pt>
                  <c:pt idx="15">
                    <c:v>518.6732822036314</c:v>
                  </c:pt>
                  <c:pt idx="16">
                    <c:v>423.74834795676816</c:v>
                  </c:pt>
                  <c:pt idx="17">
                    <c:v>550.99063544386411</c:v>
                  </c:pt>
                  <c:pt idx="18">
                    <c:v>516.7686148870074</c:v>
                  </c:pt>
                  <c:pt idx="19">
                    <c:v>548.09305950461078</c:v>
                  </c:pt>
                  <c:pt idx="20">
                    <c:v>564.23435217676854</c:v>
                  </c:pt>
                  <c:pt idx="21">
                    <c:v>675.92198249418254</c:v>
                  </c:pt>
                  <c:pt idx="22">
                    <c:v>433.01130428905782</c:v>
                  </c:pt>
                  <c:pt idx="23">
                    <c:v>832.14128640434637</c:v>
                  </c:pt>
                </c:numCache>
              </c:numRef>
            </c:plus>
            <c:minus>
              <c:numRef>
                <c:f>'BRF harvest'!$K$203:$K$226</c:f>
                <c:numCache>
                  <c:formatCode>General</c:formatCode>
                  <c:ptCount val="24"/>
                  <c:pt idx="0">
                    <c:v>254.98805356526293</c:v>
                  </c:pt>
                  <c:pt idx="1">
                    <c:v>58.466854364875161</c:v>
                  </c:pt>
                  <c:pt idx="2">
                    <c:v>226.04224380517783</c:v>
                  </c:pt>
                  <c:pt idx="3">
                    <c:v>317.70619586776081</c:v>
                  </c:pt>
                  <c:pt idx="4">
                    <c:v>244.00990001305823</c:v>
                  </c:pt>
                  <c:pt idx="5">
                    <c:v>156.99807390414466</c:v>
                  </c:pt>
                  <c:pt idx="6">
                    <c:v>248.8226603438894</c:v>
                  </c:pt>
                  <c:pt idx="7">
                    <c:v>241.39905220841968</c:v>
                  </c:pt>
                  <c:pt idx="8">
                    <c:v>133.14574242109327</c:v>
                  </c:pt>
                  <c:pt idx="9">
                    <c:v>116.27067469141933</c:v>
                  </c:pt>
                  <c:pt idx="10">
                    <c:v>264.90106618795778</c:v>
                  </c:pt>
                  <c:pt idx="11">
                    <c:v>278.60742581687595</c:v>
                  </c:pt>
                  <c:pt idx="12">
                    <c:v>236.51476702370167</c:v>
                  </c:pt>
                  <c:pt idx="13">
                    <c:v>249.0143850804283</c:v>
                  </c:pt>
                  <c:pt idx="14">
                    <c:v>349.38821366650058</c:v>
                  </c:pt>
                  <c:pt idx="15">
                    <c:v>518.6732822036314</c:v>
                  </c:pt>
                  <c:pt idx="16">
                    <c:v>423.74834795676816</c:v>
                  </c:pt>
                  <c:pt idx="17">
                    <c:v>550.99063544386411</c:v>
                  </c:pt>
                  <c:pt idx="18">
                    <c:v>516.7686148870074</c:v>
                  </c:pt>
                  <c:pt idx="19">
                    <c:v>548.09305950461078</c:v>
                  </c:pt>
                  <c:pt idx="20">
                    <c:v>564.23435217676854</c:v>
                  </c:pt>
                  <c:pt idx="21">
                    <c:v>675.92198249418254</c:v>
                  </c:pt>
                  <c:pt idx="22">
                    <c:v>433.01130428905782</c:v>
                  </c:pt>
                  <c:pt idx="23">
                    <c:v>832.14128640434637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harvest'!$H$203:$H$226</c:f>
              <c:numCache>
                <c:formatCode>0</c:formatCode>
                <c:ptCount val="24"/>
                <c:pt idx="0">
                  <c:v>5167.1332656509994</c:v>
                </c:pt>
                <c:pt idx="1">
                  <c:v>3209.7525881279998</c:v>
                </c:pt>
                <c:pt idx="2">
                  <c:v>6897.2280846660005</c:v>
                </c:pt>
                <c:pt idx="3">
                  <c:v>7480.4043762629999</c:v>
                </c:pt>
                <c:pt idx="4">
                  <c:v>6139.7493699759998</c:v>
                </c:pt>
                <c:pt idx="5">
                  <c:v>6961.3561104959999</c:v>
                </c:pt>
                <c:pt idx="6">
                  <c:v>8531.6191514399998</c:v>
                </c:pt>
                <c:pt idx="7">
                  <c:v>6967.5589939989995</c:v>
                </c:pt>
                <c:pt idx="8">
                  <c:v>5949.9139055999995</c:v>
                </c:pt>
                <c:pt idx="9">
                  <c:v>8149.8740067169992</c:v>
                </c:pt>
                <c:pt idx="10">
                  <c:v>9097.1529067219999</c:v>
                </c:pt>
                <c:pt idx="11">
                  <c:v>8486.0103097119991</c:v>
                </c:pt>
                <c:pt idx="12">
                  <c:v>7627.2542080149997</c:v>
                </c:pt>
                <c:pt idx="13">
                  <c:v>10481.47453507</c:v>
                </c:pt>
                <c:pt idx="14">
                  <c:v>9522.2315586059995</c:v>
                </c:pt>
                <c:pt idx="15">
                  <c:v>10095.853377456</c:v>
                </c:pt>
                <c:pt idx="16">
                  <c:v>11932.882565032</c:v>
                </c:pt>
                <c:pt idx="17">
                  <c:v>12840.994096404</c:v>
                </c:pt>
                <c:pt idx="18">
                  <c:v>18558.52974726</c:v>
                </c:pt>
                <c:pt idx="19">
                  <c:v>18177.701230818002</c:v>
                </c:pt>
                <c:pt idx="20">
                  <c:v>19030.741697759</c:v>
                </c:pt>
                <c:pt idx="21">
                  <c:v>20588.849432282997</c:v>
                </c:pt>
                <c:pt idx="22">
                  <c:v>21480.884342557409</c:v>
                </c:pt>
                <c:pt idx="23">
                  <c:v>27608.602018441525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A-410A-A209-583BD30629B1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harvest'!$T$203:$T$226</c:f>
                <c:numCache>
                  <c:formatCode>General</c:formatCode>
                  <c:ptCount val="24"/>
                  <c:pt idx="0">
                    <c:v>1029.9939420205355</c:v>
                  </c:pt>
                  <c:pt idx="1">
                    <c:v>667.29546885380626</c:v>
                  </c:pt>
                  <c:pt idx="2">
                    <c:v>1342.725144554764</c:v>
                  </c:pt>
                  <c:pt idx="3">
                    <c:v>1460.9902611636626</c:v>
                  </c:pt>
                  <c:pt idx="4">
                    <c:v>1309.8978097787603</c:v>
                  </c:pt>
                  <c:pt idx="5">
                    <c:v>1686.2242438991193</c:v>
                  </c:pt>
                  <c:pt idx="6">
                    <c:v>1704.7654558447039</c:v>
                  </c:pt>
                  <c:pt idx="7">
                    <c:v>1634.5885026776509</c:v>
                  </c:pt>
                  <c:pt idx="8">
                    <c:v>1326.0209697793641</c:v>
                  </c:pt>
                  <c:pt idx="9">
                    <c:v>1771.804555741996</c:v>
                  </c:pt>
                  <c:pt idx="10">
                    <c:v>1944.5111975502623</c:v>
                  </c:pt>
                  <c:pt idx="11">
                    <c:v>1772.1283073175543</c:v>
                  </c:pt>
                  <c:pt idx="12">
                    <c:v>1819.9057638051142</c:v>
                  </c:pt>
                  <c:pt idx="13">
                    <c:v>1879.2787702815158</c:v>
                  </c:pt>
                  <c:pt idx="14">
                    <c:v>872.00442816981763</c:v>
                  </c:pt>
                  <c:pt idx="15">
                    <c:v>2471.200489135425</c:v>
                  </c:pt>
                  <c:pt idx="16">
                    <c:v>2898.0495564981297</c:v>
                  </c:pt>
                  <c:pt idx="17">
                    <c:v>1028.0272005010104</c:v>
                  </c:pt>
                  <c:pt idx="18">
                    <c:v>884.19612464510328</c:v>
                  </c:pt>
                  <c:pt idx="19">
                    <c:v>3342.0946127874518</c:v>
                  </c:pt>
                  <c:pt idx="20">
                    <c:v>1908.6449972826463</c:v>
                  </c:pt>
                  <c:pt idx="21">
                    <c:v>2621.6464833357445</c:v>
                  </c:pt>
                  <c:pt idx="22">
                    <c:v>1922.3405826566234</c:v>
                  </c:pt>
                  <c:pt idx="23">
                    <c:v>2922.2635276872461</c:v>
                  </c:pt>
                </c:numCache>
              </c:numRef>
            </c:plus>
            <c:minus>
              <c:numRef>
                <c:f>'BRF harvest'!$T$203:$T$226</c:f>
                <c:numCache>
                  <c:formatCode>General</c:formatCode>
                  <c:ptCount val="24"/>
                  <c:pt idx="0">
                    <c:v>1029.9939420205355</c:v>
                  </c:pt>
                  <c:pt idx="1">
                    <c:v>667.29546885380626</c:v>
                  </c:pt>
                  <c:pt idx="2">
                    <c:v>1342.725144554764</c:v>
                  </c:pt>
                  <c:pt idx="3">
                    <c:v>1460.9902611636626</c:v>
                  </c:pt>
                  <c:pt idx="4">
                    <c:v>1309.8978097787603</c:v>
                  </c:pt>
                  <c:pt idx="5">
                    <c:v>1686.2242438991193</c:v>
                  </c:pt>
                  <c:pt idx="6">
                    <c:v>1704.7654558447039</c:v>
                  </c:pt>
                  <c:pt idx="7">
                    <c:v>1634.5885026776509</c:v>
                  </c:pt>
                  <c:pt idx="8">
                    <c:v>1326.0209697793641</c:v>
                  </c:pt>
                  <c:pt idx="9">
                    <c:v>1771.804555741996</c:v>
                  </c:pt>
                  <c:pt idx="10">
                    <c:v>1944.5111975502623</c:v>
                  </c:pt>
                  <c:pt idx="11">
                    <c:v>1772.1283073175543</c:v>
                  </c:pt>
                  <c:pt idx="12">
                    <c:v>1819.9057638051142</c:v>
                  </c:pt>
                  <c:pt idx="13">
                    <c:v>1879.2787702815158</c:v>
                  </c:pt>
                  <c:pt idx="14">
                    <c:v>872.00442816981763</c:v>
                  </c:pt>
                  <c:pt idx="15">
                    <c:v>2471.200489135425</c:v>
                  </c:pt>
                  <c:pt idx="16">
                    <c:v>2898.0495564981297</c:v>
                  </c:pt>
                  <c:pt idx="17">
                    <c:v>1028.0272005010104</c:v>
                  </c:pt>
                  <c:pt idx="18">
                    <c:v>884.19612464510328</c:v>
                  </c:pt>
                  <c:pt idx="19">
                    <c:v>3342.0946127874518</c:v>
                  </c:pt>
                  <c:pt idx="20">
                    <c:v>1908.6449972826463</c:v>
                  </c:pt>
                  <c:pt idx="21">
                    <c:v>2621.6464833357445</c:v>
                  </c:pt>
                  <c:pt idx="22">
                    <c:v>1922.3405826566234</c:v>
                  </c:pt>
                  <c:pt idx="23">
                    <c:v>2922.2635276872461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harvest'!$Q$203:$Q$226</c:f>
              <c:numCache>
                <c:formatCode>_(* #,##0_);_(* \(#,##0\);_(* "-"??_);_(@_)</c:formatCode>
                <c:ptCount val="24"/>
                <c:pt idx="0">
                  <c:v>1043.7151639864587</c:v>
                </c:pt>
                <c:pt idx="1">
                  <c:v>676.1849475890275</c:v>
                </c:pt>
                <c:pt idx="2">
                  <c:v>1360.6124631068724</c:v>
                </c:pt>
                <c:pt idx="3">
                  <c:v>1517.7223251427563</c:v>
                </c:pt>
                <c:pt idx="4">
                  <c:v>1327.3478139655747</c:v>
                </c:pt>
                <c:pt idx="5">
                  <c:v>1790.6486998327111</c:v>
                </c:pt>
                <c:pt idx="6">
                  <c:v>1783.2911470558729</c:v>
                </c:pt>
                <c:pt idx="7">
                  <c:v>1732.8149229742776</c:v>
                </c:pt>
                <c:pt idx="8">
                  <c:v>1343.6857611101946</c:v>
                </c:pt>
                <c:pt idx="9">
                  <c:v>1795.4079213519722</c:v>
                </c:pt>
                <c:pt idx="10">
                  <c:v>1970.4153011263197</c:v>
                </c:pt>
                <c:pt idx="11">
                  <c:v>1865.7738475536887</c:v>
                </c:pt>
                <c:pt idx="12">
                  <c:v>1922.752405964075</c:v>
                </c:pt>
                <c:pt idx="13">
                  <c:v>3029.9146948276316</c:v>
                </c:pt>
                <c:pt idx="14">
                  <c:v>1443.1742166490064</c:v>
                </c:pt>
                <c:pt idx="15">
                  <c:v>4115.4006866005184</c:v>
                </c:pt>
                <c:pt idx="16">
                  <c:v>5481.9821308394057</c:v>
                </c:pt>
                <c:pt idx="17">
                  <c:v>1909.9240345722258</c:v>
                </c:pt>
                <c:pt idx="18">
                  <c:v>1940.9457154500958</c:v>
                </c:pt>
                <c:pt idx="19">
                  <c:v>5033.9761826414506</c:v>
                </c:pt>
                <c:pt idx="20">
                  <c:v>2994.0768279876306</c:v>
                </c:pt>
                <c:pt idx="21">
                  <c:v>3992.1411862780751</c:v>
                </c:pt>
                <c:pt idx="22">
                  <c:v>3568.6536897974779</c:v>
                </c:pt>
                <c:pt idx="23">
                  <c:v>5258.4317831303133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A-410A-A209-583BD30629B1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harvest'!$Y$203:$Y$226</c:f>
                <c:numCache>
                  <c:formatCode>General</c:formatCode>
                  <c:ptCount val="24"/>
                  <c:pt idx="0">
                    <c:v>1061.087380030506</c:v>
                  </c:pt>
                  <c:pt idx="1">
                    <c:v>669.85193573814854</c:v>
                  </c:pt>
                  <c:pt idx="2">
                    <c:v>1361.6188562898542</c:v>
                  </c:pt>
                  <c:pt idx="3">
                    <c:v>1495.1353684893656</c:v>
                  </c:pt>
                  <c:pt idx="4">
                    <c:v>1332.4312752887392</c:v>
                  </c:pt>
                  <c:pt idx="5">
                    <c:v>1693.5172263436732</c:v>
                  </c:pt>
                  <c:pt idx="6">
                    <c:v>1722.8284812313766</c:v>
                  </c:pt>
                  <c:pt idx="7">
                    <c:v>1652.3174862879978</c:v>
                  </c:pt>
                  <c:pt idx="8">
                    <c:v>1332.6887862586184</c:v>
                  </c:pt>
                  <c:pt idx="9">
                    <c:v>1775.6154576769402</c:v>
                  </c:pt>
                  <c:pt idx="10">
                    <c:v>1962.4720054731665</c:v>
                  </c:pt>
                  <c:pt idx="11">
                    <c:v>1793.8954360041407</c:v>
                  </c:pt>
                  <c:pt idx="12">
                    <c:v>1835.2101307892108</c:v>
                  </c:pt>
                  <c:pt idx="13">
                    <c:v>1895.704845277289</c:v>
                  </c:pt>
                  <c:pt idx="14">
                    <c:v>939.39546869081641</c:v>
                  </c:pt>
                  <c:pt idx="15">
                    <c:v>2525.0453126973885</c:v>
                  </c:pt>
                  <c:pt idx="16">
                    <c:v>2928.865632683599</c:v>
                  </c:pt>
                  <c:pt idx="17">
                    <c:v>1166.3749848641207</c:v>
                  </c:pt>
                  <c:pt idx="18">
                    <c:v>1024.1350439124985</c:v>
                  </c:pt>
                  <c:pt idx="19">
                    <c:v>3386.7391990969768</c:v>
                  </c:pt>
                  <c:pt idx="20">
                    <c:v>1990.2980002573511</c:v>
                  </c:pt>
                  <c:pt idx="21">
                    <c:v>2707.3789557440132</c:v>
                  </c:pt>
                  <c:pt idx="22">
                    <c:v>1970.5055456330786</c:v>
                  </c:pt>
                  <c:pt idx="23">
                    <c:v>3038.4343412010385</c:v>
                  </c:pt>
                </c:numCache>
              </c:numRef>
            </c:plus>
            <c:minus>
              <c:numRef>
                <c:f>'BRF harvest'!$Y$203:$Y$226</c:f>
                <c:numCache>
                  <c:formatCode>General</c:formatCode>
                  <c:ptCount val="24"/>
                  <c:pt idx="0">
                    <c:v>1061.087380030506</c:v>
                  </c:pt>
                  <c:pt idx="1">
                    <c:v>669.85193573814854</c:v>
                  </c:pt>
                  <c:pt idx="2">
                    <c:v>1361.6188562898542</c:v>
                  </c:pt>
                  <c:pt idx="3">
                    <c:v>1495.1353684893656</c:v>
                  </c:pt>
                  <c:pt idx="4">
                    <c:v>1332.4312752887392</c:v>
                  </c:pt>
                  <c:pt idx="5">
                    <c:v>1693.5172263436732</c:v>
                  </c:pt>
                  <c:pt idx="6">
                    <c:v>1722.8284812313766</c:v>
                  </c:pt>
                  <c:pt idx="7">
                    <c:v>1652.3174862879978</c:v>
                  </c:pt>
                  <c:pt idx="8">
                    <c:v>1332.6887862586184</c:v>
                  </c:pt>
                  <c:pt idx="9">
                    <c:v>1775.6154576769402</c:v>
                  </c:pt>
                  <c:pt idx="10">
                    <c:v>1962.4720054731665</c:v>
                  </c:pt>
                  <c:pt idx="11">
                    <c:v>1793.8954360041407</c:v>
                  </c:pt>
                  <c:pt idx="12">
                    <c:v>1835.2101307892108</c:v>
                  </c:pt>
                  <c:pt idx="13">
                    <c:v>1895.704845277289</c:v>
                  </c:pt>
                  <c:pt idx="14">
                    <c:v>939.39546869081641</c:v>
                  </c:pt>
                  <c:pt idx="15">
                    <c:v>2525.0453126973885</c:v>
                  </c:pt>
                  <c:pt idx="16">
                    <c:v>2928.865632683599</c:v>
                  </c:pt>
                  <c:pt idx="17">
                    <c:v>1166.3749848641207</c:v>
                  </c:pt>
                  <c:pt idx="18">
                    <c:v>1024.1350439124985</c:v>
                  </c:pt>
                  <c:pt idx="19">
                    <c:v>3386.7391990969768</c:v>
                  </c:pt>
                  <c:pt idx="20">
                    <c:v>1990.2980002573511</c:v>
                  </c:pt>
                  <c:pt idx="21">
                    <c:v>2707.3789557440132</c:v>
                  </c:pt>
                  <c:pt idx="22">
                    <c:v>1970.5055456330786</c:v>
                  </c:pt>
                  <c:pt idx="23">
                    <c:v>3038.4343412010385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harvest'!$V$203:$V$226</c:f>
              <c:numCache>
                <c:formatCode>_(* #,##0_);_(* \(#,##0\);_(* "-"??_);_(@_)</c:formatCode>
                <c:ptCount val="24"/>
                <c:pt idx="0">
                  <c:v>6210.8484296374581</c:v>
                </c:pt>
                <c:pt idx="1">
                  <c:v>3885.9375357170275</c:v>
                </c:pt>
                <c:pt idx="2">
                  <c:v>8257.8405477728738</c:v>
                </c:pt>
                <c:pt idx="3">
                  <c:v>8998.1267014057557</c:v>
                </c:pt>
                <c:pt idx="4">
                  <c:v>7467.0971839415743</c:v>
                </c:pt>
                <c:pt idx="5">
                  <c:v>8752.0048103287118</c:v>
                </c:pt>
                <c:pt idx="6">
                  <c:v>10314.910298495874</c:v>
                </c:pt>
                <c:pt idx="7">
                  <c:v>8700.3739169732762</c:v>
                </c:pt>
                <c:pt idx="8">
                  <c:v>7293.5996667101936</c:v>
                </c:pt>
                <c:pt idx="9">
                  <c:v>9945.281928068971</c:v>
                </c:pt>
                <c:pt idx="10">
                  <c:v>11067.568207848319</c:v>
                </c:pt>
                <c:pt idx="11">
                  <c:v>10351.784157265687</c:v>
                </c:pt>
                <c:pt idx="12">
                  <c:v>9550.0066139790742</c:v>
                </c:pt>
                <c:pt idx="13">
                  <c:v>13511.389229897632</c:v>
                </c:pt>
                <c:pt idx="14">
                  <c:v>10965.405775255005</c:v>
                </c:pt>
                <c:pt idx="15">
                  <c:v>14211.254064056518</c:v>
                </c:pt>
                <c:pt idx="16">
                  <c:v>17414.864695871405</c:v>
                </c:pt>
                <c:pt idx="17">
                  <c:v>14750.918130976226</c:v>
                </c:pt>
                <c:pt idx="18">
                  <c:v>20499.475462710096</c:v>
                </c:pt>
                <c:pt idx="19">
                  <c:v>23211.677413459453</c:v>
                </c:pt>
                <c:pt idx="20">
                  <c:v>22024.818525746632</c:v>
                </c:pt>
                <c:pt idx="21">
                  <c:v>24580.990618561074</c:v>
                </c:pt>
                <c:pt idx="22">
                  <c:v>25049.538032354885</c:v>
                </c:pt>
                <c:pt idx="23">
                  <c:v>32867.033801571837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AA-410A-A209-583BD3062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CSEO</a:t>
            </a:r>
          </a:p>
        </c:rich>
      </c:tx>
      <c:layout>
        <c:manualLayout>
          <c:xMode val="edge"/>
          <c:yMode val="edge"/>
          <c:x val="0.48803725881570192"/>
          <c:y val="1.618613288114121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harvest'!$K$228:$K$251</c:f>
                <c:numCache>
                  <c:formatCode>General</c:formatCode>
                  <c:ptCount val="24"/>
                  <c:pt idx="0">
                    <c:v>180.01619310648491</c:v>
                  </c:pt>
                  <c:pt idx="1">
                    <c:v>154.69133439885218</c:v>
                  </c:pt>
                  <c:pt idx="2">
                    <c:v>232.96450438534129</c:v>
                  </c:pt>
                  <c:pt idx="3">
                    <c:v>162.79690223361999</c:v>
                  </c:pt>
                  <c:pt idx="4">
                    <c:v>209.9382395412994</c:v>
                  </c:pt>
                  <c:pt idx="5">
                    <c:v>270.62918278172498</c:v>
                  </c:pt>
                  <c:pt idx="6">
                    <c:v>394.75325141563189</c:v>
                  </c:pt>
                  <c:pt idx="7">
                    <c:v>519.64351800406916</c:v>
                  </c:pt>
                  <c:pt idx="8">
                    <c:v>70.650485273970332</c:v>
                  </c:pt>
                  <c:pt idx="9">
                    <c:v>87.759902252158938</c:v>
                  </c:pt>
                  <c:pt idx="10">
                    <c:v>115.369804247849</c:v>
                  </c:pt>
                  <c:pt idx="11">
                    <c:v>159.10557132646179</c:v>
                  </c:pt>
                  <c:pt idx="12">
                    <c:v>160.51292472208874</c:v>
                  </c:pt>
                  <c:pt idx="13">
                    <c:v>152.71248697276408</c:v>
                  </c:pt>
                  <c:pt idx="14">
                    <c:v>178.35742905933543</c:v>
                  </c:pt>
                  <c:pt idx="15">
                    <c:v>117.92635523446937</c:v>
                  </c:pt>
                  <c:pt idx="16">
                    <c:v>263.81744926471663</c:v>
                  </c:pt>
                  <c:pt idx="17">
                    <c:v>215.64580994046335</c:v>
                  </c:pt>
                  <c:pt idx="18">
                    <c:v>214.44875636617289</c:v>
                  </c:pt>
                  <c:pt idx="19">
                    <c:v>257.85889823075485</c:v>
                  </c:pt>
                  <c:pt idx="20">
                    <c:v>233.12043636932941</c:v>
                  </c:pt>
                  <c:pt idx="21">
                    <c:v>316.27927718419426</c:v>
                  </c:pt>
                  <c:pt idx="22">
                    <c:v>195.03039044037538</c:v>
                  </c:pt>
                  <c:pt idx="23">
                    <c:v>182.53600614577152</c:v>
                  </c:pt>
                </c:numCache>
              </c:numRef>
            </c:plus>
            <c:minus>
              <c:numRef>
                <c:f>'BRF harvest'!$K$228:$K$251</c:f>
                <c:numCache>
                  <c:formatCode>General</c:formatCode>
                  <c:ptCount val="24"/>
                  <c:pt idx="0">
                    <c:v>180.01619310648491</c:v>
                  </c:pt>
                  <c:pt idx="1">
                    <c:v>154.69133439885218</c:v>
                  </c:pt>
                  <c:pt idx="2">
                    <c:v>232.96450438534129</c:v>
                  </c:pt>
                  <c:pt idx="3">
                    <c:v>162.79690223361999</c:v>
                  </c:pt>
                  <c:pt idx="4">
                    <c:v>209.9382395412994</c:v>
                  </c:pt>
                  <c:pt idx="5">
                    <c:v>270.62918278172498</c:v>
                  </c:pt>
                  <c:pt idx="6">
                    <c:v>394.75325141563189</c:v>
                  </c:pt>
                  <c:pt idx="7">
                    <c:v>519.64351800406916</c:v>
                  </c:pt>
                  <c:pt idx="8">
                    <c:v>70.650485273970332</c:v>
                  </c:pt>
                  <c:pt idx="9">
                    <c:v>87.759902252158938</c:v>
                  </c:pt>
                  <c:pt idx="10">
                    <c:v>115.369804247849</c:v>
                  </c:pt>
                  <c:pt idx="11">
                    <c:v>159.10557132646179</c:v>
                  </c:pt>
                  <c:pt idx="12">
                    <c:v>160.51292472208874</c:v>
                  </c:pt>
                  <c:pt idx="13">
                    <c:v>152.71248697276408</c:v>
                  </c:pt>
                  <c:pt idx="14">
                    <c:v>178.35742905933543</c:v>
                  </c:pt>
                  <c:pt idx="15">
                    <c:v>117.92635523446937</c:v>
                  </c:pt>
                  <c:pt idx="16">
                    <c:v>263.81744926471663</c:v>
                  </c:pt>
                  <c:pt idx="17">
                    <c:v>215.64580994046335</c:v>
                  </c:pt>
                  <c:pt idx="18">
                    <c:v>214.44875636617289</c:v>
                  </c:pt>
                  <c:pt idx="19">
                    <c:v>257.85889823075485</c:v>
                  </c:pt>
                  <c:pt idx="20">
                    <c:v>233.12043636932941</c:v>
                  </c:pt>
                  <c:pt idx="21">
                    <c:v>316.27927718419426</c:v>
                  </c:pt>
                  <c:pt idx="22">
                    <c:v>195.03039044037538</c:v>
                  </c:pt>
                  <c:pt idx="23">
                    <c:v>182.53600614577152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harvest'!$H$228:$H$251</c:f>
              <c:numCache>
                <c:formatCode>0</c:formatCode>
                <c:ptCount val="24"/>
                <c:pt idx="0">
                  <c:v>4307.3105064480005</c:v>
                </c:pt>
                <c:pt idx="1">
                  <c:v>3701.3537416520003</c:v>
                </c:pt>
                <c:pt idx="2">
                  <c:v>5574.2232965390003</c:v>
                </c:pt>
                <c:pt idx="3">
                  <c:v>3895.2985023589999</c:v>
                </c:pt>
                <c:pt idx="4">
                  <c:v>5023.2657922420003</c:v>
                </c:pt>
                <c:pt idx="5">
                  <c:v>6475.4392492770003</c:v>
                </c:pt>
                <c:pt idx="6">
                  <c:v>9445.3993162229999</c:v>
                </c:pt>
                <c:pt idx="7">
                  <c:v>12433.692470002001</c:v>
                </c:pt>
                <c:pt idx="8">
                  <c:v>19937.61</c:v>
                </c:pt>
                <c:pt idx="9">
                  <c:v>23763.087258845</c:v>
                </c:pt>
                <c:pt idx="10">
                  <c:v>37118.709684875001</c:v>
                </c:pt>
                <c:pt idx="11">
                  <c:v>21497.313479880002</c:v>
                </c:pt>
                <c:pt idx="12">
                  <c:v>29653.243748955003</c:v>
                </c:pt>
                <c:pt idx="13">
                  <c:v>45586.335451904</c:v>
                </c:pt>
                <c:pt idx="14">
                  <c:v>42144.908542379999</c:v>
                </c:pt>
                <c:pt idx="15">
                  <c:v>47528.045418661</c:v>
                </c:pt>
                <c:pt idx="16">
                  <c:v>57688.236447435003</c:v>
                </c:pt>
                <c:pt idx="17">
                  <c:v>61361.828038818996</c:v>
                </c:pt>
                <c:pt idx="18">
                  <c:v>40112.691367248</c:v>
                </c:pt>
                <c:pt idx="19">
                  <c:v>43059.579655365</c:v>
                </c:pt>
                <c:pt idx="20">
                  <c:v>41893.065415131001</c:v>
                </c:pt>
                <c:pt idx="21">
                  <c:v>47571.402320476642</c:v>
                </c:pt>
                <c:pt idx="22">
                  <c:v>22497.882352941167</c:v>
                </c:pt>
                <c:pt idx="23">
                  <c:v>52173.075122864495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6-42EA-BC05-F6D23217A00B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harvest'!$T$228:$T$251</c:f>
                <c:numCache>
                  <c:formatCode>General</c:formatCode>
                  <c:ptCount val="24"/>
                  <c:pt idx="0">
                    <c:v>532.65847739776211</c:v>
                  </c:pt>
                  <c:pt idx="1">
                    <c:v>548.01378263984986</c:v>
                  </c:pt>
                  <c:pt idx="2">
                    <c:v>958.56914761256451</c:v>
                  </c:pt>
                  <c:pt idx="3">
                    <c:v>857.79284802375014</c:v>
                  </c:pt>
                  <c:pt idx="4">
                    <c:v>796.42849855629515</c:v>
                  </c:pt>
                  <c:pt idx="5">
                    <c:v>868.54156169321175</c:v>
                  </c:pt>
                  <c:pt idx="6">
                    <c:v>1239.5712335427741</c:v>
                  </c:pt>
                  <c:pt idx="7">
                    <c:v>1552.8194604813682</c:v>
                  </c:pt>
                  <c:pt idx="8">
                    <c:v>1809.7541273751503</c:v>
                  </c:pt>
                  <c:pt idx="9">
                    <c:v>2184.6991610994623</c:v>
                  </c:pt>
                  <c:pt idx="10">
                    <c:v>3050.7920317439575</c:v>
                  </c:pt>
                  <c:pt idx="11">
                    <c:v>1854.1839383951374</c:v>
                  </c:pt>
                  <c:pt idx="12">
                    <c:v>2560.4502914765471</c:v>
                  </c:pt>
                  <c:pt idx="13">
                    <c:v>2840.6616344520985</c:v>
                  </c:pt>
                  <c:pt idx="14">
                    <c:v>1190.0865780065956</c:v>
                  </c:pt>
                  <c:pt idx="15">
                    <c:v>2332.713244780989</c:v>
                  </c:pt>
                  <c:pt idx="16">
                    <c:v>3572.6944288142336</c:v>
                  </c:pt>
                  <c:pt idx="17">
                    <c:v>2029.2694332792848</c:v>
                  </c:pt>
                  <c:pt idx="18">
                    <c:v>1581.1725046386355</c:v>
                  </c:pt>
                  <c:pt idx="19">
                    <c:v>3634.3509642737276</c:v>
                  </c:pt>
                  <c:pt idx="20">
                    <c:v>1362.3076990258262</c:v>
                  </c:pt>
                  <c:pt idx="21">
                    <c:v>2284.2663535373308</c:v>
                  </c:pt>
                  <c:pt idx="22">
                    <c:v>3079.7352063965445</c:v>
                  </c:pt>
                  <c:pt idx="23">
                    <c:v>2140.0385949624301</c:v>
                  </c:pt>
                </c:numCache>
              </c:numRef>
            </c:plus>
            <c:minus>
              <c:numRef>
                <c:f>'BRF harvest'!$T$228:$T$251</c:f>
                <c:numCache>
                  <c:formatCode>General</c:formatCode>
                  <c:ptCount val="24"/>
                  <c:pt idx="0">
                    <c:v>532.65847739776211</c:v>
                  </c:pt>
                  <c:pt idx="1">
                    <c:v>548.01378263984986</c:v>
                  </c:pt>
                  <c:pt idx="2">
                    <c:v>958.56914761256451</c:v>
                  </c:pt>
                  <c:pt idx="3">
                    <c:v>857.79284802375014</c:v>
                  </c:pt>
                  <c:pt idx="4">
                    <c:v>796.42849855629515</c:v>
                  </c:pt>
                  <c:pt idx="5">
                    <c:v>868.54156169321175</c:v>
                  </c:pt>
                  <c:pt idx="6">
                    <c:v>1239.5712335427741</c:v>
                  </c:pt>
                  <c:pt idx="7">
                    <c:v>1552.8194604813682</c:v>
                  </c:pt>
                  <c:pt idx="8">
                    <c:v>1809.7541273751503</c:v>
                  </c:pt>
                  <c:pt idx="9">
                    <c:v>2184.6991610994623</c:v>
                  </c:pt>
                  <c:pt idx="10">
                    <c:v>3050.7920317439575</c:v>
                  </c:pt>
                  <c:pt idx="11">
                    <c:v>1854.1839383951374</c:v>
                  </c:pt>
                  <c:pt idx="12">
                    <c:v>2560.4502914765471</c:v>
                  </c:pt>
                  <c:pt idx="13">
                    <c:v>2840.6616344520985</c:v>
                  </c:pt>
                  <c:pt idx="14">
                    <c:v>1190.0865780065956</c:v>
                  </c:pt>
                  <c:pt idx="15">
                    <c:v>2332.713244780989</c:v>
                  </c:pt>
                  <c:pt idx="16">
                    <c:v>3572.6944288142336</c:v>
                  </c:pt>
                  <c:pt idx="17">
                    <c:v>2029.2694332792848</c:v>
                  </c:pt>
                  <c:pt idx="18">
                    <c:v>1581.1725046386355</c:v>
                  </c:pt>
                  <c:pt idx="19">
                    <c:v>3634.3509642737276</c:v>
                  </c:pt>
                  <c:pt idx="20">
                    <c:v>1362.3076990258262</c:v>
                  </c:pt>
                  <c:pt idx="21">
                    <c:v>2284.2663535373308</c:v>
                  </c:pt>
                  <c:pt idx="22">
                    <c:v>3079.7352063965445</c:v>
                  </c:pt>
                  <c:pt idx="23">
                    <c:v>2140.0385949624301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harvest'!$Q$228:$Q$251</c:f>
              <c:numCache>
                <c:formatCode>_(* #,##0_);_(* \(#,##0\);_(* "-"??_);_(@_)</c:formatCode>
                <c:ptCount val="24"/>
                <c:pt idx="0">
                  <c:v>801.97560434533898</c:v>
                </c:pt>
                <c:pt idx="1">
                  <c:v>825.0946960785484</c:v>
                </c:pt>
                <c:pt idx="2">
                  <c:v>1443.2307080120315</c:v>
                </c:pt>
                <c:pt idx="3">
                  <c:v>1291.5009652296328</c:v>
                </c:pt>
                <c:pt idx="4">
                  <c:v>1199.1102245624738</c:v>
                </c:pt>
                <c:pt idx="5">
                  <c:v>1307.6843294428807</c:v>
                </c:pt>
                <c:pt idx="6">
                  <c:v>1866.3100867297687</c:v>
                </c:pt>
                <c:pt idx="7">
                  <c:v>2337.9395580872447</c:v>
                </c:pt>
                <c:pt idx="8">
                  <c:v>2745.1220220593482</c:v>
                </c:pt>
                <c:pt idx="9">
                  <c:v>3306.1093954988428</c:v>
                </c:pt>
                <c:pt idx="10">
                  <c:v>4633.9388452869034</c:v>
                </c:pt>
                <c:pt idx="11">
                  <c:v>2810.3532954239713</c:v>
                </c:pt>
                <c:pt idx="12">
                  <c:v>3901.0268763911654</c:v>
                </c:pt>
                <c:pt idx="13">
                  <c:v>5183.4449949519339</c:v>
                </c:pt>
                <c:pt idx="14">
                  <c:v>3614.3003611751105</c:v>
                </c:pt>
                <c:pt idx="15">
                  <c:v>5801.0706973464085</c:v>
                </c:pt>
                <c:pt idx="16">
                  <c:v>7443.7972662008888</c:v>
                </c:pt>
                <c:pt idx="17">
                  <c:v>4730.7066242056717</c:v>
                </c:pt>
                <c:pt idx="18">
                  <c:v>4320.7024577394777</c:v>
                </c:pt>
                <c:pt idx="19">
                  <c:v>7333.1831447602945</c:v>
                </c:pt>
                <c:pt idx="20">
                  <c:v>3746.6034810478227</c:v>
                </c:pt>
                <c:pt idx="21">
                  <c:v>5715.7454789153699</c:v>
                </c:pt>
                <c:pt idx="22">
                  <c:v>4931.14454521266</c:v>
                </c:pt>
                <c:pt idx="23">
                  <c:v>5656.9398503869897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46-42EA-BC05-F6D23217A00B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harvest'!$Y$228:$Y$251</c:f>
                <c:numCache>
                  <c:formatCode>General</c:formatCode>
                  <c:ptCount val="24"/>
                  <c:pt idx="0">
                    <c:v>562.25517634278253</c:v>
                  </c:pt>
                  <c:pt idx="1">
                    <c:v>569.42823507561889</c:v>
                  </c:pt>
                  <c:pt idx="2">
                    <c:v>986.4721339491482</c:v>
                  </c:pt>
                  <c:pt idx="3">
                    <c:v>873.10446196177429</c:v>
                  </c:pt>
                  <c:pt idx="4">
                    <c:v>823.63366719333089</c:v>
                  </c:pt>
                  <c:pt idx="5">
                    <c:v>909.72776090519926</c:v>
                  </c:pt>
                  <c:pt idx="6">
                    <c:v>1300.9100555111286</c:v>
                  </c:pt>
                  <c:pt idx="7">
                    <c:v>1637.4607362172969</c:v>
                  </c:pt>
                  <c:pt idx="8">
                    <c:v>1811.1326546172259</c:v>
                  </c:pt>
                  <c:pt idx="9">
                    <c:v>2186.4611190121818</c:v>
                  </c:pt>
                  <c:pt idx="10">
                    <c:v>3052.9726845624755</c:v>
                  </c:pt>
                  <c:pt idx="11">
                    <c:v>1860.9977593295546</c:v>
                  </c:pt>
                  <c:pt idx="12">
                    <c:v>2565.4765822601412</c:v>
                  </c:pt>
                  <c:pt idx="13">
                    <c:v>2844.7635446773911</c:v>
                  </c:pt>
                  <c:pt idx="14">
                    <c:v>1203.3775116945239</c:v>
                  </c:pt>
                  <c:pt idx="15">
                    <c:v>2335.6921260379195</c:v>
                  </c:pt>
                  <c:pt idx="16">
                    <c:v>3582.4216848686033</c:v>
                  </c:pt>
                  <c:pt idx="17">
                    <c:v>2040.6953589858799</c:v>
                  </c:pt>
                  <c:pt idx="18">
                    <c:v>1595.6486952121429</c:v>
                  </c:pt>
                  <c:pt idx="19">
                    <c:v>3643.487085597279</c:v>
                  </c:pt>
                  <c:pt idx="20">
                    <c:v>1382.1097657849277</c:v>
                  </c:pt>
                  <c:pt idx="21">
                    <c:v>2306.0584023564734</c:v>
                  </c:pt>
                  <c:pt idx="22">
                    <c:v>3085.9043722568099</c:v>
                  </c:pt>
                  <c:pt idx="23">
                    <c:v>2147.8092516488564</c:v>
                  </c:pt>
                </c:numCache>
              </c:numRef>
            </c:plus>
            <c:minus>
              <c:numRef>
                <c:f>'BRF harvest'!$Y$228:$Y$251</c:f>
                <c:numCache>
                  <c:formatCode>General</c:formatCode>
                  <c:ptCount val="24"/>
                  <c:pt idx="0">
                    <c:v>562.25517634278253</c:v>
                  </c:pt>
                  <c:pt idx="1">
                    <c:v>569.42823507561889</c:v>
                  </c:pt>
                  <c:pt idx="2">
                    <c:v>986.4721339491482</c:v>
                  </c:pt>
                  <c:pt idx="3">
                    <c:v>873.10446196177429</c:v>
                  </c:pt>
                  <c:pt idx="4">
                    <c:v>823.63366719333089</c:v>
                  </c:pt>
                  <c:pt idx="5">
                    <c:v>909.72776090519926</c:v>
                  </c:pt>
                  <c:pt idx="6">
                    <c:v>1300.9100555111286</c:v>
                  </c:pt>
                  <c:pt idx="7">
                    <c:v>1637.4607362172969</c:v>
                  </c:pt>
                  <c:pt idx="8">
                    <c:v>1811.1326546172259</c:v>
                  </c:pt>
                  <c:pt idx="9">
                    <c:v>2186.4611190121818</c:v>
                  </c:pt>
                  <c:pt idx="10">
                    <c:v>3052.9726845624755</c:v>
                  </c:pt>
                  <c:pt idx="11">
                    <c:v>1860.9977593295546</c:v>
                  </c:pt>
                  <c:pt idx="12">
                    <c:v>2565.4765822601412</c:v>
                  </c:pt>
                  <c:pt idx="13">
                    <c:v>2844.7635446773911</c:v>
                  </c:pt>
                  <c:pt idx="14">
                    <c:v>1203.3775116945239</c:v>
                  </c:pt>
                  <c:pt idx="15">
                    <c:v>2335.6921260379195</c:v>
                  </c:pt>
                  <c:pt idx="16">
                    <c:v>3582.4216848686033</c:v>
                  </c:pt>
                  <c:pt idx="17">
                    <c:v>2040.6953589858799</c:v>
                  </c:pt>
                  <c:pt idx="18">
                    <c:v>1595.6486952121429</c:v>
                  </c:pt>
                  <c:pt idx="19">
                    <c:v>3643.487085597279</c:v>
                  </c:pt>
                  <c:pt idx="20">
                    <c:v>1382.1097657849277</c:v>
                  </c:pt>
                  <c:pt idx="21">
                    <c:v>2306.0584023564734</c:v>
                  </c:pt>
                  <c:pt idx="22">
                    <c:v>3085.9043722568099</c:v>
                  </c:pt>
                  <c:pt idx="23">
                    <c:v>2147.8092516488564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harvest'!$V$228:$V$251</c:f>
              <c:numCache>
                <c:formatCode>_(* #,##0_);_(* \(#,##0\);_(* "-"??_);_(@_)</c:formatCode>
                <c:ptCount val="24"/>
                <c:pt idx="0">
                  <c:v>5109.2861107933395</c:v>
                </c:pt>
                <c:pt idx="1">
                  <c:v>4526.4484377305489</c:v>
                </c:pt>
                <c:pt idx="2">
                  <c:v>7017.4540045510321</c:v>
                </c:pt>
                <c:pt idx="3">
                  <c:v>5186.799467588633</c:v>
                </c:pt>
                <c:pt idx="4">
                  <c:v>6222.3760168044737</c:v>
                </c:pt>
                <c:pt idx="5">
                  <c:v>7783.1235787198812</c:v>
                </c:pt>
                <c:pt idx="6">
                  <c:v>11311.709402952769</c:v>
                </c:pt>
                <c:pt idx="7">
                  <c:v>14771.632028089245</c:v>
                </c:pt>
                <c:pt idx="8">
                  <c:v>22682.73202205935</c:v>
                </c:pt>
                <c:pt idx="9">
                  <c:v>27069.196654343843</c:v>
                </c:pt>
                <c:pt idx="10">
                  <c:v>41752.648530161903</c:v>
                </c:pt>
                <c:pt idx="11">
                  <c:v>24307.666775303973</c:v>
                </c:pt>
                <c:pt idx="12">
                  <c:v>33554.270625346166</c:v>
                </c:pt>
                <c:pt idx="13">
                  <c:v>50769.780446855933</c:v>
                </c:pt>
                <c:pt idx="14">
                  <c:v>45759.208903555111</c:v>
                </c:pt>
                <c:pt idx="15">
                  <c:v>53329.116116007412</c:v>
                </c:pt>
                <c:pt idx="16">
                  <c:v>65132.033713635894</c:v>
                </c:pt>
                <c:pt idx="17">
                  <c:v>66092.534663024664</c:v>
                </c:pt>
                <c:pt idx="18">
                  <c:v>44433.393824987477</c:v>
                </c:pt>
                <c:pt idx="19">
                  <c:v>50392.762800125296</c:v>
                </c:pt>
                <c:pt idx="20">
                  <c:v>45639.668896178824</c:v>
                </c:pt>
                <c:pt idx="21">
                  <c:v>53287.147799392013</c:v>
                </c:pt>
                <c:pt idx="22">
                  <c:v>27429.026898153828</c:v>
                </c:pt>
                <c:pt idx="23">
                  <c:v>57830.014973251484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46-42EA-BC05-F6D23217A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EWYKT</a:t>
            </a:r>
          </a:p>
        </c:rich>
      </c:tx>
      <c:layout>
        <c:manualLayout>
          <c:xMode val="edge"/>
          <c:yMode val="edge"/>
          <c:x val="0.48803725881570192"/>
          <c:y val="1.618613288114121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harvest'!$K$253:$K$276</c:f>
                <c:numCache>
                  <c:formatCode>General</c:formatCode>
                  <c:ptCount val="24"/>
                  <c:pt idx="0">
                    <c:v>19.842228352511459</c:v>
                  </c:pt>
                  <c:pt idx="1">
                    <c:v>15.527466250105533</c:v>
                  </c:pt>
                  <c:pt idx="2">
                    <c:v>30.004628567388572</c:v>
                  </c:pt>
                  <c:pt idx="3">
                    <c:v>25.292454166076833</c:v>
                  </c:pt>
                  <c:pt idx="4">
                    <c:v>22.453794888178201</c:v>
                  </c:pt>
                  <c:pt idx="5">
                    <c:v>33.609725850319833</c:v>
                  </c:pt>
                  <c:pt idx="6">
                    <c:v>31.878143690801668</c:v>
                  </c:pt>
                  <c:pt idx="7">
                    <c:v>39.514137148349</c:v>
                  </c:pt>
                  <c:pt idx="8">
                    <c:v>2.770257074575269</c:v>
                  </c:pt>
                  <c:pt idx="9">
                    <c:v>0</c:v>
                  </c:pt>
                  <c:pt idx="10">
                    <c:v>3.2679971040976232</c:v>
                  </c:pt>
                  <c:pt idx="11">
                    <c:v>5.9606311694123706</c:v>
                  </c:pt>
                  <c:pt idx="12">
                    <c:v>21.344004401596784</c:v>
                  </c:pt>
                  <c:pt idx="13">
                    <c:v>15.24896766860082</c:v>
                  </c:pt>
                  <c:pt idx="14">
                    <c:v>20.922955423704646</c:v>
                  </c:pt>
                  <c:pt idx="15">
                    <c:v>10.485487199292187</c:v>
                  </c:pt>
                  <c:pt idx="16">
                    <c:v>6.2442548150057551</c:v>
                  </c:pt>
                  <c:pt idx="17">
                    <c:v>11.575900257958272</c:v>
                  </c:pt>
                  <c:pt idx="18">
                    <c:v>6.7352778779021936</c:v>
                  </c:pt>
                  <c:pt idx="19">
                    <c:v>42.133235457348846</c:v>
                  </c:pt>
                  <c:pt idx="20">
                    <c:v>45.376867500194386</c:v>
                  </c:pt>
                  <c:pt idx="21">
                    <c:v>52.03770966906275</c:v>
                  </c:pt>
                  <c:pt idx="22">
                    <c:v>34.789234359143258</c:v>
                  </c:pt>
                  <c:pt idx="23">
                    <c:v>33.729200412224628</c:v>
                  </c:pt>
                </c:numCache>
              </c:numRef>
            </c:plus>
            <c:minus>
              <c:numRef>
                <c:f>'BRF harvest'!$K$253:$K$276</c:f>
                <c:numCache>
                  <c:formatCode>General</c:formatCode>
                  <c:ptCount val="24"/>
                  <c:pt idx="0">
                    <c:v>19.842228352511459</c:v>
                  </c:pt>
                  <c:pt idx="1">
                    <c:v>15.527466250105533</c:v>
                  </c:pt>
                  <c:pt idx="2">
                    <c:v>30.004628567388572</c:v>
                  </c:pt>
                  <c:pt idx="3">
                    <c:v>25.292454166076833</c:v>
                  </c:pt>
                  <c:pt idx="4">
                    <c:v>22.453794888178201</c:v>
                  </c:pt>
                  <c:pt idx="5">
                    <c:v>33.609725850319833</c:v>
                  </c:pt>
                  <c:pt idx="6">
                    <c:v>31.878143690801668</c:v>
                  </c:pt>
                  <c:pt idx="7">
                    <c:v>39.514137148349</c:v>
                  </c:pt>
                  <c:pt idx="8">
                    <c:v>2.770257074575269</c:v>
                  </c:pt>
                  <c:pt idx="9">
                    <c:v>0</c:v>
                  </c:pt>
                  <c:pt idx="10">
                    <c:v>3.2679971040976232</c:v>
                  </c:pt>
                  <c:pt idx="11">
                    <c:v>5.9606311694123706</c:v>
                  </c:pt>
                  <c:pt idx="12">
                    <c:v>21.344004401596784</c:v>
                  </c:pt>
                  <c:pt idx="13">
                    <c:v>15.24896766860082</c:v>
                  </c:pt>
                  <c:pt idx="14">
                    <c:v>20.922955423704646</c:v>
                  </c:pt>
                  <c:pt idx="15">
                    <c:v>10.485487199292187</c:v>
                  </c:pt>
                  <c:pt idx="16">
                    <c:v>6.2442548150057551</c:v>
                  </c:pt>
                  <c:pt idx="17">
                    <c:v>11.575900257958272</c:v>
                  </c:pt>
                  <c:pt idx="18">
                    <c:v>6.7352778779021936</c:v>
                  </c:pt>
                  <c:pt idx="19">
                    <c:v>42.133235457348846</c:v>
                  </c:pt>
                  <c:pt idx="20">
                    <c:v>45.376867500194386</c:v>
                  </c:pt>
                  <c:pt idx="21">
                    <c:v>52.03770966906275</c:v>
                  </c:pt>
                  <c:pt idx="22">
                    <c:v>34.789234359143258</c:v>
                  </c:pt>
                  <c:pt idx="23">
                    <c:v>33.729200412224628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harvest'!$H$253:$H$276</c:f>
              <c:numCache>
                <c:formatCode>0</c:formatCode>
                <c:ptCount val="24"/>
                <c:pt idx="0">
                  <c:v>690.47083485299993</c:v>
                </c:pt>
                <c:pt idx="1">
                  <c:v>540.32553170899996</c:v>
                </c:pt>
                <c:pt idx="2">
                  <c:v>1044.1025356789999</c:v>
                </c:pt>
                <c:pt idx="3">
                  <c:v>880.12805987699994</c:v>
                </c:pt>
                <c:pt idx="4">
                  <c:v>781.34825517699994</c:v>
                </c:pt>
                <c:pt idx="5">
                  <c:v>1169.552887648</c:v>
                </c:pt>
                <c:pt idx="6">
                  <c:v>1109.2972067809999</c:v>
                </c:pt>
                <c:pt idx="7">
                  <c:v>1375.0148814239999</c:v>
                </c:pt>
                <c:pt idx="8">
                  <c:v>2087.58660349</c:v>
                </c:pt>
                <c:pt idx="9">
                  <c:v>1956</c:v>
                </c:pt>
                <c:pt idx="10">
                  <c:v>2454.3326535280003</c:v>
                </c:pt>
                <c:pt idx="11">
                  <c:v>2187.728365722</c:v>
                </c:pt>
                <c:pt idx="12">
                  <c:v>1889.382352032</c:v>
                </c:pt>
                <c:pt idx="13">
                  <c:v>2329.7703125000003</c:v>
                </c:pt>
                <c:pt idx="14">
                  <c:v>2663.1144591929997</c:v>
                </c:pt>
                <c:pt idx="15">
                  <c:v>3416.8393150320003</c:v>
                </c:pt>
                <c:pt idx="16">
                  <c:v>4015.4932744799999</c:v>
                </c:pt>
                <c:pt idx="17">
                  <c:v>4700.5145911449999</c:v>
                </c:pt>
                <c:pt idx="18">
                  <c:v>6233.563637532</c:v>
                </c:pt>
                <c:pt idx="19">
                  <c:v>5353.6794426050001</c:v>
                </c:pt>
                <c:pt idx="20">
                  <c:v>7519.9182425179997</c:v>
                </c:pt>
                <c:pt idx="21">
                  <c:v>6887.5561613958553</c:v>
                </c:pt>
                <c:pt idx="22">
                  <c:v>3913.6902552204169</c:v>
                </c:pt>
                <c:pt idx="23">
                  <c:v>7153.7144515380114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4-4F63-AFB2-46CF77AC66CE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harvest'!$T$253:$T$276</c:f>
                <c:numCache>
                  <c:formatCode>General</c:formatCode>
                  <c:ptCount val="24"/>
                  <c:pt idx="0">
                    <c:v>285.32983662249012</c:v>
                  </c:pt>
                  <c:pt idx="1">
                    <c:v>144.96067561740301</c:v>
                  </c:pt>
                  <c:pt idx="2">
                    <c:v>262.153620007943</c:v>
                  </c:pt>
                  <c:pt idx="3">
                    <c:v>228.04522574502465</c:v>
                  </c:pt>
                  <c:pt idx="4">
                    <c:v>195.24869279991086</c:v>
                  </c:pt>
                  <c:pt idx="5">
                    <c:v>355.7330606780011</c:v>
                  </c:pt>
                  <c:pt idx="6">
                    <c:v>328.1839730041055</c:v>
                  </c:pt>
                  <c:pt idx="7">
                    <c:v>366.44659477340491</c:v>
                  </c:pt>
                  <c:pt idx="8">
                    <c:v>571.39454194497057</c:v>
                  </c:pt>
                  <c:pt idx="9">
                    <c:v>537.75078030647217</c:v>
                  </c:pt>
                  <c:pt idx="10">
                    <c:v>564.5567350995193</c:v>
                  </c:pt>
                  <c:pt idx="11">
                    <c:v>581.70536389836286</c:v>
                  </c:pt>
                  <c:pt idx="12">
                    <c:v>539.89247566097367</c:v>
                  </c:pt>
                  <c:pt idx="13">
                    <c:v>1032.40712652773</c:v>
                  </c:pt>
                  <c:pt idx="14">
                    <c:v>343.71605743125787</c:v>
                  </c:pt>
                  <c:pt idx="15">
                    <c:v>510.92040187999527</c:v>
                  </c:pt>
                  <c:pt idx="16">
                    <c:v>839.19560693530514</c:v>
                  </c:pt>
                  <c:pt idx="17">
                    <c:v>2034.2140589538892</c:v>
                  </c:pt>
                  <c:pt idx="18">
                    <c:v>1216.2023715395871</c:v>
                  </c:pt>
                  <c:pt idx="19">
                    <c:v>777.04328369335747</c:v>
                  </c:pt>
                  <c:pt idx="20">
                    <c:v>1064.1239010135846</c:v>
                  </c:pt>
                  <c:pt idx="21">
                    <c:v>1867.0150268196958</c:v>
                  </c:pt>
                  <c:pt idx="22">
                    <c:v>641.77552894664848</c:v>
                  </c:pt>
                  <c:pt idx="23">
                    <c:v>1075.9609680842434</c:v>
                  </c:pt>
                </c:numCache>
              </c:numRef>
            </c:plus>
            <c:minus>
              <c:numRef>
                <c:f>'BRF harvest'!$T$253:$T$276</c:f>
                <c:numCache>
                  <c:formatCode>General</c:formatCode>
                  <c:ptCount val="24"/>
                  <c:pt idx="0">
                    <c:v>285.32983662249012</c:v>
                  </c:pt>
                  <c:pt idx="1">
                    <c:v>144.96067561740301</c:v>
                  </c:pt>
                  <c:pt idx="2">
                    <c:v>262.153620007943</c:v>
                  </c:pt>
                  <c:pt idx="3">
                    <c:v>228.04522574502465</c:v>
                  </c:pt>
                  <c:pt idx="4">
                    <c:v>195.24869279991086</c:v>
                  </c:pt>
                  <c:pt idx="5">
                    <c:v>355.7330606780011</c:v>
                  </c:pt>
                  <c:pt idx="6">
                    <c:v>328.1839730041055</c:v>
                  </c:pt>
                  <c:pt idx="7">
                    <c:v>366.44659477340491</c:v>
                  </c:pt>
                  <c:pt idx="8">
                    <c:v>571.39454194497057</c:v>
                  </c:pt>
                  <c:pt idx="9">
                    <c:v>537.75078030647217</c:v>
                  </c:pt>
                  <c:pt idx="10">
                    <c:v>564.5567350995193</c:v>
                  </c:pt>
                  <c:pt idx="11">
                    <c:v>581.70536389836286</c:v>
                  </c:pt>
                  <c:pt idx="12">
                    <c:v>539.89247566097367</c:v>
                  </c:pt>
                  <c:pt idx="13">
                    <c:v>1032.40712652773</c:v>
                  </c:pt>
                  <c:pt idx="14">
                    <c:v>343.71605743125787</c:v>
                  </c:pt>
                  <c:pt idx="15">
                    <c:v>510.92040187999527</c:v>
                  </c:pt>
                  <c:pt idx="16">
                    <c:v>839.19560693530514</c:v>
                  </c:pt>
                  <c:pt idx="17">
                    <c:v>2034.2140589538892</c:v>
                  </c:pt>
                  <c:pt idx="18">
                    <c:v>1216.2023715395871</c:v>
                  </c:pt>
                  <c:pt idx="19">
                    <c:v>777.04328369335747</c:v>
                  </c:pt>
                  <c:pt idx="20">
                    <c:v>1064.1239010135846</c:v>
                  </c:pt>
                  <c:pt idx="21">
                    <c:v>1867.0150268196958</c:v>
                  </c:pt>
                  <c:pt idx="22">
                    <c:v>641.77552894664848</c:v>
                  </c:pt>
                  <c:pt idx="23">
                    <c:v>1075.9609680842434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harvest'!$Q$253:$Q$276</c:f>
              <c:numCache>
                <c:formatCode>_(* #,##0_);_(* \(#,##0\);_(* "-"??_);_(@_)</c:formatCode>
                <c:ptCount val="24"/>
                <c:pt idx="0">
                  <c:v>295.36170376833837</c:v>
                </c:pt>
                <c:pt idx="1">
                  <c:v>150.05732536276503</c:v>
                </c:pt>
                <c:pt idx="2">
                  <c:v>271.37063817489474</c:v>
                </c:pt>
                <c:pt idx="3">
                  <c:v>236.06303220718536</c:v>
                </c:pt>
                <c:pt idx="4">
                  <c:v>202.11341108438779</c:v>
                </c:pt>
                <c:pt idx="5">
                  <c:v>368.24022377861053</c:v>
                </c:pt>
                <c:pt idx="6">
                  <c:v>339.72254203546038</c:v>
                </c:pt>
                <c:pt idx="7">
                  <c:v>379.33043334539087</c:v>
                </c:pt>
                <c:pt idx="8">
                  <c:v>601.31198692283215</c:v>
                </c:pt>
                <c:pt idx="9">
                  <c:v>566.29177950935309</c:v>
                </c:pt>
                <c:pt idx="10">
                  <c:v>588.88360878846356</c:v>
                </c:pt>
                <c:pt idx="11">
                  <c:v>612.6211047032599</c:v>
                </c:pt>
                <c:pt idx="12">
                  <c:v>568.18998191297976</c:v>
                </c:pt>
                <c:pt idx="13">
                  <c:v>1186.6216069144452</c:v>
                </c:pt>
                <c:pt idx="14">
                  <c:v>424.15139014594268</c:v>
                </c:pt>
                <c:pt idx="15">
                  <c:v>513.66766016698386</c:v>
                </c:pt>
                <c:pt idx="16">
                  <c:v>888.71085848877408</c:v>
                </c:pt>
                <c:pt idx="17">
                  <c:v>2353.9757505132493</c:v>
                </c:pt>
                <c:pt idx="18">
                  <c:v>1791.6873162222769</c:v>
                </c:pt>
                <c:pt idx="19">
                  <c:v>1137.1899984202396</c:v>
                </c:pt>
                <c:pt idx="20">
                  <c:v>1500.8444792645603</c:v>
                </c:pt>
                <c:pt idx="21">
                  <c:v>2578.300993826947</c:v>
                </c:pt>
                <c:pt idx="22">
                  <c:v>904.36155189889848</c:v>
                </c:pt>
                <c:pt idx="23">
                  <c:v>1508.6194211661759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4-4F63-AFB2-46CF77AC66CE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harvest'!$Y$253:$Y$276</c:f>
                <c:numCache>
                  <c:formatCode>General</c:formatCode>
                  <c:ptCount val="24"/>
                  <c:pt idx="0">
                    <c:v>286.01893240310176</c:v>
                  </c:pt>
                  <c:pt idx="1">
                    <c:v>145.78991626172953</c:v>
                  </c:pt>
                  <c:pt idx="2">
                    <c:v>263.86511368260852</c:v>
                  </c:pt>
                  <c:pt idx="3">
                    <c:v>229.4435294856718</c:v>
                  </c:pt>
                  <c:pt idx="4">
                    <c:v>196.53555643942477</c:v>
                  </c:pt>
                  <c:pt idx="5">
                    <c:v>357.31725977214148</c:v>
                  </c:pt>
                  <c:pt idx="6">
                    <c:v>329.72857956496705</c:v>
                  </c:pt>
                  <c:pt idx="7">
                    <c:v>368.57085323666411</c:v>
                  </c:pt>
                  <c:pt idx="8">
                    <c:v>571.40125733915045</c:v>
                  </c:pt>
                  <c:pt idx="9">
                    <c:v>537.75078030647217</c:v>
                  </c:pt>
                  <c:pt idx="10">
                    <c:v>564.56619359584499</c:v>
                  </c:pt>
                  <c:pt idx="11">
                    <c:v>581.73590185930982</c:v>
                  </c:pt>
                  <c:pt idx="12">
                    <c:v>540.31421580338827</c:v>
                  </c:pt>
                  <c:pt idx="13">
                    <c:v>1032.5197363344694</c:v>
                  </c:pt>
                  <c:pt idx="14">
                    <c:v>344.35228792582473</c:v>
                  </c:pt>
                  <c:pt idx="15">
                    <c:v>511.0279860232925</c:v>
                  </c:pt>
                  <c:pt idx="16">
                    <c:v>839.21883762086145</c:v>
                  </c:pt>
                  <c:pt idx="17">
                    <c:v>2034.246995601183</c:v>
                  </c:pt>
                  <c:pt idx="18">
                    <c:v>1216.2210212402219</c:v>
                  </c:pt>
                  <c:pt idx="19">
                    <c:v>778.18473016569794</c:v>
                  </c:pt>
                  <c:pt idx="20">
                    <c:v>1065.0909523662754</c:v>
                  </c:pt>
                  <c:pt idx="21">
                    <c:v>1867.7400872707506</c:v>
                  </c:pt>
                  <c:pt idx="22">
                    <c:v>642.71776106005177</c:v>
                  </c:pt>
                  <c:pt idx="23">
                    <c:v>1076.4895093781593</c:v>
                  </c:pt>
                </c:numCache>
              </c:numRef>
            </c:plus>
            <c:minus>
              <c:numRef>
                <c:f>'BRF harvest'!$Y$253:$Y$276</c:f>
                <c:numCache>
                  <c:formatCode>General</c:formatCode>
                  <c:ptCount val="24"/>
                  <c:pt idx="0">
                    <c:v>286.01893240310176</c:v>
                  </c:pt>
                  <c:pt idx="1">
                    <c:v>145.78991626172953</c:v>
                  </c:pt>
                  <c:pt idx="2">
                    <c:v>263.86511368260852</c:v>
                  </c:pt>
                  <c:pt idx="3">
                    <c:v>229.4435294856718</c:v>
                  </c:pt>
                  <c:pt idx="4">
                    <c:v>196.53555643942477</c:v>
                  </c:pt>
                  <c:pt idx="5">
                    <c:v>357.31725977214148</c:v>
                  </c:pt>
                  <c:pt idx="6">
                    <c:v>329.72857956496705</c:v>
                  </c:pt>
                  <c:pt idx="7">
                    <c:v>368.57085323666411</c:v>
                  </c:pt>
                  <c:pt idx="8">
                    <c:v>571.40125733915045</c:v>
                  </c:pt>
                  <c:pt idx="9">
                    <c:v>537.75078030647217</c:v>
                  </c:pt>
                  <c:pt idx="10">
                    <c:v>564.56619359584499</c:v>
                  </c:pt>
                  <c:pt idx="11">
                    <c:v>581.73590185930982</c:v>
                  </c:pt>
                  <c:pt idx="12">
                    <c:v>540.31421580338827</c:v>
                  </c:pt>
                  <c:pt idx="13">
                    <c:v>1032.5197363344694</c:v>
                  </c:pt>
                  <c:pt idx="14">
                    <c:v>344.35228792582473</c:v>
                  </c:pt>
                  <c:pt idx="15">
                    <c:v>511.0279860232925</c:v>
                  </c:pt>
                  <c:pt idx="16">
                    <c:v>839.21883762086145</c:v>
                  </c:pt>
                  <c:pt idx="17">
                    <c:v>2034.246995601183</c:v>
                  </c:pt>
                  <c:pt idx="18">
                    <c:v>1216.2210212402219</c:v>
                  </c:pt>
                  <c:pt idx="19">
                    <c:v>778.18473016569794</c:v>
                  </c:pt>
                  <c:pt idx="20">
                    <c:v>1065.0909523662754</c:v>
                  </c:pt>
                  <c:pt idx="21">
                    <c:v>1867.7400872707506</c:v>
                  </c:pt>
                  <c:pt idx="22">
                    <c:v>642.71776106005177</c:v>
                  </c:pt>
                  <c:pt idx="23">
                    <c:v>1076.4895093781593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harvest'!$V$253:$V$276</c:f>
              <c:numCache>
                <c:formatCode>_(* #,##0_);_(* \(#,##0\);_(* "-"??_);_(@_)</c:formatCode>
                <c:ptCount val="24"/>
                <c:pt idx="0">
                  <c:v>985.83253862133824</c:v>
                </c:pt>
                <c:pt idx="1">
                  <c:v>690.38285707176499</c:v>
                </c:pt>
                <c:pt idx="2">
                  <c:v>1315.4731738538947</c:v>
                </c:pt>
                <c:pt idx="3">
                  <c:v>1116.1910920841854</c:v>
                </c:pt>
                <c:pt idx="4">
                  <c:v>983.46166626138779</c:v>
                </c:pt>
                <c:pt idx="5">
                  <c:v>1537.7931114266105</c:v>
                </c:pt>
                <c:pt idx="6">
                  <c:v>1449.0197488164604</c:v>
                </c:pt>
                <c:pt idx="7">
                  <c:v>1754.3453147693908</c:v>
                </c:pt>
                <c:pt idx="8">
                  <c:v>2688.8985904128322</c:v>
                </c:pt>
                <c:pt idx="9">
                  <c:v>2522.2917795093531</c:v>
                </c:pt>
                <c:pt idx="10">
                  <c:v>3043.2162623164641</c:v>
                </c:pt>
                <c:pt idx="11">
                  <c:v>2800.3494704252598</c:v>
                </c:pt>
                <c:pt idx="12">
                  <c:v>2457.5723339449796</c:v>
                </c:pt>
                <c:pt idx="13">
                  <c:v>3516.3919194144455</c:v>
                </c:pt>
                <c:pt idx="14">
                  <c:v>3087.2658493389422</c:v>
                </c:pt>
                <c:pt idx="15">
                  <c:v>3930.506975198984</c:v>
                </c:pt>
                <c:pt idx="16">
                  <c:v>4904.2041329687736</c:v>
                </c:pt>
                <c:pt idx="17">
                  <c:v>7054.4903416582492</c:v>
                </c:pt>
                <c:pt idx="18">
                  <c:v>8025.2509537542774</c:v>
                </c:pt>
                <c:pt idx="19">
                  <c:v>6490.8694410252392</c:v>
                </c:pt>
                <c:pt idx="20">
                  <c:v>9020.7627217825593</c:v>
                </c:pt>
                <c:pt idx="21">
                  <c:v>9465.8571552228022</c:v>
                </c:pt>
                <c:pt idx="22">
                  <c:v>4818.0518071193155</c:v>
                </c:pt>
                <c:pt idx="23">
                  <c:v>8662.3338727041883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4-4F63-AFB2-46CF77AC6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SKMA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'rockfish harvests'!$B$2:$B$26</c:f>
            </c:multiLvlStrRef>
          </c:cat>
          <c:val>
            <c:numRef>
              <c:f>'rockfish harvests'!$D$52:$D$76</c:f>
            </c:numRef>
          </c:val>
          <c:smooth val="0"/>
          <c:extLst>
            <c:ext xmlns:c16="http://schemas.microsoft.com/office/drawing/2014/chart" uri="{C3380CC4-5D6E-409C-BE32-E72D297353CC}">
              <c16:uniqueId val="{00000000-D07E-417A-A226-7750C66AAC38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harvests'!$N$52:$N$75</c:f>
              </c:numRef>
            </c:plus>
            <c:minus>
              <c:numRef>
                <c:f>'rockfish harvests'!$N$52:$N$75</c:f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'rockfish harvests'!$B$2:$B$26</c:f>
            </c:multiLvlStrRef>
          </c:cat>
          <c:val>
            <c:numRef>
              <c:f>'rockfish harvests'!$O$52:$O$76</c:f>
            </c:numRef>
          </c:val>
          <c:smooth val="0"/>
          <c:extLst>
            <c:ext xmlns:c16="http://schemas.microsoft.com/office/drawing/2014/chart" uri="{C3380CC4-5D6E-409C-BE32-E72D297353CC}">
              <c16:uniqueId val="{00000001-D07E-417A-A226-7750C66AAC38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harvests'!$N$52:$N$75</c:f>
              </c:numRef>
            </c:plus>
            <c:minus>
              <c:numRef>
                <c:f>'rockfish harvests'!$N$52:$N$75</c:f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multiLvlStrRef>
              <c:f>'rockfish harvests'!$B$2:$B$26</c:f>
            </c:multiLvlStrRef>
          </c:cat>
          <c:val>
            <c:numRef>
              <c:f>'rockfish harvests'!$K$52:$K$76</c:f>
            </c:numRef>
          </c:val>
          <c:smooth val="0"/>
          <c:extLst>
            <c:ext xmlns:c16="http://schemas.microsoft.com/office/drawing/2014/chart" uri="{C3380CC4-5D6E-409C-BE32-E72D297353CC}">
              <c16:uniqueId val="{00000002-D07E-417A-A226-7750C66AA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NSEI</a:t>
            </a:r>
          </a:p>
        </c:rich>
      </c:tx>
      <c:layout>
        <c:manualLayout>
          <c:xMode val="edge"/>
          <c:yMode val="edge"/>
          <c:x val="0.48803725881570192"/>
          <c:y val="1.618613288114121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harvest'!$K$278:$K$301</c:f>
                <c:numCache>
                  <c:formatCode>General</c:formatCode>
                  <c:ptCount val="24"/>
                  <c:pt idx="0">
                    <c:v>1276.7056569439446</c:v>
                  </c:pt>
                  <c:pt idx="1">
                    <c:v>1935.634323440564</c:v>
                  </c:pt>
                  <c:pt idx="2">
                    <c:v>2801.3250695994889</c:v>
                  </c:pt>
                  <c:pt idx="3">
                    <c:v>1961.7305082523112</c:v>
                  </c:pt>
                  <c:pt idx="4">
                    <c:v>1565.7710887048379</c:v>
                  </c:pt>
                  <c:pt idx="5">
                    <c:v>1782.0683128175895</c:v>
                  </c:pt>
                  <c:pt idx="6">
                    <c:v>1670.1558279518272</c:v>
                  </c:pt>
                  <c:pt idx="7">
                    <c:v>2240.7589458548405</c:v>
                  </c:pt>
                  <c:pt idx="8">
                    <c:v>98.613448126241337</c:v>
                  </c:pt>
                  <c:pt idx="9">
                    <c:v>75.464242027221275</c:v>
                  </c:pt>
                  <c:pt idx="10">
                    <c:v>99.017395944816087</c:v>
                  </c:pt>
                  <c:pt idx="11">
                    <c:v>204.45043220642589</c:v>
                  </c:pt>
                  <c:pt idx="12">
                    <c:v>227.04155185401802</c:v>
                  </c:pt>
                  <c:pt idx="13">
                    <c:v>180.80826395751939</c:v>
                  </c:pt>
                  <c:pt idx="14">
                    <c:v>259.45707469836736</c:v>
                  </c:pt>
                  <c:pt idx="15">
                    <c:v>323.59946709454869</c:v>
                  </c:pt>
                  <c:pt idx="16">
                    <c:v>438.81762166362415</c:v>
                  </c:pt>
                  <c:pt idx="17">
                    <c:v>337.56085748759324</c:v>
                  </c:pt>
                  <c:pt idx="18">
                    <c:v>593.11451527162433</c:v>
                  </c:pt>
                  <c:pt idx="19">
                    <c:v>543.88364511622717</c:v>
                  </c:pt>
                  <c:pt idx="20">
                    <c:v>505.06190264110688</c:v>
                  </c:pt>
                  <c:pt idx="21">
                    <c:v>504.60414574588935</c:v>
                  </c:pt>
                  <c:pt idx="22">
                    <c:v>660.65745076909718</c:v>
                  </c:pt>
                  <c:pt idx="23">
                    <c:v>699.58871422604466</c:v>
                  </c:pt>
                </c:numCache>
              </c:numRef>
            </c:plus>
            <c:minus>
              <c:numRef>
                <c:f>'BRF harvest'!$K$278:$K$301</c:f>
                <c:numCache>
                  <c:formatCode>General</c:formatCode>
                  <c:ptCount val="24"/>
                  <c:pt idx="0">
                    <c:v>1276.7056569439446</c:v>
                  </c:pt>
                  <c:pt idx="1">
                    <c:v>1935.634323440564</c:v>
                  </c:pt>
                  <c:pt idx="2">
                    <c:v>2801.3250695994889</c:v>
                  </c:pt>
                  <c:pt idx="3">
                    <c:v>1961.7305082523112</c:v>
                  </c:pt>
                  <c:pt idx="4">
                    <c:v>1565.7710887048379</c:v>
                  </c:pt>
                  <c:pt idx="5">
                    <c:v>1782.0683128175895</c:v>
                  </c:pt>
                  <c:pt idx="6">
                    <c:v>1670.1558279518272</c:v>
                  </c:pt>
                  <c:pt idx="7">
                    <c:v>2240.7589458548405</c:v>
                  </c:pt>
                  <c:pt idx="8">
                    <c:v>98.613448126241337</c:v>
                  </c:pt>
                  <c:pt idx="9">
                    <c:v>75.464242027221275</c:v>
                  </c:pt>
                  <c:pt idx="10">
                    <c:v>99.017395944816087</c:v>
                  </c:pt>
                  <c:pt idx="11">
                    <c:v>204.45043220642589</c:v>
                  </c:pt>
                  <c:pt idx="12">
                    <c:v>227.04155185401802</c:v>
                  </c:pt>
                  <c:pt idx="13">
                    <c:v>180.80826395751939</c:v>
                  </c:pt>
                  <c:pt idx="14">
                    <c:v>259.45707469836736</c:v>
                  </c:pt>
                  <c:pt idx="15">
                    <c:v>323.59946709454869</c:v>
                  </c:pt>
                  <c:pt idx="16">
                    <c:v>438.81762166362415</c:v>
                  </c:pt>
                  <c:pt idx="17">
                    <c:v>337.56085748759324</c:v>
                  </c:pt>
                  <c:pt idx="18">
                    <c:v>593.11451527162433</c:v>
                  </c:pt>
                  <c:pt idx="19">
                    <c:v>543.88364511622717</c:v>
                  </c:pt>
                  <c:pt idx="20">
                    <c:v>505.06190264110688</c:v>
                  </c:pt>
                  <c:pt idx="21">
                    <c:v>504.60414574588935</c:v>
                  </c:pt>
                  <c:pt idx="22">
                    <c:v>660.65745076909718</c:v>
                  </c:pt>
                  <c:pt idx="23">
                    <c:v>699.58871422604466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harvest'!$H$278:$H$301</c:f>
              <c:numCache>
                <c:formatCode>0</c:formatCode>
                <c:ptCount val="24"/>
                <c:pt idx="0">
                  <c:v>1811.88827784</c:v>
                </c:pt>
                <c:pt idx="1">
                  <c:v>2747.0334463949998</c:v>
                </c:pt>
                <c:pt idx="2">
                  <c:v>3975.61335177</c:v>
                </c:pt>
                <c:pt idx="3">
                  <c:v>2784.0688986149999</c:v>
                </c:pt>
                <c:pt idx="4">
                  <c:v>2222.1271332000001</c:v>
                </c:pt>
                <c:pt idx="5">
                  <c:v>2529.094054485</c:v>
                </c:pt>
                <c:pt idx="6">
                  <c:v>2370.2689420799998</c:v>
                </c:pt>
                <c:pt idx="7">
                  <c:v>3180.0633492749998</c:v>
                </c:pt>
                <c:pt idx="8">
                  <c:v>3209.40413046</c:v>
                </c:pt>
                <c:pt idx="9">
                  <c:v>4028.5853667000001</c:v>
                </c:pt>
                <c:pt idx="10">
                  <c:v>6522.3989786760003</c:v>
                </c:pt>
                <c:pt idx="11">
                  <c:v>4999.3624431899998</c:v>
                </c:pt>
                <c:pt idx="12">
                  <c:v>6216.8181809850003</c:v>
                </c:pt>
                <c:pt idx="13">
                  <c:v>7751.9598470999999</c:v>
                </c:pt>
                <c:pt idx="14">
                  <c:v>7916.931938535</c:v>
                </c:pt>
                <c:pt idx="15">
                  <c:v>7252.8341353999995</c:v>
                </c:pt>
                <c:pt idx="16">
                  <c:v>9586.8532062780014</c:v>
                </c:pt>
                <c:pt idx="17">
                  <c:v>11218.283520192001</c:v>
                </c:pt>
                <c:pt idx="18">
                  <c:v>8531.8996095479997</c:v>
                </c:pt>
                <c:pt idx="19">
                  <c:v>7654.4595344549998</c:v>
                </c:pt>
                <c:pt idx="20">
                  <c:v>7421.7142984840002</c:v>
                </c:pt>
                <c:pt idx="21">
                  <c:v>7874.4172661870507</c:v>
                </c:pt>
                <c:pt idx="22">
                  <c:v>9205.5512820512813</c:v>
                </c:pt>
                <c:pt idx="23">
                  <c:v>12228.121994134886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39-485A-91CE-CF371ED7720F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harvest'!$T$278:$T$301</c:f>
                <c:numCache>
                  <c:formatCode>General</c:formatCode>
                  <c:ptCount val="24"/>
                  <c:pt idx="0">
                    <c:v>643.68526967385696</c:v>
                  </c:pt>
                  <c:pt idx="1">
                    <c:v>774.98001342190196</c:v>
                  </c:pt>
                  <c:pt idx="2">
                    <c:v>1187.0116628649782</c:v>
                  </c:pt>
                  <c:pt idx="3">
                    <c:v>882.03760132035438</c:v>
                  </c:pt>
                  <c:pt idx="4">
                    <c:v>603.85838543859677</c:v>
                  </c:pt>
                  <c:pt idx="5">
                    <c:v>739.17235603607173</c:v>
                  </c:pt>
                  <c:pt idx="6">
                    <c:v>737.10184523485009</c:v>
                  </c:pt>
                  <c:pt idx="7">
                    <c:v>935.14011363403483</c:v>
                  </c:pt>
                  <c:pt idx="8">
                    <c:v>727.51020790074688</c:v>
                  </c:pt>
                  <c:pt idx="9">
                    <c:v>474.18912188186556</c:v>
                  </c:pt>
                  <c:pt idx="10">
                    <c:v>569.25729517720242</c:v>
                  </c:pt>
                  <c:pt idx="11">
                    <c:v>517.50890554680973</c:v>
                  </c:pt>
                  <c:pt idx="12">
                    <c:v>845.19359201749648</c:v>
                  </c:pt>
                  <c:pt idx="13">
                    <c:v>769.06246222261211</c:v>
                  </c:pt>
                  <c:pt idx="14">
                    <c:v>2350.8103211993207</c:v>
                  </c:pt>
                  <c:pt idx="15">
                    <c:v>1236.8494726400781</c:v>
                  </c:pt>
                  <c:pt idx="16">
                    <c:v>1837.0515083381231</c:v>
                  </c:pt>
                  <c:pt idx="17">
                    <c:v>1074.5657215152341</c:v>
                  </c:pt>
                  <c:pt idx="18">
                    <c:v>826.74657429534363</c:v>
                  </c:pt>
                  <c:pt idx="19">
                    <c:v>2095.4013810254214</c:v>
                  </c:pt>
                  <c:pt idx="20">
                    <c:v>1097.4355712843378</c:v>
                  </c:pt>
                  <c:pt idx="21">
                    <c:v>2146.1855402519259</c:v>
                  </c:pt>
                  <c:pt idx="22">
                    <c:v>198.56739377324294</c:v>
                  </c:pt>
                  <c:pt idx="23">
                    <c:v>129.65741833407861</c:v>
                  </c:pt>
                </c:numCache>
              </c:numRef>
            </c:plus>
            <c:minus>
              <c:numRef>
                <c:f>'BRF harvest'!$T$278:$T$301</c:f>
                <c:numCache>
                  <c:formatCode>General</c:formatCode>
                  <c:ptCount val="24"/>
                  <c:pt idx="0">
                    <c:v>643.68526967385696</c:v>
                  </c:pt>
                  <c:pt idx="1">
                    <c:v>774.98001342190196</c:v>
                  </c:pt>
                  <c:pt idx="2">
                    <c:v>1187.0116628649782</c:v>
                  </c:pt>
                  <c:pt idx="3">
                    <c:v>882.03760132035438</c:v>
                  </c:pt>
                  <c:pt idx="4">
                    <c:v>603.85838543859677</c:v>
                  </c:pt>
                  <c:pt idx="5">
                    <c:v>739.17235603607173</c:v>
                  </c:pt>
                  <c:pt idx="6">
                    <c:v>737.10184523485009</c:v>
                  </c:pt>
                  <c:pt idx="7">
                    <c:v>935.14011363403483</c:v>
                  </c:pt>
                  <c:pt idx="8">
                    <c:v>727.51020790074688</c:v>
                  </c:pt>
                  <c:pt idx="9">
                    <c:v>474.18912188186556</c:v>
                  </c:pt>
                  <c:pt idx="10">
                    <c:v>569.25729517720242</c:v>
                  </c:pt>
                  <c:pt idx="11">
                    <c:v>517.50890554680973</c:v>
                  </c:pt>
                  <c:pt idx="12">
                    <c:v>845.19359201749648</c:v>
                  </c:pt>
                  <c:pt idx="13">
                    <c:v>769.06246222261211</c:v>
                  </c:pt>
                  <c:pt idx="14">
                    <c:v>2350.8103211993207</c:v>
                  </c:pt>
                  <c:pt idx="15">
                    <c:v>1236.8494726400781</c:v>
                  </c:pt>
                  <c:pt idx="16">
                    <c:v>1837.0515083381231</c:v>
                  </c:pt>
                  <c:pt idx="17">
                    <c:v>1074.5657215152341</c:v>
                  </c:pt>
                  <c:pt idx="18">
                    <c:v>826.74657429534363</c:v>
                  </c:pt>
                  <c:pt idx="19">
                    <c:v>2095.4013810254214</c:v>
                  </c:pt>
                  <c:pt idx="20">
                    <c:v>1097.4355712843378</c:v>
                  </c:pt>
                  <c:pt idx="21">
                    <c:v>2146.1855402519259</c:v>
                  </c:pt>
                  <c:pt idx="22">
                    <c:v>198.56739377324294</c:v>
                  </c:pt>
                  <c:pt idx="23">
                    <c:v>129.65741833407861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harvest'!$Q$278:$Q$301</c:f>
              <c:numCache>
                <c:formatCode>_(* #,##0_);_(* \(#,##0\);_(* "-"??_);_(@_)</c:formatCode>
                <c:ptCount val="24"/>
                <c:pt idx="0">
                  <c:v>733.79573088198401</c:v>
                </c:pt>
                <c:pt idx="1">
                  <c:v>883.4706216844022</c:v>
                </c:pt>
                <c:pt idx="2">
                  <c:v>1353.1831964381868</c:v>
                </c:pt>
                <c:pt idx="3">
                  <c:v>1005.5153610307153</c:v>
                </c:pt>
                <c:pt idx="4">
                  <c:v>688.39342170536952</c:v>
                </c:pt>
                <c:pt idx="5">
                  <c:v>842.65019692010651</c:v>
                </c:pt>
                <c:pt idx="6">
                  <c:v>840.28983222285115</c:v>
                </c:pt>
                <c:pt idx="7">
                  <c:v>1066.0517732662013</c:v>
                </c:pt>
                <c:pt idx="8">
                  <c:v>1229.5685575023565</c:v>
                </c:pt>
                <c:pt idx="9">
                  <c:v>747.16774863728415</c:v>
                </c:pt>
                <c:pt idx="10">
                  <c:v>831.24524411379434</c:v>
                </c:pt>
                <c:pt idx="11">
                  <c:v>803.34029227930466</c:v>
                </c:pt>
                <c:pt idx="12">
                  <c:v>1441.8658491760359</c:v>
                </c:pt>
                <c:pt idx="13">
                  <c:v>1624.7884420199339</c:v>
                </c:pt>
                <c:pt idx="14">
                  <c:v>5225.3173854169381</c:v>
                </c:pt>
                <c:pt idx="15">
                  <c:v>3009.5121522325367</c:v>
                </c:pt>
                <c:pt idx="16">
                  <c:v>3704.7241055030854</c:v>
                </c:pt>
                <c:pt idx="17">
                  <c:v>2488.7839034717895</c:v>
                </c:pt>
                <c:pt idx="18">
                  <c:v>2164.6516843788249</c:v>
                </c:pt>
                <c:pt idx="19">
                  <c:v>4603.6376165420834</c:v>
                </c:pt>
                <c:pt idx="20">
                  <c:v>2857.38182212626</c:v>
                </c:pt>
                <c:pt idx="21">
                  <c:v>5057.5166985541646</c:v>
                </c:pt>
                <c:pt idx="22">
                  <c:v>314.28989048700538</c:v>
                </c:pt>
                <c:pt idx="23">
                  <c:v>150.98076153487426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39-485A-91CE-CF371ED7720F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harvest'!$Y$278:$Y$301</c:f>
                <c:numCache>
                  <c:formatCode>General</c:formatCode>
                  <c:ptCount val="24"/>
                  <c:pt idx="0">
                    <c:v>1429.7930132952026</c:v>
                  </c:pt>
                  <c:pt idx="1">
                    <c:v>2085.0118117853963</c:v>
                  </c:pt>
                  <c:pt idx="2">
                    <c:v>3042.4363318472351</c:v>
                  </c:pt>
                  <c:pt idx="3">
                    <c:v>2150.9014196728858</c:v>
                  </c:pt>
                  <c:pt idx="4">
                    <c:v>1678.1787902033689</c:v>
                  </c:pt>
                  <c:pt idx="5">
                    <c:v>1929.2856821830321</c:v>
                  </c:pt>
                  <c:pt idx="6">
                    <c:v>1825.5792559870069</c:v>
                  </c:pt>
                  <c:pt idx="7">
                    <c:v>2428.0625374063102</c:v>
                  </c:pt>
                  <c:pt idx="8">
                    <c:v>734.16327526724933</c:v>
                  </c:pt>
                  <c:pt idx="9">
                    <c:v>480.15640695073279</c:v>
                  </c:pt>
                  <c:pt idx="10">
                    <c:v>577.80473588588472</c:v>
                  </c:pt>
                  <c:pt idx="11">
                    <c:v>556.43098992566115</c:v>
                  </c:pt>
                  <c:pt idx="12">
                    <c:v>875.1571711731093</c:v>
                  </c:pt>
                  <c:pt idx="13">
                    <c:v>790.03082162358612</c:v>
                  </c:pt>
                  <c:pt idx="14">
                    <c:v>2365.0850174715256</c:v>
                  </c:pt>
                  <c:pt idx="15">
                    <c:v>1278.4808301550379</c:v>
                  </c:pt>
                  <c:pt idx="16">
                    <c:v>1888.7348012280318</c:v>
                  </c:pt>
                  <c:pt idx="17">
                    <c:v>1126.3386801328077</c:v>
                  </c:pt>
                  <c:pt idx="18">
                    <c:v>1017.4943372495889</c:v>
                  </c:pt>
                  <c:pt idx="19">
                    <c:v>2164.8363372384893</c:v>
                  </c:pt>
                  <c:pt idx="20">
                    <c:v>1208.0779604891547</c:v>
                  </c:pt>
                  <c:pt idx="21">
                    <c:v>2204.7080797897916</c:v>
                  </c:pt>
                  <c:pt idx="22">
                    <c:v>689.85308372625263</c:v>
                  </c:pt>
                  <c:pt idx="23">
                    <c:v>711.50222431241116</c:v>
                  </c:pt>
                </c:numCache>
              </c:numRef>
            </c:plus>
            <c:minus>
              <c:numRef>
                <c:f>'BRF harvest'!$Y$278:$Y$301</c:f>
                <c:numCache>
                  <c:formatCode>General</c:formatCode>
                  <c:ptCount val="24"/>
                  <c:pt idx="0">
                    <c:v>1429.7930132952026</c:v>
                  </c:pt>
                  <c:pt idx="1">
                    <c:v>2085.0118117853963</c:v>
                  </c:pt>
                  <c:pt idx="2">
                    <c:v>3042.4363318472351</c:v>
                  </c:pt>
                  <c:pt idx="3">
                    <c:v>2150.9014196728858</c:v>
                  </c:pt>
                  <c:pt idx="4">
                    <c:v>1678.1787902033689</c:v>
                  </c:pt>
                  <c:pt idx="5">
                    <c:v>1929.2856821830321</c:v>
                  </c:pt>
                  <c:pt idx="6">
                    <c:v>1825.5792559870069</c:v>
                  </c:pt>
                  <c:pt idx="7">
                    <c:v>2428.0625374063102</c:v>
                  </c:pt>
                  <c:pt idx="8">
                    <c:v>734.16327526724933</c:v>
                  </c:pt>
                  <c:pt idx="9">
                    <c:v>480.15640695073279</c:v>
                  </c:pt>
                  <c:pt idx="10">
                    <c:v>577.80473588588472</c:v>
                  </c:pt>
                  <c:pt idx="11">
                    <c:v>556.43098992566115</c:v>
                  </c:pt>
                  <c:pt idx="12">
                    <c:v>875.1571711731093</c:v>
                  </c:pt>
                  <c:pt idx="13">
                    <c:v>790.03082162358612</c:v>
                  </c:pt>
                  <c:pt idx="14">
                    <c:v>2365.0850174715256</c:v>
                  </c:pt>
                  <c:pt idx="15">
                    <c:v>1278.4808301550379</c:v>
                  </c:pt>
                  <c:pt idx="16">
                    <c:v>1888.7348012280318</c:v>
                  </c:pt>
                  <c:pt idx="17">
                    <c:v>1126.3386801328077</c:v>
                  </c:pt>
                  <c:pt idx="18">
                    <c:v>1017.4943372495889</c:v>
                  </c:pt>
                  <c:pt idx="19">
                    <c:v>2164.8363372384893</c:v>
                  </c:pt>
                  <c:pt idx="20">
                    <c:v>1208.0779604891547</c:v>
                  </c:pt>
                  <c:pt idx="21">
                    <c:v>2204.7080797897916</c:v>
                  </c:pt>
                  <c:pt idx="22">
                    <c:v>689.85308372625263</c:v>
                  </c:pt>
                  <c:pt idx="23">
                    <c:v>711.50222431241116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harvest'!$V$278:$V$301</c:f>
              <c:numCache>
                <c:formatCode>_(* #,##0_);_(* \(#,##0\);_(* "-"??_);_(@_)</c:formatCode>
                <c:ptCount val="24"/>
                <c:pt idx="0">
                  <c:v>2545.6840087219839</c:v>
                </c:pt>
                <c:pt idx="1">
                  <c:v>3630.5040680794018</c:v>
                </c:pt>
                <c:pt idx="2">
                  <c:v>5328.7965482081872</c:v>
                </c:pt>
                <c:pt idx="3">
                  <c:v>3789.5842596457151</c:v>
                </c:pt>
                <c:pt idx="4">
                  <c:v>2910.5205549053699</c:v>
                </c:pt>
                <c:pt idx="5">
                  <c:v>3371.7442514051063</c:v>
                </c:pt>
                <c:pt idx="6">
                  <c:v>3210.5587743028509</c:v>
                </c:pt>
                <c:pt idx="7">
                  <c:v>4246.1151225412013</c:v>
                </c:pt>
                <c:pt idx="8">
                  <c:v>4438.9726879623568</c:v>
                </c:pt>
                <c:pt idx="9">
                  <c:v>4775.7531153372838</c:v>
                </c:pt>
                <c:pt idx="10">
                  <c:v>7353.6442227897951</c:v>
                </c:pt>
                <c:pt idx="11">
                  <c:v>5802.7027354693046</c:v>
                </c:pt>
                <c:pt idx="12">
                  <c:v>7658.6840301610364</c:v>
                </c:pt>
                <c:pt idx="13">
                  <c:v>9376.7482891199343</c:v>
                </c:pt>
                <c:pt idx="14">
                  <c:v>13142.249323951939</c:v>
                </c:pt>
                <c:pt idx="15">
                  <c:v>10262.346287632536</c:v>
                </c:pt>
                <c:pt idx="16">
                  <c:v>13291.577311781086</c:v>
                </c:pt>
                <c:pt idx="17">
                  <c:v>13707.06742366379</c:v>
                </c:pt>
                <c:pt idx="18">
                  <c:v>10696.551293926825</c:v>
                </c:pt>
                <c:pt idx="19">
                  <c:v>12258.097150997084</c:v>
                </c:pt>
                <c:pt idx="20">
                  <c:v>10279.09612061026</c:v>
                </c:pt>
                <c:pt idx="21">
                  <c:v>12931.933964741216</c:v>
                </c:pt>
                <c:pt idx="22">
                  <c:v>9519.8411725382866</c:v>
                </c:pt>
                <c:pt idx="23">
                  <c:v>12379.102755669761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39-485A-91CE-CF371ED77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NSEO</a:t>
            </a:r>
          </a:p>
        </c:rich>
      </c:tx>
      <c:layout>
        <c:manualLayout>
          <c:xMode val="edge"/>
          <c:yMode val="edge"/>
          <c:x val="0.48803725881570192"/>
          <c:y val="1.618613288114121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harvest'!$K$303:$K$326</c:f>
                <c:numCache>
                  <c:formatCode>General</c:formatCode>
                  <c:ptCount val="24"/>
                  <c:pt idx="0">
                    <c:v>38.244789423679748</c:v>
                  </c:pt>
                  <c:pt idx="1">
                    <c:v>30.799464361166386</c:v>
                  </c:pt>
                  <c:pt idx="2">
                    <c:v>92.716569368221954</c:v>
                  </c:pt>
                  <c:pt idx="3">
                    <c:v>78.589542326529937</c:v>
                  </c:pt>
                  <c:pt idx="4">
                    <c:v>43.717421520911792</c:v>
                  </c:pt>
                  <c:pt idx="5">
                    <c:v>90.616605889051527</c:v>
                  </c:pt>
                  <c:pt idx="6">
                    <c:v>63.571621687614098</c:v>
                  </c:pt>
                  <c:pt idx="7">
                    <c:v>75.598685250135674</c:v>
                  </c:pt>
                  <c:pt idx="8">
                    <c:v>25.945778198332206</c:v>
                  </c:pt>
                  <c:pt idx="9">
                    <c:v>24.794514686598486</c:v>
                  </c:pt>
                  <c:pt idx="10">
                    <c:v>14.357366500842124</c:v>
                  </c:pt>
                  <c:pt idx="11">
                    <c:v>20.684114549955261</c:v>
                  </c:pt>
                  <c:pt idx="12">
                    <c:v>34.460071480257746</c:v>
                  </c:pt>
                  <c:pt idx="13">
                    <c:v>43.089414445814697</c:v>
                  </c:pt>
                  <c:pt idx="14">
                    <c:v>58.865774567662434</c:v>
                  </c:pt>
                  <c:pt idx="15">
                    <c:v>54.357500572068652</c:v>
                  </c:pt>
                  <c:pt idx="16">
                    <c:v>68.75387857675328</c:v>
                  </c:pt>
                  <c:pt idx="17">
                    <c:v>56.699536009248384</c:v>
                  </c:pt>
                  <c:pt idx="18">
                    <c:v>55.344262523158058</c:v>
                  </c:pt>
                  <c:pt idx="19">
                    <c:v>85.360680761124328</c:v>
                  </c:pt>
                  <c:pt idx="20">
                    <c:v>89.859642629422268</c:v>
                  </c:pt>
                  <c:pt idx="21">
                    <c:v>110.05255986333239</c:v>
                  </c:pt>
                  <c:pt idx="22">
                    <c:v>67.304074166410885</c:v>
                  </c:pt>
                  <c:pt idx="23">
                    <c:v>484.16305268508984</c:v>
                  </c:pt>
                </c:numCache>
              </c:numRef>
            </c:plus>
            <c:minus>
              <c:numRef>
                <c:f>'BRF harvest'!$K$303:$K$326</c:f>
                <c:numCache>
                  <c:formatCode>General</c:formatCode>
                  <c:ptCount val="24"/>
                  <c:pt idx="0">
                    <c:v>38.244789423679748</c:v>
                  </c:pt>
                  <c:pt idx="1">
                    <c:v>30.799464361166386</c:v>
                  </c:pt>
                  <c:pt idx="2">
                    <c:v>92.716569368221954</c:v>
                  </c:pt>
                  <c:pt idx="3">
                    <c:v>78.589542326529937</c:v>
                  </c:pt>
                  <c:pt idx="4">
                    <c:v>43.717421520911792</c:v>
                  </c:pt>
                  <c:pt idx="5">
                    <c:v>90.616605889051527</c:v>
                  </c:pt>
                  <c:pt idx="6">
                    <c:v>63.571621687614098</c:v>
                  </c:pt>
                  <c:pt idx="7">
                    <c:v>75.598685250135674</c:v>
                  </c:pt>
                  <c:pt idx="8">
                    <c:v>25.945778198332206</c:v>
                  </c:pt>
                  <c:pt idx="9">
                    <c:v>24.794514686598486</c:v>
                  </c:pt>
                  <c:pt idx="10">
                    <c:v>14.357366500842124</c:v>
                  </c:pt>
                  <c:pt idx="11">
                    <c:v>20.684114549955261</c:v>
                  </c:pt>
                  <c:pt idx="12">
                    <c:v>34.460071480257746</c:v>
                  </c:pt>
                  <c:pt idx="13">
                    <c:v>43.089414445814697</c:v>
                  </c:pt>
                  <c:pt idx="14">
                    <c:v>58.865774567662434</c:v>
                  </c:pt>
                  <c:pt idx="15">
                    <c:v>54.357500572068652</c:v>
                  </c:pt>
                  <c:pt idx="16">
                    <c:v>68.75387857675328</c:v>
                  </c:pt>
                  <c:pt idx="17">
                    <c:v>56.699536009248384</c:v>
                  </c:pt>
                  <c:pt idx="18">
                    <c:v>55.344262523158058</c:v>
                  </c:pt>
                  <c:pt idx="19">
                    <c:v>85.360680761124328</c:v>
                  </c:pt>
                  <c:pt idx="20">
                    <c:v>89.859642629422268</c:v>
                  </c:pt>
                  <c:pt idx="21">
                    <c:v>110.05255986333239</c:v>
                  </c:pt>
                  <c:pt idx="22">
                    <c:v>67.304074166410885</c:v>
                  </c:pt>
                  <c:pt idx="23">
                    <c:v>484.16305268508984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harvest'!$H$303:$H$326</c:f>
              <c:numCache>
                <c:formatCode>0</c:formatCode>
                <c:ptCount val="24"/>
                <c:pt idx="0">
                  <c:v>567.92748986499998</c:v>
                </c:pt>
                <c:pt idx="1">
                  <c:v>457.36589866000003</c:v>
                </c:pt>
                <c:pt idx="2">
                  <c:v>1376.822550305</c:v>
                </c:pt>
                <c:pt idx="3">
                  <c:v>1167.039018275</c:v>
                </c:pt>
                <c:pt idx="4">
                  <c:v>649.19498425500001</c:v>
                </c:pt>
                <c:pt idx="5">
                  <c:v>1345.63851176</c:v>
                </c:pt>
                <c:pt idx="6">
                  <c:v>944.02589413500004</c:v>
                </c:pt>
                <c:pt idx="7">
                  <c:v>1122.6253876200001</c:v>
                </c:pt>
                <c:pt idx="8">
                  <c:v>1348.1167404599998</c:v>
                </c:pt>
                <c:pt idx="9">
                  <c:v>2453.9613426999999</c:v>
                </c:pt>
                <c:pt idx="10">
                  <c:v>3026.2190974069999</c:v>
                </c:pt>
                <c:pt idx="11">
                  <c:v>1912.718309006</c:v>
                </c:pt>
                <c:pt idx="12">
                  <c:v>2869.859575037</c:v>
                </c:pt>
                <c:pt idx="13">
                  <c:v>6671.6099320640005</c:v>
                </c:pt>
                <c:pt idx="14">
                  <c:v>6189.0681354870003</c:v>
                </c:pt>
                <c:pt idx="15">
                  <c:v>4911.9942763500003</c:v>
                </c:pt>
                <c:pt idx="16">
                  <c:v>5998.4439118720002</c:v>
                </c:pt>
                <c:pt idx="17">
                  <c:v>6257.6479706629998</c:v>
                </c:pt>
                <c:pt idx="18">
                  <c:v>3929.1815527650001</c:v>
                </c:pt>
                <c:pt idx="19">
                  <c:v>6755.455406135</c:v>
                </c:pt>
                <c:pt idx="20">
                  <c:v>8387.5836163050008</c:v>
                </c:pt>
                <c:pt idx="21">
                  <c:v>8811.9456940874043</c:v>
                </c:pt>
                <c:pt idx="22">
                  <c:v>3049.5882352941185</c:v>
                </c:pt>
                <c:pt idx="23">
                  <c:v>7756.647058823527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C-457C-98FD-F3E2EACBFE11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harvest'!$T$303:$T$326</c:f>
                <c:numCache>
                  <c:formatCode>General</c:formatCode>
                  <c:ptCount val="24"/>
                  <c:pt idx="0">
                    <c:v>412.87542603991596</c:v>
                  </c:pt>
                  <c:pt idx="1">
                    <c:v>393.75741877894035</c:v>
                  </c:pt>
                  <c:pt idx="2">
                    <c:v>1059.9464410267833</c:v>
                  </c:pt>
                  <c:pt idx="3">
                    <c:v>1043.7696656521116</c:v>
                  </c:pt>
                  <c:pt idx="4">
                    <c:v>745.96993716383747</c:v>
                  </c:pt>
                  <c:pt idx="5">
                    <c:v>1133.4772381843818</c:v>
                  </c:pt>
                  <c:pt idx="6">
                    <c:v>1074.6526004583031</c:v>
                  </c:pt>
                  <c:pt idx="7">
                    <c:v>1027.960544263228</c:v>
                  </c:pt>
                  <c:pt idx="8">
                    <c:v>654.05856360562609</c:v>
                  </c:pt>
                  <c:pt idx="9">
                    <c:v>804.74352940358995</c:v>
                  </c:pt>
                  <c:pt idx="10">
                    <c:v>1716.3192484948813</c:v>
                  </c:pt>
                  <c:pt idx="11">
                    <c:v>568.69934726774466</c:v>
                  </c:pt>
                  <c:pt idx="12">
                    <c:v>1367.9260100191564</c:v>
                  </c:pt>
                  <c:pt idx="13">
                    <c:v>943.96376801621204</c:v>
                  </c:pt>
                  <c:pt idx="14">
                    <c:v>2093.3473909852387</c:v>
                  </c:pt>
                  <c:pt idx="15">
                    <c:v>1887.2608484899908</c:v>
                  </c:pt>
                  <c:pt idx="16">
                    <c:v>4736.6513057302482</c:v>
                  </c:pt>
                  <c:pt idx="17">
                    <c:v>2354.5462888221996</c:v>
                  </c:pt>
                  <c:pt idx="18">
                    <c:v>843.11964505079993</c:v>
                  </c:pt>
                  <c:pt idx="19">
                    <c:v>3163.1675781321624</c:v>
                  </c:pt>
                  <c:pt idx="20">
                    <c:v>3959.0276269098736</c:v>
                  </c:pt>
                  <c:pt idx="21">
                    <c:v>3360.8874831893181</c:v>
                  </c:pt>
                  <c:pt idx="22">
                    <c:v>576.23378496044711</c:v>
                  </c:pt>
                  <c:pt idx="23">
                    <c:v>3338.5325891069001</c:v>
                  </c:pt>
                </c:numCache>
              </c:numRef>
            </c:plus>
            <c:minus>
              <c:numRef>
                <c:f>'BRF harvest'!$T$303:$T$326</c:f>
                <c:numCache>
                  <c:formatCode>General</c:formatCode>
                  <c:ptCount val="24"/>
                  <c:pt idx="0">
                    <c:v>412.87542603991596</c:v>
                  </c:pt>
                  <c:pt idx="1">
                    <c:v>393.75741877894035</c:v>
                  </c:pt>
                  <c:pt idx="2">
                    <c:v>1059.9464410267833</c:v>
                  </c:pt>
                  <c:pt idx="3">
                    <c:v>1043.7696656521116</c:v>
                  </c:pt>
                  <c:pt idx="4">
                    <c:v>745.96993716383747</c:v>
                  </c:pt>
                  <c:pt idx="5">
                    <c:v>1133.4772381843818</c:v>
                  </c:pt>
                  <c:pt idx="6">
                    <c:v>1074.6526004583031</c:v>
                  </c:pt>
                  <c:pt idx="7">
                    <c:v>1027.960544263228</c:v>
                  </c:pt>
                  <c:pt idx="8">
                    <c:v>654.05856360562609</c:v>
                  </c:pt>
                  <c:pt idx="9">
                    <c:v>804.74352940358995</c:v>
                  </c:pt>
                  <c:pt idx="10">
                    <c:v>1716.3192484948813</c:v>
                  </c:pt>
                  <c:pt idx="11">
                    <c:v>568.69934726774466</c:v>
                  </c:pt>
                  <c:pt idx="12">
                    <c:v>1367.9260100191564</c:v>
                  </c:pt>
                  <c:pt idx="13">
                    <c:v>943.96376801621204</c:v>
                  </c:pt>
                  <c:pt idx="14">
                    <c:v>2093.3473909852387</c:v>
                  </c:pt>
                  <c:pt idx="15">
                    <c:v>1887.2608484899908</c:v>
                  </c:pt>
                  <c:pt idx="16">
                    <c:v>4736.6513057302482</c:v>
                  </c:pt>
                  <c:pt idx="17">
                    <c:v>2354.5462888221996</c:v>
                  </c:pt>
                  <c:pt idx="18">
                    <c:v>843.11964505079993</c:v>
                  </c:pt>
                  <c:pt idx="19">
                    <c:v>3163.1675781321624</c:v>
                  </c:pt>
                  <c:pt idx="20">
                    <c:v>3959.0276269098736</c:v>
                  </c:pt>
                  <c:pt idx="21">
                    <c:v>3360.8874831893181</c:v>
                  </c:pt>
                  <c:pt idx="22">
                    <c:v>576.23378496044711</c:v>
                  </c:pt>
                  <c:pt idx="23">
                    <c:v>3338.5325891069001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harvest'!$Q$303:$Q$326</c:f>
              <c:numCache>
                <c:formatCode>_(* #,##0_);_(* \(#,##0\);_(* "-"??_);_(@_)</c:formatCode>
                <c:ptCount val="24"/>
                <c:pt idx="0">
                  <c:v>359.81415218160447</c:v>
                </c:pt>
                <c:pt idx="1">
                  <c:v>343.15312287310633</c:v>
                </c:pt>
                <c:pt idx="2">
                  <c:v>923.7259133923111</c:v>
                </c:pt>
                <c:pt idx="3">
                  <c:v>909.62811936204366</c:v>
                </c:pt>
                <c:pt idx="4">
                  <c:v>650.10054744120714</c:v>
                </c:pt>
                <c:pt idx="5">
                  <c:v>987.80679534807371</c:v>
                </c:pt>
                <c:pt idx="6">
                  <c:v>936.54208978346378</c:v>
                </c:pt>
                <c:pt idx="7">
                  <c:v>895.8507297415548</c:v>
                </c:pt>
                <c:pt idx="8">
                  <c:v>614.39664710160105</c:v>
                </c:pt>
                <c:pt idx="9">
                  <c:v>741.88449337843747</c:v>
                </c:pt>
                <c:pt idx="10">
                  <c:v>1683.8818210272607</c:v>
                </c:pt>
                <c:pt idx="11">
                  <c:v>536.56173789949742</c:v>
                </c:pt>
                <c:pt idx="12">
                  <c:v>1344.2304507336062</c:v>
                </c:pt>
                <c:pt idx="13">
                  <c:v>1163.6218941111495</c:v>
                </c:pt>
                <c:pt idx="14">
                  <c:v>2761.9632733754383</c:v>
                </c:pt>
                <c:pt idx="15">
                  <c:v>2422.2237613642669</c:v>
                </c:pt>
                <c:pt idx="16">
                  <c:v>7520.9865361976563</c:v>
                </c:pt>
                <c:pt idx="17">
                  <c:v>2807.4095506840731</c:v>
                </c:pt>
                <c:pt idx="18">
                  <c:v>1118.111979370972</c:v>
                </c:pt>
                <c:pt idx="19">
                  <c:v>5113.4513634668829</c:v>
                </c:pt>
                <c:pt idx="20">
                  <c:v>5790.3089305389085</c:v>
                </c:pt>
                <c:pt idx="21">
                  <c:v>5135.8825709979292</c:v>
                </c:pt>
                <c:pt idx="22">
                  <c:v>959.41085579818002</c:v>
                </c:pt>
                <c:pt idx="23">
                  <c:v>5623.279902693529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C-457C-98FD-F3E2EACBFE11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harvest'!$Y$303:$Y$326</c:f>
                <c:numCache>
                  <c:formatCode>General</c:formatCode>
                  <c:ptCount val="24"/>
                  <c:pt idx="0">
                    <c:v>414.64295646459942</c:v>
                  </c:pt>
                  <c:pt idx="1">
                    <c:v>394.96013956903113</c:v>
                  </c:pt>
                  <c:pt idx="2">
                    <c:v>1063.9938064109003</c:v>
                  </c:pt>
                  <c:pt idx="3">
                    <c:v>1046.7241427895958</c:v>
                  </c:pt>
                  <c:pt idx="4">
                    <c:v>747.24986456784097</c:v>
                  </c:pt>
                  <c:pt idx="5">
                    <c:v>1137.0936719307454</c:v>
                  </c:pt>
                  <c:pt idx="6">
                    <c:v>1076.5312641794412</c:v>
                  </c:pt>
                  <c:pt idx="7">
                    <c:v>1030.7366500583457</c:v>
                  </c:pt>
                  <c:pt idx="8">
                    <c:v>654.57298144070364</c:v>
                  </c:pt>
                  <c:pt idx="9">
                    <c:v>805.12540394369034</c:v>
                  </c:pt>
                  <c:pt idx="10">
                    <c:v>1716.3792986187154</c:v>
                  </c:pt>
                  <c:pt idx="11">
                    <c:v>569.07537301966829</c:v>
                  </c:pt>
                  <c:pt idx="12">
                    <c:v>1368.3599911621773</c:v>
                  </c:pt>
                  <c:pt idx="13">
                    <c:v>944.94671435200405</c:v>
                  </c:pt>
                  <c:pt idx="14">
                    <c:v>2094.1748921138742</c:v>
                  </c:pt>
                  <c:pt idx="15">
                    <c:v>1888.0434974098459</c:v>
                  </c:pt>
                  <c:pt idx="16">
                    <c:v>4737.1502707741301</c:v>
                  </c:pt>
                  <c:pt idx="17">
                    <c:v>2355.2288771136568</c:v>
                  </c:pt>
                  <c:pt idx="18">
                    <c:v>844.93415321243765</c:v>
                  </c:pt>
                  <c:pt idx="19">
                    <c:v>3164.3191326360384</c:v>
                  </c:pt>
                  <c:pt idx="20">
                    <c:v>3960.0472858299445</c:v>
                  </c:pt>
                  <c:pt idx="21">
                    <c:v>3362.6888408818177</c:v>
                  </c:pt>
                  <c:pt idx="22">
                    <c:v>580.15102631059835</c:v>
                  </c:pt>
                  <c:pt idx="23">
                    <c:v>3373.4572340722161</c:v>
                  </c:pt>
                </c:numCache>
              </c:numRef>
            </c:plus>
            <c:minus>
              <c:numRef>
                <c:f>'BRF harvest'!$Y$303:$Y$326</c:f>
                <c:numCache>
                  <c:formatCode>General</c:formatCode>
                  <c:ptCount val="24"/>
                  <c:pt idx="0">
                    <c:v>414.64295646459942</c:v>
                  </c:pt>
                  <c:pt idx="1">
                    <c:v>394.96013956903113</c:v>
                  </c:pt>
                  <c:pt idx="2">
                    <c:v>1063.9938064109003</c:v>
                  </c:pt>
                  <c:pt idx="3">
                    <c:v>1046.7241427895958</c:v>
                  </c:pt>
                  <c:pt idx="4">
                    <c:v>747.24986456784097</c:v>
                  </c:pt>
                  <c:pt idx="5">
                    <c:v>1137.0936719307454</c:v>
                  </c:pt>
                  <c:pt idx="6">
                    <c:v>1076.5312641794412</c:v>
                  </c:pt>
                  <c:pt idx="7">
                    <c:v>1030.7366500583457</c:v>
                  </c:pt>
                  <c:pt idx="8">
                    <c:v>654.57298144070364</c:v>
                  </c:pt>
                  <c:pt idx="9">
                    <c:v>805.12540394369034</c:v>
                  </c:pt>
                  <c:pt idx="10">
                    <c:v>1716.3792986187154</c:v>
                  </c:pt>
                  <c:pt idx="11">
                    <c:v>569.07537301966829</c:v>
                  </c:pt>
                  <c:pt idx="12">
                    <c:v>1368.3599911621773</c:v>
                  </c:pt>
                  <c:pt idx="13">
                    <c:v>944.94671435200405</c:v>
                  </c:pt>
                  <c:pt idx="14">
                    <c:v>2094.1748921138742</c:v>
                  </c:pt>
                  <c:pt idx="15">
                    <c:v>1888.0434974098459</c:v>
                  </c:pt>
                  <c:pt idx="16">
                    <c:v>4737.1502707741301</c:v>
                  </c:pt>
                  <c:pt idx="17">
                    <c:v>2355.2288771136568</c:v>
                  </c:pt>
                  <c:pt idx="18">
                    <c:v>844.93415321243765</c:v>
                  </c:pt>
                  <c:pt idx="19">
                    <c:v>3164.3191326360384</c:v>
                  </c:pt>
                  <c:pt idx="20">
                    <c:v>3960.0472858299445</c:v>
                  </c:pt>
                  <c:pt idx="21">
                    <c:v>3362.6888408818177</c:v>
                  </c:pt>
                  <c:pt idx="22">
                    <c:v>580.15102631059835</c:v>
                  </c:pt>
                  <c:pt idx="23">
                    <c:v>3373.4572340722161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harvest'!$V$303:$V$326</c:f>
              <c:numCache>
                <c:formatCode>_(* #,##0_);_(* \(#,##0\);_(* "-"??_);_(@_)</c:formatCode>
                <c:ptCount val="24"/>
                <c:pt idx="0">
                  <c:v>927.74164204660451</c:v>
                </c:pt>
                <c:pt idx="1">
                  <c:v>800.5190215331063</c:v>
                </c:pt>
                <c:pt idx="2">
                  <c:v>2300.548463697311</c:v>
                </c:pt>
                <c:pt idx="3">
                  <c:v>2076.6671376370437</c:v>
                </c:pt>
                <c:pt idx="4">
                  <c:v>1299.295531696207</c:v>
                </c:pt>
                <c:pt idx="5">
                  <c:v>2333.4453071080738</c:v>
                </c:pt>
                <c:pt idx="6">
                  <c:v>1880.5679839184638</c:v>
                </c:pt>
                <c:pt idx="7">
                  <c:v>2018.4761173615548</c:v>
                </c:pt>
                <c:pt idx="8">
                  <c:v>1962.5133875616009</c:v>
                </c:pt>
                <c:pt idx="9">
                  <c:v>3195.8458360784375</c:v>
                </c:pt>
                <c:pt idx="10">
                  <c:v>4710.1009184342602</c:v>
                </c:pt>
                <c:pt idx="11">
                  <c:v>2449.2800469054973</c:v>
                </c:pt>
                <c:pt idx="12">
                  <c:v>4214.0900257706062</c:v>
                </c:pt>
                <c:pt idx="13">
                  <c:v>7835.2318261751498</c:v>
                </c:pt>
                <c:pt idx="14">
                  <c:v>8951.0314088624382</c:v>
                </c:pt>
                <c:pt idx="15">
                  <c:v>7334.2180377142668</c:v>
                </c:pt>
                <c:pt idx="16">
                  <c:v>13519.430448069656</c:v>
                </c:pt>
                <c:pt idx="17">
                  <c:v>9065.0575213470729</c:v>
                </c:pt>
                <c:pt idx="18">
                  <c:v>5047.2935321359719</c:v>
                </c:pt>
                <c:pt idx="19">
                  <c:v>11868.906769601883</c:v>
                </c:pt>
                <c:pt idx="20">
                  <c:v>14177.892546843908</c:v>
                </c:pt>
                <c:pt idx="21">
                  <c:v>13947.828265085333</c:v>
                </c:pt>
                <c:pt idx="22">
                  <c:v>4008.9990910922984</c:v>
                </c:pt>
                <c:pt idx="23">
                  <c:v>13379.926961517056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FC-457C-98FD-F3E2EACBF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SSEI</a:t>
            </a:r>
          </a:p>
        </c:rich>
      </c:tx>
      <c:layout>
        <c:manualLayout>
          <c:xMode val="edge"/>
          <c:yMode val="edge"/>
          <c:x val="0.48803725881570192"/>
          <c:y val="1.618613288114121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harvest'!$K$328:$K$353</c:f>
                <c:numCache>
                  <c:formatCode>General</c:formatCode>
                  <c:ptCount val="26"/>
                  <c:pt idx="0">
                    <c:v>360.45638670955111</c:v>
                  </c:pt>
                  <c:pt idx="1">
                    <c:v>498.83310721235097</c:v>
                  </c:pt>
                  <c:pt idx="2">
                    <c:v>665.45794469455586</c:v>
                  </c:pt>
                  <c:pt idx="3">
                    <c:v>587.61290343333837</c:v>
                  </c:pt>
                  <c:pt idx="4">
                    <c:v>516.66717184911818</c:v>
                  </c:pt>
                  <c:pt idx="5">
                    <c:v>735.23209539022923</c:v>
                  </c:pt>
                  <c:pt idx="6">
                    <c:v>685.50499545413356</c:v>
                  </c:pt>
                  <c:pt idx="7">
                    <c:v>747.85913385567756</c:v>
                  </c:pt>
                  <c:pt idx="8">
                    <c:v>212.14472003851577</c:v>
                  </c:pt>
                  <c:pt idx="9">
                    <c:v>506.94727382420888</c:v>
                  </c:pt>
                  <c:pt idx="10">
                    <c:v>301.21838176193251</c:v>
                  </c:pt>
                  <c:pt idx="11">
                    <c:v>235.44671210651748</c:v>
                  </c:pt>
                  <c:pt idx="12">
                    <c:v>263.96237895635454</c:v>
                  </c:pt>
                  <c:pt idx="13">
                    <c:v>210.37842458075784</c:v>
                  </c:pt>
                  <c:pt idx="14">
                    <c:v>247.96547327971109</c:v>
                  </c:pt>
                  <c:pt idx="15">
                    <c:v>402.05248886225257</c:v>
                  </c:pt>
                  <c:pt idx="16">
                    <c:v>320.41041187764586</c:v>
                  </c:pt>
                  <c:pt idx="17">
                    <c:v>204.32347621915349</c:v>
                  </c:pt>
                  <c:pt idx="18">
                    <c:v>344.99198342299366</c:v>
                  </c:pt>
                  <c:pt idx="19">
                    <c:v>355.45074080472284</c:v>
                  </c:pt>
                  <c:pt idx="20">
                    <c:v>858.69187150521611</c:v>
                  </c:pt>
                  <c:pt idx="21">
                    <c:v>674.45452557115198</c:v>
                  </c:pt>
                  <c:pt idx="22">
                    <c:v>334.69279779921283</c:v>
                  </c:pt>
                  <c:pt idx="23">
                    <c:v>557.39793521666184</c:v>
                  </c:pt>
                  <c:pt idx="24">
                    <c:v>626.79441680114883</c:v>
                  </c:pt>
                  <c:pt idx="25">
                    <c:v>27.055031329570021</c:v>
                  </c:pt>
                </c:numCache>
              </c:numRef>
            </c:plus>
            <c:minus>
              <c:numRef>
                <c:f>'BRF harvest'!$K$328:$K$353</c:f>
                <c:numCache>
                  <c:formatCode>General</c:formatCode>
                  <c:ptCount val="26"/>
                  <c:pt idx="0">
                    <c:v>360.45638670955111</c:v>
                  </c:pt>
                  <c:pt idx="1">
                    <c:v>498.83310721235097</c:v>
                  </c:pt>
                  <c:pt idx="2">
                    <c:v>665.45794469455586</c:v>
                  </c:pt>
                  <c:pt idx="3">
                    <c:v>587.61290343333837</c:v>
                  </c:pt>
                  <c:pt idx="4">
                    <c:v>516.66717184911818</c:v>
                  </c:pt>
                  <c:pt idx="5">
                    <c:v>735.23209539022923</c:v>
                  </c:pt>
                  <c:pt idx="6">
                    <c:v>685.50499545413356</c:v>
                  </c:pt>
                  <c:pt idx="7">
                    <c:v>747.85913385567756</c:v>
                  </c:pt>
                  <c:pt idx="8">
                    <c:v>212.14472003851577</c:v>
                  </c:pt>
                  <c:pt idx="9">
                    <c:v>506.94727382420888</c:v>
                  </c:pt>
                  <c:pt idx="10">
                    <c:v>301.21838176193251</c:v>
                  </c:pt>
                  <c:pt idx="11">
                    <c:v>235.44671210651748</c:v>
                  </c:pt>
                  <c:pt idx="12">
                    <c:v>263.96237895635454</c:v>
                  </c:pt>
                  <c:pt idx="13">
                    <c:v>210.37842458075784</c:v>
                  </c:pt>
                  <c:pt idx="14">
                    <c:v>247.96547327971109</c:v>
                  </c:pt>
                  <c:pt idx="15">
                    <c:v>402.05248886225257</c:v>
                  </c:pt>
                  <c:pt idx="16">
                    <c:v>320.41041187764586</c:v>
                  </c:pt>
                  <c:pt idx="17">
                    <c:v>204.32347621915349</c:v>
                  </c:pt>
                  <c:pt idx="18">
                    <c:v>344.99198342299366</c:v>
                  </c:pt>
                  <c:pt idx="19">
                    <c:v>355.45074080472284</c:v>
                  </c:pt>
                  <c:pt idx="20">
                    <c:v>858.69187150521611</c:v>
                  </c:pt>
                  <c:pt idx="21">
                    <c:v>674.45452557115198</c:v>
                  </c:pt>
                  <c:pt idx="22">
                    <c:v>334.69279779921283</c:v>
                  </c:pt>
                  <c:pt idx="23">
                    <c:v>557.39793521666184</c:v>
                  </c:pt>
                  <c:pt idx="24">
                    <c:v>626.79441680114883</c:v>
                  </c:pt>
                  <c:pt idx="25">
                    <c:v>27.055031329570021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harvest'!$H$328:$H$351</c:f>
              <c:numCache>
                <c:formatCode>0</c:formatCode>
                <c:ptCount val="24"/>
                <c:pt idx="0">
                  <c:v>2292.1053780689999</c:v>
                </c:pt>
                <c:pt idx="1">
                  <c:v>3172.028822232</c:v>
                </c:pt>
                <c:pt idx="2">
                  <c:v>4231.5791595119999</c:v>
                </c:pt>
                <c:pt idx="3">
                  <c:v>3736.5704863139999</c:v>
                </c:pt>
                <c:pt idx="4">
                  <c:v>3285.4338192690002</c:v>
                </c:pt>
                <c:pt idx="5">
                  <c:v>4675.2658632479997</c:v>
                </c:pt>
                <c:pt idx="6">
                  <c:v>4359.0563094660001</c:v>
                </c:pt>
                <c:pt idx="7">
                  <c:v>4755.5599122450003</c:v>
                </c:pt>
                <c:pt idx="8">
                  <c:v>5561.3186805539999</c:v>
                </c:pt>
                <c:pt idx="9">
                  <c:v>6141.911767654</c:v>
                </c:pt>
                <c:pt idx="10">
                  <c:v>7398.3228334180003</c:v>
                </c:pt>
                <c:pt idx="11">
                  <c:v>5544.6453355060003</c:v>
                </c:pt>
                <c:pt idx="12">
                  <c:v>8084.2666705709998</c:v>
                </c:pt>
                <c:pt idx="13">
                  <c:v>7812.3208692930002</c:v>
                </c:pt>
                <c:pt idx="14">
                  <c:v>8066.7043093890006</c:v>
                </c:pt>
                <c:pt idx="15">
                  <c:v>9098.0240749509994</c:v>
                </c:pt>
                <c:pt idx="16">
                  <c:v>9020.8761192479997</c:v>
                </c:pt>
                <c:pt idx="17">
                  <c:v>9921.0666705479998</c:v>
                </c:pt>
                <c:pt idx="18">
                  <c:v>10567.182666343</c:v>
                </c:pt>
                <c:pt idx="19">
                  <c:v>11467.911371466</c:v>
                </c:pt>
                <c:pt idx="20">
                  <c:v>18945.098437500001</c:v>
                </c:pt>
                <c:pt idx="21">
                  <c:v>16393.135725429016</c:v>
                </c:pt>
                <c:pt idx="22">
                  <c:v>8121.5064935064911</c:v>
                </c:pt>
                <c:pt idx="23">
                  <c:v>12331.355524734166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5-4C7A-AF73-1C50A69DB266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harvest'!$T$328:$T$353</c:f>
                <c:numCache>
                  <c:formatCode>General</c:formatCode>
                  <c:ptCount val="26"/>
                  <c:pt idx="0">
                    <c:v>697.7652757172018</c:v>
                  </c:pt>
                  <c:pt idx="1">
                    <c:v>821.35922089694566</c:v>
                  </c:pt>
                  <c:pt idx="2">
                    <c:v>1336.1296742650586</c:v>
                  </c:pt>
                  <c:pt idx="3">
                    <c:v>1041.7999995854341</c:v>
                  </c:pt>
                  <c:pt idx="4">
                    <c:v>895.248116888082</c:v>
                  </c:pt>
                  <c:pt idx="5">
                    <c:v>1255.2196614602847</c:v>
                  </c:pt>
                  <c:pt idx="6">
                    <c:v>1470.5339104118314</c:v>
                  </c:pt>
                  <c:pt idx="7">
                    <c:v>1708.3603116864697</c:v>
                  </c:pt>
                  <c:pt idx="8">
                    <c:v>945.0880905626052</c:v>
                  </c:pt>
                  <c:pt idx="9">
                    <c:v>854.55434011151351</c:v>
                  </c:pt>
                  <c:pt idx="10">
                    <c:v>1246.8623597384756</c:v>
                  </c:pt>
                  <c:pt idx="11">
                    <c:v>736.82772962499052</c:v>
                  </c:pt>
                  <c:pt idx="12">
                    <c:v>1051.1614239974151</c:v>
                  </c:pt>
                  <c:pt idx="13">
                    <c:v>999.47222037775759</c:v>
                  </c:pt>
                  <c:pt idx="14">
                    <c:v>463.54511301924941</c:v>
                  </c:pt>
                  <c:pt idx="15">
                    <c:v>1626.4914103799933</c:v>
                  </c:pt>
                  <c:pt idx="16">
                    <c:v>759.83081547842392</c:v>
                  </c:pt>
                  <c:pt idx="17">
                    <c:v>630.00967299455215</c:v>
                  </c:pt>
                  <c:pt idx="18">
                    <c:v>845.56182685880674</c:v>
                  </c:pt>
                  <c:pt idx="19">
                    <c:v>1131.1064733820826</c:v>
                  </c:pt>
                  <c:pt idx="20">
                    <c:v>1449.0995687099614</c:v>
                  </c:pt>
                  <c:pt idx="21">
                    <c:v>4741.2932564636676</c:v>
                  </c:pt>
                  <c:pt idx="22">
                    <c:v>3729.0688463650035</c:v>
                  </c:pt>
                  <c:pt idx="23">
                    <c:v>2680.4103719653936</c:v>
                  </c:pt>
                  <c:pt idx="24">
                    <c:v>2993.9921099088451</c:v>
                  </c:pt>
                  <c:pt idx="25">
                    <c:v>679.86470349737795</c:v>
                  </c:pt>
                </c:numCache>
              </c:numRef>
            </c:plus>
            <c:minus>
              <c:numRef>
                <c:f>'BRF harvest'!$T$328:$T$353</c:f>
                <c:numCache>
                  <c:formatCode>General</c:formatCode>
                  <c:ptCount val="26"/>
                  <c:pt idx="0">
                    <c:v>697.7652757172018</c:v>
                  </c:pt>
                  <c:pt idx="1">
                    <c:v>821.35922089694566</c:v>
                  </c:pt>
                  <c:pt idx="2">
                    <c:v>1336.1296742650586</c:v>
                  </c:pt>
                  <c:pt idx="3">
                    <c:v>1041.7999995854341</c:v>
                  </c:pt>
                  <c:pt idx="4">
                    <c:v>895.248116888082</c:v>
                  </c:pt>
                  <c:pt idx="5">
                    <c:v>1255.2196614602847</c:v>
                  </c:pt>
                  <c:pt idx="6">
                    <c:v>1470.5339104118314</c:v>
                  </c:pt>
                  <c:pt idx="7">
                    <c:v>1708.3603116864697</c:v>
                  </c:pt>
                  <c:pt idx="8">
                    <c:v>945.0880905626052</c:v>
                  </c:pt>
                  <c:pt idx="9">
                    <c:v>854.55434011151351</c:v>
                  </c:pt>
                  <c:pt idx="10">
                    <c:v>1246.8623597384756</c:v>
                  </c:pt>
                  <c:pt idx="11">
                    <c:v>736.82772962499052</c:v>
                  </c:pt>
                  <c:pt idx="12">
                    <c:v>1051.1614239974151</c:v>
                  </c:pt>
                  <c:pt idx="13">
                    <c:v>999.47222037775759</c:v>
                  </c:pt>
                  <c:pt idx="14">
                    <c:v>463.54511301924941</c:v>
                  </c:pt>
                  <c:pt idx="15">
                    <c:v>1626.4914103799933</c:v>
                  </c:pt>
                  <c:pt idx="16">
                    <c:v>759.83081547842392</c:v>
                  </c:pt>
                  <c:pt idx="17">
                    <c:v>630.00967299455215</c:v>
                  </c:pt>
                  <c:pt idx="18">
                    <c:v>845.56182685880674</c:v>
                  </c:pt>
                  <c:pt idx="19">
                    <c:v>1131.1064733820826</c:v>
                  </c:pt>
                  <c:pt idx="20">
                    <c:v>1449.0995687099614</c:v>
                  </c:pt>
                  <c:pt idx="21">
                    <c:v>4741.2932564636676</c:v>
                  </c:pt>
                  <c:pt idx="22">
                    <c:v>3729.0688463650035</c:v>
                  </c:pt>
                  <c:pt idx="23">
                    <c:v>2680.4103719653936</c:v>
                  </c:pt>
                  <c:pt idx="24">
                    <c:v>2993.9921099088451</c:v>
                  </c:pt>
                  <c:pt idx="25">
                    <c:v>679.86470349737795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harvest'!$Q$328:$Q$351</c:f>
              <c:numCache>
                <c:formatCode>_(* #,##0_);_(* \(#,##0\);_(* "-"??_);_(@_)</c:formatCode>
                <c:ptCount val="24"/>
                <c:pt idx="0">
                  <c:v>760.18032081428362</c:v>
                </c:pt>
                <c:pt idx="1">
                  <c:v>894.82973397241187</c:v>
                </c:pt>
                <c:pt idx="2">
                  <c:v>1455.6463610034255</c:v>
                </c:pt>
                <c:pt idx="3">
                  <c:v>1134.9889217332573</c:v>
                </c:pt>
                <c:pt idx="4">
                  <c:v>975.32798548173469</c:v>
                </c:pt>
                <c:pt idx="5">
                  <c:v>1367.4989543733072</c:v>
                </c:pt>
                <c:pt idx="6">
                  <c:v>1602.0730447443655</c:v>
                </c:pt>
                <c:pt idx="7">
                  <c:v>1861.1729975662281</c:v>
                </c:pt>
                <c:pt idx="8">
                  <c:v>2081.0930035890742</c:v>
                </c:pt>
                <c:pt idx="9">
                  <c:v>1881.9368117766508</c:v>
                </c:pt>
                <c:pt idx="10">
                  <c:v>2790.9797482149343</c:v>
                </c:pt>
                <c:pt idx="11">
                  <c:v>1588.2847486873936</c:v>
                </c:pt>
                <c:pt idx="12">
                  <c:v>2294.2002350017447</c:v>
                </c:pt>
                <c:pt idx="13">
                  <c:v>2518.4328698405093</c:v>
                </c:pt>
                <c:pt idx="14">
                  <c:v>1066.0084150077937</c:v>
                </c:pt>
                <c:pt idx="15">
                  <c:v>4340.7387382138913</c:v>
                </c:pt>
                <c:pt idx="16">
                  <c:v>2496.0378683327572</c:v>
                </c:pt>
                <c:pt idx="17">
                  <c:v>1995.3360309337841</c:v>
                </c:pt>
                <c:pt idx="18">
                  <c:v>2628.5215592018908</c:v>
                </c:pt>
                <c:pt idx="19">
                  <c:v>3616.6549597931012</c:v>
                </c:pt>
                <c:pt idx="20">
                  <c:v>5406.9232182181686</c:v>
                </c:pt>
                <c:pt idx="21">
                  <c:v>14670.930587958106</c:v>
                </c:pt>
                <c:pt idx="22">
                  <c:v>11112.968104438896</c:v>
                </c:pt>
                <c:pt idx="23">
                  <c:v>7498.6507203000983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5-4C7A-AF73-1C50A69DB266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harvest'!$Y$328:$Y$351</c:f>
                <c:numCache>
                  <c:formatCode>General</c:formatCode>
                  <c:ptCount val="24"/>
                  <c:pt idx="0">
                    <c:v>785.36945873671959</c:v>
                  </c:pt>
                  <c:pt idx="1">
                    <c:v>960.97109145050047</c:v>
                  </c:pt>
                  <c:pt idx="2">
                    <c:v>1492.6743725973035</c:v>
                  </c:pt>
                  <c:pt idx="3">
                    <c:v>1196.0920380211414</c:v>
                  </c:pt>
                  <c:pt idx="4">
                    <c:v>1033.6412130223057</c:v>
                  </c:pt>
                  <c:pt idx="5">
                    <c:v>1454.6967493633781</c:v>
                  </c:pt>
                  <c:pt idx="6">
                    <c:v>1622.4632755362088</c:v>
                  </c:pt>
                  <c:pt idx="7">
                    <c:v>1864.8829021246497</c:v>
                  </c:pt>
                  <c:pt idx="8">
                    <c:v>968.60563758605656</c:v>
                  </c:pt>
                  <c:pt idx="9">
                    <c:v>993.6089062811493</c:v>
                  </c:pt>
                  <c:pt idx="10">
                    <c:v>1282.7307814361814</c:v>
                  </c:pt>
                  <c:pt idx="11">
                    <c:v>773.53103194770893</c:v>
                  </c:pt>
                  <c:pt idx="12">
                    <c:v>1083.7972489375361</c:v>
                  </c:pt>
                  <c:pt idx="13">
                    <c:v>1021.373487435388</c:v>
                  </c:pt>
                  <c:pt idx="14">
                    <c:v>525.7004353649138</c:v>
                  </c:pt>
                  <c:pt idx="15">
                    <c:v>1675.4463619705143</c:v>
                  </c:pt>
                  <c:pt idx="16">
                    <c:v>824.62458136427711</c:v>
                  </c:pt>
                  <c:pt idx="17">
                    <c:v>662.31432945466418</c:v>
                  </c:pt>
                  <c:pt idx="18">
                    <c:v>913.23286825810965</c:v>
                  </c:pt>
                  <c:pt idx="19">
                    <c:v>1185.642055287125</c:v>
                  </c:pt>
                  <c:pt idx="20">
                    <c:v>1684.411259231108</c:v>
                  </c:pt>
                  <c:pt idx="21">
                    <c:v>4789.0239768507372</c:v>
                  </c:pt>
                  <c:pt idx="22">
                    <c:v>3744.0584570528122</c:v>
                  </c:pt>
                  <c:pt idx="23">
                    <c:v>2737.7531335610702</c:v>
                  </c:pt>
                </c:numCache>
              </c:numRef>
            </c:plus>
            <c:minus>
              <c:numRef>
                <c:f>'BRF harvest'!$Y$328:$Y$351</c:f>
                <c:numCache>
                  <c:formatCode>General</c:formatCode>
                  <c:ptCount val="24"/>
                  <c:pt idx="0">
                    <c:v>785.36945873671959</c:v>
                  </c:pt>
                  <c:pt idx="1">
                    <c:v>960.97109145050047</c:v>
                  </c:pt>
                  <c:pt idx="2">
                    <c:v>1492.6743725973035</c:v>
                  </c:pt>
                  <c:pt idx="3">
                    <c:v>1196.0920380211414</c:v>
                  </c:pt>
                  <c:pt idx="4">
                    <c:v>1033.6412130223057</c:v>
                  </c:pt>
                  <c:pt idx="5">
                    <c:v>1454.6967493633781</c:v>
                  </c:pt>
                  <c:pt idx="6">
                    <c:v>1622.4632755362088</c:v>
                  </c:pt>
                  <c:pt idx="7">
                    <c:v>1864.8829021246497</c:v>
                  </c:pt>
                  <c:pt idx="8">
                    <c:v>968.60563758605656</c:v>
                  </c:pt>
                  <c:pt idx="9">
                    <c:v>993.6089062811493</c:v>
                  </c:pt>
                  <c:pt idx="10">
                    <c:v>1282.7307814361814</c:v>
                  </c:pt>
                  <c:pt idx="11">
                    <c:v>773.53103194770893</c:v>
                  </c:pt>
                  <c:pt idx="12">
                    <c:v>1083.7972489375361</c:v>
                  </c:pt>
                  <c:pt idx="13">
                    <c:v>1021.373487435388</c:v>
                  </c:pt>
                  <c:pt idx="14">
                    <c:v>525.7004353649138</c:v>
                  </c:pt>
                  <c:pt idx="15">
                    <c:v>1675.4463619705143</c:v>
                  </c:pt>
                  <c:pt idx="16">
                    <c:v>824.62458136427711</c:v>
                  </c:pt>
                  <c:pt idx="17">
                    <c:v>662.31432945466418</c:v>
                  </c:pt>
                  <c:pt idx="18">
                    <c:v>913.23286825810965</c:v>
                  </c:pt>
                  <c:pt idx="19">
                    <c:v>1185.642055287125</c:v>
                  </c:pt>
                  <c:pt idx="20">
                    <c:v>1684.411259231108</c:v>
                  </c:pt>
                  <c:pt idx="21">
                    <c:v>4789.0239768507372</c:v>
                  </c:pt>
                  <c:pt idx="22">
                    <c:v>3744.0584570528122</c:v>
                  </c:pt>
                  <c:pt idx="23">
                    <c:v>2737.7531335610702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harvest'!$V$328:$V$351</c:f>
              <c:numCache>
                <c:formatCode>_(* #,##0_);_(* \(#,##0\);_(* "-"??_);_(@_)</c:formatCode>
                <c:ptCount val="24"/>
                <c:pt idx="0">
                  <c:v>3052.2856988832837</c:v>
                </c:pt>
                <c:pt idx="1">
                  <c:v>4066.8585562044118</c:v>
                </c:pt>
                <c:pt idx="2">
                  <c:v>5687.2255205154252</c:v>
                </c:pt>
                <c:pt idx="3">
                  <c:v>4871.5594080472574</c:v>
                </c:pt>
                <c:pt idx="4">
                  <c:v>4260.7618047507349</c:v>
                </c:pt>
                <c:pt idx="5">
                  <c:v>6042.764817621307</c:v>
                </c:pt>
                <c:pt idx="6">
                  <c:v>5961.1293542103658</c:v>
                </c:pt>
                <c:pt idx="7">
                  <c:v>6616.7329098112286</c:v>
                </c:pt>
                <c:pt idx="8">
                  <c:v>7642.4116841430741</c:v>
                </c:pt>
                <c:pt idx="9">
                  <c:v>8023.8485794306507</c:v>
                </c:pt>
                <c:pt idx="10">
                  <c:v>10189.302581632935</c:v>
                </c:pt>
                <c:pt idx="11">
                  <c:v>7132.9300841933937</c:v>
                </c:pt>
                <c:pt idx="12">
                  <c:v>10378.466905572745</c:v>
                </c:pt>
                <c:pt idx="13">
                  <c:v>10330.75373913351</c:v>
                </c:pt>
                <c:pt idx="14">
                  <c:v>9132.7127243967952</c:v>
                </c:pt>
                <c:pt idx="15">
                  <c:v>13438.762813164891</c:v>
                </c:pt>
                <c:pt idx="16">
                  <c:v>11516.913987580756</c:v>
                </c:pt>
                <c:pt idx="17">
                  <c:v>11916.402701481784</c:v>
                </c:pt>
                <c:pt idx="18">
                  <c:v>13195.704225544891</c:v>
                </c:pt>
                <c:pt idx="19">
                  <c:v>15084.5663312591</c:v>
                </c:pt>
                <c:pt idx="20">
                  <c:v>24352.02165571817</c:v>
                </c:pt>
                <c:pt idx="21">
                  <c:v>31064.06631338712</c:v>
                </c:pt>
                <c:pt idx="22">
                  <c:v>19234.474597945387</c:v>
                </c:pt>
                <c:pt idx="23">
                  <c:v>19830.006245034267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E5-4C7A-AF73-1C50A69DB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SSEO</a:t>
            </a:r>
          </a:p>
        </c:rich>
      </c:tx>
      <c:layout>
        <c:manualLayout>
          <c:xMode val="edge"/>
          <c:yMode val="edge"/>
          <c:x val="0.48803725881570192"/>
          <c:y val="1.618613288114121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harvest'!$K$353:$K$376</c:f>
                <c:numCache>
                  <c:formatCode>General</c:formatCode>
                  <c:ptCount val="24"/>
                  <c:pt idx="0">
                    <c:v>27.055031329570021</c:v>
                  </c:pt>
                  <c:pt idx="1">
                    <c:v>29.016613628430775</c:v>
                  </c:pt>
                  <c:pt idx="2">
                    <c:v>39.78681077877944</c:v>
                  </c:pt>
                  <c:pt idx="3">
                    <c:v>34.771822071314688</c:v>
                  </c:pt>
                  <c:pt idx="4">
                    <c:v>64.621182902092002</c:v>
                  </c:pt>
                  <c:pt idx="5">
                    <c:v>51.926414439653541</c:v>
                  </c:pt>
                  <c:pt idx="6">
                    <c:v>76.66825909603871</c:v>
                  </c:pt>
                  <c:pt idx="7">
                    <c:v>100.35529062945159</c:v>
                  </c:pt>
                  <c:pt idx="8">
                    <c:v>50.073017348778293</c:v>
                  </c:pt>
                  <c:pt idx="9">
                    <c:v>53.904370435736809</c:v>
                  </c:pt>
                  <c:pt idx="10">
                    <c:v>62.517762985414137</c:v>
                  </c:pt>
                  <c:pt idx="11">
                    <c:v>64.317753149539882</c:v>
                  </c:pt>
                  <c:pt idx="12">
                    <c:v>48.444312217895053</c:v>
                  </c:pt>
                  <c:pt idx="13">
                    <c:v>35.985706705444947</c:v>
                  </c:pt>
                  <c:pt idx="14">
                    <c:v>90.664999594747286</c:v>
                  </c:pt>
                  <c:pt idx="15">
                    <c:v>50.566743343871543</c:v>
                  </c:pt>
                  <c:pt idx="16">
                    <c:v>92.005538122063982</c:v>
                  </c:pt>
                  <c:pt idx="17">
                    <c:v>48.01242347316682</c:v>
                  </c:pt>
                  <c:pt idx="18">
                    <c:v>36.907292452585203</c:v>
                  </c:pt>
                  <c:pt idx="19">
                    <c:v>61.453565777922336</c:v>
                  </c:pt>
                  <c:pt idx="20">
                    <c:v>51.113055208552133</c:v>
                  </c:pt>
                  <c:pt idx="21">
                    <c:v>90.430568673491663</c:v>
                  </c:pt>
                  <c:pt idx="22">
                    <c:v>59.95090912689102</c:v>
                  </c:pt>
                  <c:pt idx="23">
                    <c:v>130.37009517115541</c:v>
                  </c:pt>
                </c:numCache>
              </c:numRef>
            </c:plus>
            <c:minus>
              <c:numRef>
                <c:f>'BRF harvest'!$K$353:$K$376</c:f>
                <c:numCache>
                  <c:formatCode>General</c:formatCode>
                  <c:ptCount val="24"/>
                  <c:pt idx="0">
                    <c:v>27.055031329570021</c:v>
                  </c:pt>
                  <c:pt idx="1">
                    <c:v>29.016613628430775</c:v>
                  </c:pt>
                  <c:pt idx="2">
                    <c:v>39.78681077877944</c:v>
                  </c:pt>
                  <c:pt idx="3">
                    <c:v>34.771822071314688</c:v>
                  </c:pt>
                  <c:pt idx="4">
                    <c:v>64.621182902092002</c:v>
                  </c:pt>
                  <c:pt idx="5">
                    <c:v>51.926414439653541</c:v>
                  </c:pt>
                  <c:pt idx="6">
                    <c:v>76.66825909603871</c:v>
                  </c:pt>
                  <c:pt idx="7">
                    <c:v>100.35529062945159</c:v>
                  </c:pt>
                  <c:pt idx="8">
                    <c:v>50.073017348778293</c:v>
                  </c:pt>
                  <c:pt idx="9">
                    <c:v>53.904370435736809</c:v>
                  </c:pt>
                  <c:pt idx="10">
                    <c:v>62.517762985414137</c:v>
                  </c:pt>
                  <c:pt idx="11">
                    <c:v>64.317753149539882</c:v>
                  </c:pt>
                  <c:pt idx="12">
                    <c:v>48.444312217895053</c:v>
                  </c:pt>
                  <c:pt idx="13">
                    <c:v>35.985706705444947</c:v>
                  </c:pt>
                  <c:pt idx="14">
                    <c:v>90.664999594747286</c:v>
                  </c:pt>
                  <c:pt idx="15">
                    <c:v>50.566743343871543</c:v>
                  </c:pt>
                  <c:pt idx="16">
                    <c:v>92.005538122063982</c:v>
                  </c:pt>
                  <c:pt idx="17">
                    <c:v>48.01242347316682</c:v>
                  </c:pt>
                  <c:pt idx="18">
                    <c:v>36.907292452585203</c:v>
                  </c:pt>
                  <c:pt idx="19">
                    <c:v>61.453565777922336</c:v>
                  </c:pt>
                  <c:pt idx="20">
                    <c:v>51.113055208552133</c:v>
                  </c:pt>
                  <c:pt idx="21">
                    <c:v>90.430568673491663</c:v>
                  </c:pt>
                  <c:pt idx="22">
                    <c:v>59.95090912689102</c:v>
                  </c:pt>
                  <c:pt idx="23">
                    <c:v>130.37009517115541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harvest'!$H$353:$H$376</c:f>
              <c:numCache>
                <c:formatCode>0</c:formatCode>
                <c:ptCount val="24"/>
                <c:pt idx="0">
                  <c:v>1437.8648244639999</c:v>
                </c:pt>
                <c:pt idx="1">
                  <c:v>1542.114941696</c:v>
                </c:pt>
                <c:pt idx="2">
                  <c:v>2114.5070947999998</c:v>
                </c:pt>
                <c:pt idx="3">
                  <c:v>1847.980851688</c:v>
                </c:pt>
                <c:pt idx="4">
                  <c:v>3434.3529186239998</c:v>
                </c:pt>
                <c:pt idx="5">
                  <c:v>2759.6776316320002</c:v>
                </c:pt>
                <c:pt idx="6">
                  <c:v>4074.605997096</c:v>
                </c:pt>
                <c:pt idx="7">
                  <c:v>5333.4753372559999</c:v>
                </c:pt>
                <c:pt idx="8">
                  <c:v>4701.2533344700005</c:v>
                </c:pt>
                <c:pt idx="9">
                  <c:v>5809.5590898319997</c:v>
                </c:pt>
                <c:pt idx="10">
                  <c:v>10637.157524804999</c:v>
                </c:pt>
                <c:pt idx="11">
                  <c:v>5812.1931671359998</c:v>
                </c:pt>
                <c:pt idx="12">
                  <c:v>7328.9758286159995</c:v>
                </c:pt>
                <c:pt idx="13">
                  <c:v>8084.7525021319998</c:v>
                </c:pt>
                <c:pt idx="14">
                  <c:v>9276.6130169219996</c:v>
                </c:pt>
                <c:pt idx="15">
                  <c:v>10992.562746424001</c:v>
                </c:pt>
                <c:pt idx="16">
                  <c:v>12852.376909116001</c:v>
                </c:pt>
                <c:pt idx="17">
                  <c:v>12614.137521029001</c:v>
                </c:pt>
                <c:pt idx="18">
                  <c:v>13467.403247603999</c:v>
                </c:pt>
                <c:pt idx="19">
                  <c:v>16188.019244539999</c:v>
                </c:pt>
                <c:pt idx="20">
                  <c:v>22303.100593563999</c:v>
                </c:pt>
                <c:pt idx="21">
                  <c:v>18975.270948012232</c:v>
                </c:pt>
                <c:pt idx="22">
                  <c:v>12355.865336658349</c:v>
                </c:pt>
                <c:pt idx="23">
                  <c:v>28499.784642541934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2-4F60-94CF-BCF7AB5F665E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harvest'!$T$353:$T$376</c:f>
                <c:numCache>
                  <c:formatCode>General</c:formatCode>
                  <c:ptCount val="24"/>
                  <c:pt idx="0">
                    <c:v>679.86470349737795</c:v>
                  </c:pt>
                  <c:pt idx="1">
                    <c:v>985.32353888348405</c:v>
                  </c:pt>
                  <c:pt idx="2">
                    <c:v>1474.9968920461167</c:v>
                  </c:pt>
                  <c:pt idx="3">
                    <c:v>1228.6660073252456</c:v>
                  </c:pt>
                  <c:pt idx="4">
                    <c:v>1625.9119141411391</c:v>
                  </c:pt>
                  <c:pt idx="5">
                    <c:v>1472.0084757670072</c:v>
                  </c:pt>
                  <c:pt idx="6">
                    <c:v>2147.6040131513714</c:v>
                  </c:pt>
                  <c:pt idx="7">
                    <c:v>2703.6628993713621</c:v>
                  </c:pt>
                  <c:pt idx="8">
                    <c:v>1654.7265823752398</c:v>
                  </c:pt>
                  <c:pt idx="9">
                    <c:v>2455.6809845933735</c:v>
                  </c:pt>
                  <c:pt idx="10">
                    <c:v>3751.4553796909136</c:v>
                  </c:pt>
                  <c:pt idx="11">
                    <c:v>2021.3685903449882</c:v>
                  </c:pt>
                  <c:pt idx="12">
                    <c:v>2196.2722516346962</c:v>
                  </c:pt>
                  <c:pt idx="13">
                    <c:v>2224.4385535456749</c:v>
                  </c:pt>
                  <c:pt idx="14">
                    <c:v>2446.7990357714593</c:v>
                  </c:pt>
                  <c:pt idx="15">
                    <c:v>2472.0155795169203</c:v>
                  </c:pt>
                  <c:pt idx="16">
                    <c:v>2814.8808050695038</c:v>
                  </c:pt>
                  <c:pt idx="17">
                    <c:v>6146.1251941559403</c:v>
                  </c:pt>
                  <c:pt idx="18">
                    <c:v>4279.2406774718011</c:v>
                  </c:pt>
                  <c:pt idx="19">
                    <c:v>4044.0545063630011</c:v>
                  </c:pt>
                  <c:pt idx="20">
                    <c:v>4952.7564302920036</c:v>
                  </c:pt>
                  <c:pt idx="21">
                    <c:v>6064.2538957762099</c:v>
                  </c:pt>
                  <c:pt idx="22">
                    <c:v>2129.0289340147174</c:v>
                  </c:pt>
                  <c:pt idx="23">
                    <c:v>1296.8339647039688</c:v>
                  </c:pt>
                </c:numCache>
              </c:numRef>
            </c:plus>
            <c:minus>
              <c:numRef>
                <c:f>'BRF harvest'!$T$353:$T$376</c:f>
                <c:numCache>
                  <c:formatCode>General</c:formatCode>
                  <c:ptCount val="24"/>
                  <c:pt idx="0">
                    <c:v>679.86470349737795</c:v>
                  </c:pt>
                  <c:pt idx="1">
                    <c:v>985.32353888348405</c:v>
                  </c:pt>
                  <c:pt idx="2">
                    <c:v>1474.9968920461167</c:v>
                  </c:pt>
                  <c:pt idx="3">
                    <c:v>1228.6660073252456</c:v>
                  </c:pt>
                  <c:pt idx="4">
                    <c:v>1625.9119141411391</c:v>
                  </c:pt>
                  <c:pt idx="5">
                    <c:v>1472.0084757670072</c:v>
                  </c:pt>
                  <c:pt idx="6">
                    <c:v>2147.6040131513714</c:v>
                  </c:pt>
                  <c:pt idx="7">
                    <c:v>2703.6628993713621</c:v>
                  </c:pt>
                  <c:pt idx="8">
                    <c:v>1654.7265823752398</c:v>
                  </c:pt>
                  <c:pt idx="9">
                    <c:v>2455.6809845933735</c:v>
                  </c:pt>
                  <c:pt idx="10">
                    <c:v>3751.4553796909136</c:v>
                  </c:pt>
                  <c:pt idx="11">
                    <c:v>2021.3685903449882</c:v>
                  </c:pt>
                  <c:pt idx="12">
                    <c:v>2196.2722516346962</c:v>
                  </c:pt>
                  <c:pt idx="13">
                    <c:v>2224.4385535456749</c:v>
                  </c:pt>
                  <c:pt idx="14">
                    <c:v>2446.7990357714593</c:v>
                  </c:pt>
                  <c:pt idx="15">
                    <c:v>2472.0155795169203</c:v>
                  </c:pt>
                  <c:pt idx="16">
                    <c:v>2814.8808050695038</c:v>
                  </c:pt>
                  <c:pt idx="17">
                    <c:v>6146.1251941559403</c:v>
                  </c:pt>
                  <c:pt idx="18">
                    <c:v>4279.2406774718011</c:v>
                  </c:pt>
                  <c:pt idx="19">
                    <c:v>4044.0545063630011</c:v>
                  </c:pt>
                  <c:pt idx="20">
                    <c:v>4952.7564302920036</c:v>
                  </c:pt>
                  <c:pt idx="21">
                    <c:v>6064.2538957762099</c:v>
                  </c:pt>
                  <c:pt idx="22">
                    <c:v>2129.0289340147174</c:v>
                  </c:pt>
                  <c:pt idx="23">
                    <c:v>1296.8339647039688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harvest'!$Q$353:$Q$376</c:f>
              <c:numCache>
                <c:formatCode>_(* #,##0_);_(* \(#,##0\);_(* "-"??_);_(@_)</c:formatCode>
                <c:ptCount val="24"/>
                <c:pt idx="0">
                  <c:v>952.96755687131224</c:v>
                </c:pt>
                <c:pt idx="1">
                  <c:v>1381.1297464734619</c:v>
                </c:pt>
                <c:pt idx="2">
                  <c:v>2067.5057513283414</c:v>
                </c:pt>
                <c:pt idx="3">
                  <c:v>1722.2233147099757</c:v>
                </c:pt>
                <c:pt idx="4">
                  <c:v>2279.043604611863</c:v>
                </c:pt>
                <c:pt idx="5">
                  <c:v>2063.3168829464894</c:v>
                </c:pt>
                <c:pt idx="6">
                  <c:v>3010.3003421294411</c:v>
                </c:pt>
                <c:pt idx="7">
                  <c:v>3789.729066038316</c:v>
                </c:pt>
                <c:pt idx="8">
                  <c:v>2353.0622819325404</c:v>
                </c:pt>
                <c:pt idx="9">
                  <c:v>3641.8445576209169</c:v>
                </c:pt>
                <c:pt idx="10">
                  <c:v>5579.2883712852581</c:v>
                </c:pt>
                <c:pt idx="11">
                  <c:v>3008.7195635870808</c:v>
                </c:pt>
                <c:pt idx="12">
                  <c:v>3265.494990539009</c:v>
                </c:pt>
                <c:pt idx="13">
                  <c:v>3347.2562702238924</c:v>
                </c:pt>
                <c:pt idx="14">
                  <c:v>4772.3056212545662</c:v>
                </c:pt>
                <c:pt idx="15">
                  <c:v>4774.2365106903026</c:v>
                </c:pt>
                <c:pt idx="16">
                  <c:v>3593.0247604901078</c:v>
                </c:pt>
                <c:pt idx="17">
                  <c:v>9990.9281418935389</c:v>
                </c:pt>
                <c:pt idx="18">
                  <c:v>6002.8001871484912</c:v>
                </c:pt>
                <c:pt idx="19">
                  <c:v>4953.4991090958874</c:v>
                </c:pt>
                <c:pt idx="20">
                  <c:v>9069.9662775131837</c:v>
                </c:pt>
                <c:pt idx="21">
                  <c:v>9461.1967224867258</c:v>
                </c:pt>
                <c:pt idx="22">
                  <c:v>2657.7185947475805</c:v>
                </c:pt>
                <c:pt idx="23">
                  <c:v>1572.4210936346151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22-4F60-94CF-BCF7AB5F665E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harvest'!$Y$353:$Y$376</c:f>
                <c:numCache>
                  <c:formatCode>General</c:formatCode>
                  <c:ptCount val="24"/>
                  <c:pt idx="0">
                    <c:v>680.40281435471866</c:v>
                  </c:pt>
                  <c:pt idx="1">
                    <c:v>985.75069877953126</c:v>
                  </c:pt>
                  <c:pt idx="2">
                    <c:v>1475.5334024879446</c:v>
                  </c:pt>
                  <c:pt idx="3">
                    <c:v>1229.1579382515167</c:v>
                  </c:pt>
                  <c:pt idx="4">
                    <c:v>1627.1955782344567</c:v>
                  </c:pt>
                  <c:pt idx="5">
                    <c:v>1472.9240663545647</c:v>
                  </c:pt>
                  <c:pt idx="6">
                    <c:v>2148.9720843362979</c:v>
                  </c:pt>
                  <c:pt idx="7">
                    <c:v>2705.5247656960164</c:v>
                  </c:pt>
                  <c:pt idx="8">
                    <c:v>1655.4840287618761</c:v>
                  </c:pt>
                  <c:pt idx="9">
                    <c:v>2456.2725376565108</c:v>
                  </c:pt>
                  <c:pt idx="10">
                    <c:v>3751.9762707805862</c:v>
                  </c:pt>
                  <c:pt idx="11">
                    <c:v>2022.391592002768</c:v>
                  </c:pt>
                  <c:pt idx="12">
                    <c:v>2196.8064672808127</c:v>
                  </c:pt>
                  <c:pt idx="13">
                    <c:v>2224.7296126917236</c:v>
                  </c:pt>
                  <c:pt idx="14">
                    <c:v>2448.4782342515646</c:v>
                  </c:pt>
                  <c:pt idx="15">
                    <c:v>2472.5327138193297</c:v>
                  </c:pt>
                  <c:pt idx="16">
                    <c:v>2816.3840231392219</c:v>
                  </c:pt>
                  <c:pt idx="17">
                    <c:v>6146.3127234990379</c:v>
                  </c:pt>
                  <c:pt idx="18">
                    <c:v>4279.3998322154348</c:v>
                  </c:pt>
                  <c:pt idx="19">
                    <c:v>4044.5214044657641</c:v>
                  </c:pt>
                  <c:pt idx="20">
                    <c:v>4953.0201697763705</c:v>
                  </c:pt>
                  <c:pt idx="21">
                    <c:v>6064.92811170813</c:v>
                  </c:pt>
                  <c:pt idx="22">
                    <c:v>2129.8728397200111</c:v>
                  </c:pt>
                  <c:pt idx="23">
                    <c:v>1303.3705128338413</c:v>
                  </c:pt>
                </c:numCache>
              </c:numRef>
            </c:plus>
            <c:minus>
              <c:numRef>
                <c:f>'BRF harvest'!$Y$353:$Y$376</c:f>
                <c:numCache>
                  <c:formatCode>General</c:formatCode>
                  <c:ptCount val="24"/>
                  <c:pt idx="0">
                    <c:v>680.40281435471866</c:v>
                  </c:pt>
                  <c:pt idx="1">
                    <c:v>985.75069877953126</c:v>
                  </c:pt>
                  <c:pt idx="2">
                    <c:v>1475.5334024879446</c:v>
                  </c:pt>
                  <c:pt idx="3">
                    <c:v>1229.1579382515167</c:v>
                  </c:pt>
                  <c:pt idx="4">
                    <c:v>1627.1955782344567</c:v>
                  </c:pt>
                  <c:pt idx="5">
                    <c:v>1472.9240663545647</c:v>
                  </c:pt>
                  <c:pt idx="6">
                    <c:v>2148.9720843362979</c:v>
                  </c:pt>
                  <c:pt idx="7">
                    <c:v>2705.5247656960164</c:v>
                  </c:pt>
                  <c:pt idx="8">
                    <c:v>1655.4840287618761</c:v>
                  </c:pt>
                  <c:pt idx="9">
                    <c:v>2456.2725376565108</c:v>
                  </c:pt>
                  <c:pt idx="10">
                    <c:v>3751.9762707805862</c:v>
                  </c:pt>
                  <c:pt idx="11">
                    <c:v>2022.391592002768</c:v>
                  </c:pt>
                  <c:pt idx="12">
                    <c:v>2196.8064672808127</c:v>
                  </c:pt>
                  <c:pt idx="13">
                    <c:v>2224.7296126917236</c:v>
                  </c:pt>
                  <c:pt idx="14">
                    <c:v>2448.4782342515646</c:v>
                  </c:pt>
                  <c:pt idx="15">
                    <c:v>2472.5327138193297</c:v>
                  </c:pt>
                  <c:pt idx="16">
                    <c:v>2816.3840231392219</c:v>
                  </c:pt>
                  <c:pt idx="17">
                    <c:v>6146.3127234990379</c:v>
                  </c:pt>
                  <c:pt idx="18">
                    <c:v>4279.3998322154348</c:v>
                  </c:pt>
                  <c:pt idx="19">
                    <c:v>4044.5214044657641</c:v>
                  </c:pt>
                  <c:pt idx="20">
                    <c:v>4953.0201697763705</c:v>
                  </c:pt>
                  <c:pt idx="21">
                    <c:v>6064.92811170813</c:v>
                  </c:pt>
                  <c:pt idx="22">
                    <c:v>2129.8728397200111</c:v>
                  </c:pt>
                  <c:pt idx="23">
                    <c:v>1303.3705128338413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harvest'!$V$353:$V$376</c:f>
              <c:numCache>
                <c:formatCode>_(* #,##0_);_(* \(#,##0\);_(* "-"??_);_(@_)</c:formatCode>
                <c:ptCount val="24"/>
                <c:pt idx="0">
                  <c:v>2390.8323813353122</c:v>
                </c:pt>
                <c:pt idx="1">
                  <c:v>2923.2446881694618</c:v>
                </c:pt>
                <c:pt idx="2">
                  <c:v>4182.0128461283412</c:v>
                </c:pt>
                <c:pt idx="3">
                  <c:v>3570.2041663979758</c:v>
                </c:pt>
                <c:pt idx="4">
                  <c:v>5713.3965232358623</c:v>
                </c:pt>
                <c:pt idx="5">
                  <c:v>4822.9945145784895</c:v>
                </c:pt>
                <c:pt idx="6">
                  <c:v>7084.9063392254411</c:v>
                </c:pt>
                <c:pt idx="7">
                  <c:v>9123.2044032943159</c:v>
                </c:pt>
                <c:pt idx="8">
                  <c:v>7054.3156164025404</c:v>
                </c:pt>
                <c:pt idx="9">
                  <c:v>9451.4036474529166</c:v>
                </c:pt>
                <c:pt idx="10">
                  <c:v>16216.445896090258</c:v>
                </c:pt>
                <c:pt idx="11">
                  <c:v>8820.912730723081</c:v>
                </c:pt>
                <c:pt idx="12">
                  <c:v>10594.470819155009</c:v>
                </c:pt>
                <c:pt idx="13">
                  <c:v>11432.008772355892</c:v>
                </c:pt>
                <c:pt idx="14">
                  <c:v>14048.918638176565</c:v>
                </c:pt>
                <c:pt idx="15">
                  <c:v>15766.799257114304</c:v>
                </c:pt>
                <c:pt idx="16">
                  <c:v>16445.401669606108</c:v>
                </c:pt>
                <c:pt idx="17">
                  <c:v>22605.065662922541</c:v>
                </c:pt>
                <c:pt idx="18">
                  <c:v>19470.20343475249</c:v>
                </c:pt>
                <c:pt idx="19">
                  <c:v>21141.518353635885</c:v>
                </c:pt>
                <c:pt idx="20">
                  <c:v>31373.066871077182</c:v>
                </c:pt>
                <c:pt idx="21">
                  <c:v>28436.467670498958</c:v>
                </c:pt>
                <c:pt idx="22">
                  <c:v>15013.58393140593</c:v>
                </c:pt>
                <c:pt idx="23">
                  <c:v>30072.205736176547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22-4F60-94CF-BCF7AB5F6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KODIAK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AFOGNAK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harvest'!$Y$3:$Y$26</c:f>
                <c:numCache>
                  <c:formatCode>General</c:formatCode>
                  <c:ptCount val="24"/>
                  <c:pt idx="0">
                    <c:v>106.31883961796915</c:v>
                  </c:pt>
                  <c:pt idx="1">
                    <c:v>110.39156678372757</c:v>
                  </c:pt>
                  <c:pt idx="2">
                    <c:v>319.09511285360048</c:v>
                  </c:pt>
                  <c:pt idx="3">
                    <c:v>133.10783452269283</c:v>
                  </c:pt>
                  <c:pt idx="4">
                    <c:v>67.433338938756663</c:v>
                  </c:pt>
                  <c:pt idx="5">
                    <c:v>128.18757382336764</c:v>
                  </c:pt>
                  <c:pt idx="6">
                    <c:v>110.76118130753045</c:v>
                  </c:pt>
                  <c:pt idx="7">
                    <c:v>341.8536774539615</c:v>
                  </c:pt>
                  <c:pt idx="8">
                    <c:v>224.86258048537971</c:v>
                  </c:pt>
                  <c:pt idx="9">
                    <c:v>700.82543052019719</c:v>
                  </c:pt>
                  <c:pt idx="10">
                    <c:v>571.26532581471008</c:v>
                  </c:pt>
                  <c:pt idx="11">
                    <c:v>717.35733556886271</c:v>
                  </c:pt>
                  <c:pt idx="12">
                    <c:v>714.16741770023361</c:v>
                  </c:pt>
                  <c:pt idx="13">
                    <c:v>654.75704871538392</c:v>
                  </c:pt>
                  <c:pt idx="14">
                    <c:v>771.33459300316133</c:v>
                  </c:pt>
                  <c:pt idx="15">
                    <c:v>477.96909312558404</c:v>
                  </c:pt>
                  <c:pt idx="16">
                    <c:v>802.49771079093034</c:v>
                  </c:pt>
                  <c:pt idx="17">
                    <c:v>1518.233930154918</c:v>
                  </c:pt>
                  <c:pt idx="18">
                    <c:v>481.45066188857885</c:v>
                  </c:pt>
                  <c:pt idx="19">
                    <c:v>492.92116773463954</c:v>
                  </c:pt>
                  <c:pt idx="20">
                    <c:v>1104.1701020630674</c:v>
                  </c:pt>
                  <c:pt idx="21">
                    <c:v>2939.6367225045897</c:v>
                  </c:pt>
                  <c:pt idx="22">
                    <c:v>1187.0492632519154</c:v>
                  </c:pt>
                  <c:pt idx="23">
                    <c:v>1196.9351245705523</c:v>
                  </c:pt>
                </c:numCache>
              </c:numRef>
            </c:plus>
            <c:minus>
              <c:numRef>
                <c:f>'BRF harvest'!$Y$3:$Y$26</c:f>
                <c:numCache>
                  <c:formatCode>General</c:formatCode>
                  <c:ptCount val="24"/>
                  <c:pt idx="0">
                    <c:v>106.31883961796915</c:v>
                  </c:pt>
                  <c:pt idx="1">
                    <c:v>110.39156678372757</c:v>
                  </c:pt>
                  <c:pt idx="2">
                    <c:v>319.09511285360048</c:v>
                  </c:pt>
                  <c:pt idx="3">
                    <c:v>133.10783452269283</c:v>
                  </c:pt>
                  <c:pt idx="4">
                    <c:v>67.433338938756663</c:v>
                  </c:pt>
                  <c:pt idx="5">
                    <c:v>128.18757382336764</c:v>
                  </c:pt>
                  <c:pt idx="6">
                    <c:v>110.76118130753045</c:v>
                  </c:pt>
                  <c:pt idx="7">
                    <c:v>341.8536774539615</c:v>
                  </c:pt>
                  <c:pt idx="8">
                    <c:v>224.86258048537971</c:v>
                  </c:pt>
                  <c:pt idx="9">
                    <c:v>700.82543052019719</c:v>
                  </c:pt>
                  <c:pt idx="10">
                    <c:v>571.26532581471008</c:v>
                  </c:pt>
                  <c:pt idx="11">
                    <c:v>717.35733556886271</c:v>
                  </c:pt>
                  <c:pt idx="12">
                    <c:v>714.16741770023361</c:v>
                  </c:pt>
                  <c:pt idx="13">
                    <c:v>654.75704871538392</c:v>
                  </c:pt>
                  <c:pt idx="14">
                    <c:v>771.33459300316133</c:v>
                  </c:pt>
                  <c:pt idx="15">
                    <c:v>477.96909312558404</c:v>
                  </c:pt>
                  <c:pt idx="16">
                    <c:v>802.49771079093034</c:v>
                  </c:pt>
                  <c:pt idx="17">
                    <c:v>1518.233930154918</c:v>
                  </c:pt>
                  <c:pt idx="18">
                    <c:v>481.45066188857885</c:v>
                  </c:pt>
                  <c:pt idx="19">
                    <c:v>492.92116773463954</c:v>
                  </c:pt>
                  <c:pt idx="20">
                    <c:v>1104.1701020630674</c:v>
                  </c:pt>
                  <c:pt idx="21">
                    <c:v>2939.6367225045897</c:v>
                  </c:pt>
                  <c:pt idx="22">
                    <c:v>1187.0492632519154</c:v>
                  </c:pt>
                  <c:pt idx="23">
                    <c:v>1196.9351245705523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multiLvlStrRef>
              <c:f>'rockfish harvests'!$B$2:$B$27</c:f>
            </c:multiLvlStrRef>
          </c:cat>
          <c:val>
            <c:numRef>
              <c:f>'BRF harvest'!$V$3:$V$26</c:f>
              <c:numCache>
                <c:formatCode>_(* #,##0_);_(* \(#,##0\);_(* "-"??_);_(@_)</c:formatCode>
                <c:ptCount val="24"/>
                <c:pt idx="0">
                  <c:v>359.1413642850506</c:v>
                </c:pt>
                <c:pt idx="1">
                  <c:v>465.55923337779177</c:v>
                </c:pt>
                <c:pt idx="2">
                  <c:v>1402.4684024516273</c:v>
                </c:pt>
                <c:pt idx="3">
                  <c:v>573.26885828848845</c:v>
                </c:pt>
                <c:pt idx="4">
                  <c:v>312.5349823096368</c:v>
                </c:pt>
                <c:pt idx="5">
                  <c:v>528.9454202183241</c:v>
                </c:pt>
                <c:pt idx="6">
                  <c:v>361.72103285180168</c:v>
                </c:pt>
                <c:pt idx="7">
                  <c:v>1410.2992683885925</c:v>
                </c:pt>
                <c:pt idx="8">
                  <c:v>864.82725119314125</c:v>
                </c:pt>
                <c:pt idx="9">
                  <c:v>1961.5839813375032</c:v>
                </c:pt>
                <c:pt idx="10">
                  <c:v>2215.6726544599155</c:v>
                </c:pt>
                <c:pt idx="11">
                  <c:v>2933.7154069116409</c:v>
                </c:pt>
                <c:pt idx="12">
                  <c:v>1674.0195892837091</c:v>
                </c:pt>
                <c:pt idx="13">
                  <c:v>2824.379965044564</c:v>
                </c:pt>
                <c:pt idx="14">
                  <c:v>2686.2781107934079</c:v>
                </c:pt>
                <c:pt idx="15">
                  <c:v>1576.1179956627866</c:v>
                </c:pt>
                <c:pt idx="16">
                  <c:v>2804.100842514702</c:v>
                </c:pt>
                <c:pt idx="17">
                  <c:v>3569.4906353961287</c:v>
                </c:pt>
                <c:pt idx="18">
                  <c:v>2858.1331790138988</c:v>
                </c:pt>
                <c:pt idx="19">
                  <c:v>3011.9498269146825</c:v>
                </c:pt>
                <c:pt idx="20">
                  <c:v>3958.1363902099833</c:v>
                </c:pt>
                <c:pt idx="21">
                  <c:v>8059.9741420972177</c:v>
                </c:pt>
                <c:pt idx="22">
                  <c:v>4984.8258412868308</c:v>
                </c:pt>
                <c:pt idx="23">
                  <c:v>2748.7521419600089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4-48F1-9840-42AB9BDDF56D}"/>
            </c:ext>
          </c:extLst>
        </c:ser>
        <c:ser>
          <c:idx val="1"/>
          <c:order val="1"/>
          <c:tx>
            <c:v>WKMA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harvest'!$Y$28:$Y$51</c:f>
                <c:numCache>
                  <c:formatCode>General</c:formatCode>
                  <c:ptCount val="24"/>
                  <c:pt idx="0">
                    <c:v>43.79824174422582</c:v>
                  </c:pt>
                  <c:pt idx="1">
                    <c:v>58.112910690611358</c:v>
                  </c:pt>
                  <c:pt idx="2">
                    <c:v>100.97261243307618</c:v>
                  </c:pt>
                  <c:pt idx="3">
                    <c:v>342.52076543798614</c:v>
                  </c:pt>
                  <c:pt idx="4">
                    <c:v>198.986182914132</c:v>
                  </c:pt>
                  <c:pt idx="5">
                    <c:v>289.54418147470921</c:v>
                  </c:pt>
                  <c:pt idx="6">
                    <c:v>224.21956482476</c:v>
                  </c:pt>
                  <c:pt idx="7">
                    <c:v>364.04240992745144</c:v>
                  </c:pt>
                  <c:pt idx="8">
                    <c:v>207.50502135360347</c:v>
                  </c:pt>
                  <c:pt idx="9">
                    <c:v>528.77133325417151</c:v>
                  </c:pt>
                  <c:pt idx="10">
                    <c:v>295.76775649704814</c:v>
                  </c:pt>
                  <c:pt idx="11">
                    <c:v>396.53711200697194</c:v>
                  </c:pt>
                  <c:pt idx="12">
                    <c:v>343.12749191990548</c:v>
                  </c:pt>
                  <c:pt idx="13">
                    <c:v>328.46688768863476</c:v>
                  </c:pt>
                  <c:pt idx="14">
                    <c:v>947.07155825245172</c:v>
                  </c:pt>
                  <c:pt idx="15">
                    <c:v>355.11644545863811</c:v>
                  </c:pt>
                  <c:pt idx="16">
                    <c:v>761.11556373226472</c:v>
                  </c:pt>
                  <c:pt idx="17">
                    <c:v>1184.0717263317288</c:v>
                  </c:pt>
                  <c:pt idx="18">
                    <c:v>298.07451123184768</c:v>
                  </c:pt>
                  <c:pt idx="19">
                    <c:v>829.64599530753696</c:v>
                  </c:pt>
                  <c:pt idx="20">
                    <c:v>736.09347931972286</c:v>
                  </c:pt>
                  <c:pt idx="21">
                    <c:v>3012.7095636002823</c:v>
                  </c:pt>
                  <c:pt idx="22">
                    <c:v>646.08077454825673</c:v>
                  </c:pt>
                  <c:pt idx="23">
                    <c:v>1049.6228463776961</c:v>
                  </c:pt>
                </c:numCache>
              </c:numRef>
            </c:plus>
            <c:minus>
              <c:numRef>
                <c:f>'BRF harvest'!$Y$28:$Y$51</c:f>
                <c:numCache>
                  <c:formatCode>General</c:formatCode>
                  <c:ptCount val="24"/>
                  <c:pt idx="0">
                    <c:v>43.79824174422582</c:v>
                  </c:pt>
                  <c:pt idx="1">
                    <c:v>58.112910690611358</c:v>
                  </c:pt>
                  <c:pt idx="2">
                    <c:v>100.97261243307618</c:v>
                  </c:pt>
                  <c:pt idx="3">
                    <c:v>342.52076543798614</c:v>
                  </c:pt>
                  <c:pt idx="4">
                    <c:v>198.986182914132</c:v>
                  </c:pt>
                  <c:pt idx="5">
                    <c:v>289.54418147470921</c:v>
                  </c:pt>
                  <c:pt idx="6">
                    <c:v>224.21956482476</c:v>
                  </c:pt>
                  <c:pt idx="7">
                    <c:v>364.04240992745144</c:v>
                  </c:pt>
                  <c:pt idx="8">
                    <c:v>207.50502135360347</c:v>
                  </c:pt>
                  <c:pt idx="9">
                    <c:v>528.77133325417151</c:v>
                  </c:pt>
                  <c:pt idx="10">
                    <c:v>295.76775649704814</c:v>
                  </c:pt>
                  <c:pt idx="11">
                    <c:v>396.53711200697194</c:v>
                  </c:pt>
                  <c:pt idx="12">
                    <c:v>343.12749191990548</c:v>
                  </c:pt>
                  <c:pt idx="13">
                    <c:v>328.46688768863476</c:v>
                  </c:pt>
                  <c:pt idx="14">
                    <c:v>947.07155825245172</c:v>
                  </c:pt>
                  <c:pt idx="15">
                    <c:v>355.11644545863811</c:v>
                  </c:pt>
                  <c:pt idx="16">
                    <c:v>761.11556373226472</c:v>
                  </c:pt>
                  <c:pt idx="17">
                    <c:v>1184.0717263317288</c:v>
                  </c:pt>
                  <c:pt idx="18">
                    <c:v>298.07451123184768</c:v>
                  </c:pt>
                  <c:pt idx="19">
                    <c:v>829.64599530753696</c:v>
                  </c:pt>
                  <c:pt idx="20">
                    <c:v>736.09347931972286</c:v>
                  </c:pt>
                  <c:pt idx="21">
                    <c:v>3012.7095636002823</c:v>
                  </c:pt>
                  <c:pt idx="22">
                    <c:v>646.08077454825673</c:v>
                  </c:pt>
                  <c:pt idx="23">
                    <c:v>1049.6228463776961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'rockfish harvests'!$B$2:$B$27</c:f>
            </c:multiLvlStrRef>
          </c:cat>
          <c:val>
            <c:numRef>
              <c:f>'BRF harvest'!$V$28:$V$51</c:f>
              <c:numCache>
                <c:formatCode>_(* #,##0_);_(* \(#,##0\);_(* "-"??_);_(@_)</c:formatCode>
                <c:ptCount val="24"/>
                <c:pt idx="0">
                  <c:v>129.65464430819756</c:v>
                </c:pt>
                <c:pt idx="1">
                  <c:v>242.27796776833577</c:v>
                </c:pt>
                <c:pt idx="2">
                  <c:v>363.60832627038195</c:v>
                </c:pt>
                <c:pt idx="3">
                  <c:v>1380.6769000600257</c:v>
                </c:pt>
                <c:pt idx="4">
                  <c:v>865.83143816183724</c:v>
                </c:pt>
                <c:pt idx="5">
                  <c:v>1056.5445732905998</c:v>
                </c:pt>
                <c:pt idx="6">
                  <c:v>737.50543260946256</c:v>
                </c:pt>
                <c:pt idx="7">
                  <c:v>1356.9211465405499</c:v>
                </c:pt>
                <c:pt idx="8">
                  <c:v>673.6989889709655</c:v>
                </c:pt>
                <c:pt idx="9">
                  <c:v>1235.5104762306612</c:v>
                </c:pt>
                <c:pt idx="10">
                  <c:v>983.26253227554935</c:v>
                </c:pt>
                <c:pt idx="11">
                  <c:v>1414.6978625666927</c:v>
                </c:pt>
                <c:pt idx="12">
                  <c:v>697.68621552431614</c:v>
                </c:pt>
                <c:pt idx="13">
                  <c:v>1193.9086573069919</c:v>
                </c:pt>
                <c:pt idx="14">
                  <c:v>1836.4472785420294</c:v>
                </c:pt>
                <c:pt idx="15">
                  <c:v>1146.5471884139997</c:v>
                </c:pt>
                <c:pt idx="16">
                  <c:v>2059.4071840108741</c:v>
                </c:pt>
                <c:pt idx="17">
                  <c:v>1839.5665531727768</c:v>
                </c:pt>
                <c:pt idx="18">
                  <c:v>1687.6795897647514</c:v>
                </c:pt>
                <c:pt idx="19">
                  <c:v>2145.1285766160786</c:v>
                </c:pt>
                <c:pt idx="20">
                  <c:v>2508.3648669308409</c:v>
                </c:pt>
                <c:pt idx="21">
                  <c:v>8055.0274581551948</c:v>
                </c:pt>
                <c:pt idx="22">
                  <c:v>3119.9086592883014</c:v>
                </c:pt>
                <c:pt idx="23">
                  <c:v>2402.5867697780732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4-48F1-9840-42AB9BDDF56D}"/>
            </c:ext>
          </c:extLst>
        </c:ser>
        <c:ser>
          <c:idx val="2"/>
          <c:order val="2"/>
          <c:tx>
            <c:v>SKMA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harvest'!$Y$53:$Y$76</c:f>
                <c:numCache>
                  <c:formatCode>General</c:formatCode>
                  <c:ptCount val="24"/>
                  <c:pt idx="0">
                    <c:v>8.1850664141015628</c:v>
                  </c:pt>
                  <c:pt idx="1">
                    <c:v>23.164965843043902</c:v>
                  </c:pt>
                  <c:pt idx="2">
                    <c:v>16.897306264225403</c:v>
                  </c:pt>
                  <c:pt idx="3">
                    <c:v>7.7920542056274504</c:v>
                  </c:pt>
                  <c:pt idx="4">
                    <c:v>22.970667094615486</c:v>
                  </c:pt>
                  <c:pt idx="5">
                    <c:v>38.383165609595153</c:v>
                  </c:pt>
                  <c:pt idx="6">
                    <c:v>56.928974615201234</c:v>
                  </c:pt>
                  <c:pt idx="7">
                    <c:v>83.377213748735443</c:v>
                  </c:pt>
                  <c:pt idx="8">
                    <c:v>86.835897447685298</c:v>
                  </c:pt>
                  <c:pt idx="9">
                    <c:v>371.90612990620554</c:v>
                  </c:pt>
                  <c:pt idx="10">
                    <c:v>295.79168428761199</c:v>
                  </c:pt>
                  <c:pt idx="11">
                    <c:v>161.07496083424863</c:v>
                  </c:pt>
                  <c:pt idx="12">
                    <c:v>176.12375488175803</c:v>
                  </c:pt>
                  <c:pt idx="13">
                    <c:v>172.00058997173213</c:v>
                  </c:pt>
                  <c:pt idx="14">
                    <c:v>498.63025120057381</c:v>
                  </c:pt>
                  <c:pt idx="15">
                    <c:v>201.80070196619673</c:v>
                  </c:pt>
                  <c:pt idx="16">
                    <c:v>214.1167966126348</c:v>
                  </c:pt>
                  <c:pt idx="17">
                    <c:v>362.39307533033337</c:v>
                  </c:pt>
                  <c:pt idx="18">
                    <c:v>122.78929190253729</c:v>
                  </c:pt>
                  <c:pt idx="19">
                    <c:v>190.09260696797045</c:v>
                  </c:pt>
                  <c:pt idx="20">
                    <c:v>115.65024996854298</c:v>
                  </c:pt>
                  <c:pt idx="21">
                    <c:v>277.96795080787876</c:v>
                  </c:pt>
                  <c:pt idx="22">
                    <c:v>48.452505982557319</c:v>
                  </c:pt>
                  <c:pt idx="23">
                    <c:v>235.07772444906118</c:v>
                  </c:pt>
                </c:numCache>
              </c:numRef>
            </c:plus>
            <c:minus>
              <c:numRef>
                <c:f>'BRF harvest'!$Y$53:$Y$76</c:f>
                <c:numCache>
                  <c:formatCode>General</c:formatCode>
                  <c:ptCount val="24"/>
                  <c:pt idx="0">
                    <c:v>8.1850664141015628</c:v>
                  </c:pt>
                  <c:pt idx="1">
                    <c:v>23.164965843043902</c:v>
                  </c:pt>
                  <c:pt idx="2">
                    <c:v>16.897306264225403</c:v>
                  </c:pt>
                  <c:pt idx="3">
                    <c:v>7.7920542056274504</c:v>
                  </c:pt>
                  <c:pt idx="4">
                    <c:v>22.970667094615486</c:v>
                  </c:pt>
                  <c:pt idx="5">
                    <c:v>38.383165609595153</c:v>
                  </c:pt>
                  <c:pt idx="6">
                    <c:v>56.928974615201234</c:v>
                  </c:pt>
                  <c:pt idx="7">
                    <c:v>83.377213748735443</c:v>
                  </c:pt>
                  <c:pt idx="8">
                    <c:v>86.835897447685298</c:v>
                  </c:pt>
                  <c:pt idx="9">
                    <c:v>371.90612990620554</c:v>
                  </c:pt>
                  <c:pt idx="10">
                    <c:v>295.79168428761199</c:v>
                  </c:pt>
                  <c:pt idx="11">
                    <c:v>161.07496083424863</c:v>
                  </c:pt>
                  <c:pt idx="12">
                    <c:v>176.12375488175803</c:v>
                  </c:pt>
                  <c:pt idx="13">
                    <c:v>172.00058997173213</c:v>
                  </c:pt>
                  <c:pt idx="14">
                    <c:v>498.63025120057381</c:v>
                  </c:pt>
                  <c:pt idx="15">
                    <c:v>201.80070196619673</c:v>
                  </c:pt>
                  <c:pt idx="16">
                    <c:v>214.1167966126348</c:v>
                  </c:pt>
                  <c:pt idx="17">
                    <c:v>362.39307533033337</c:v>
                  </c:pt>
                  <c:pt idx="18">
                    <c:v>122.78929190253729</c:v>
                  </c:pt>
                  <c:pt idx="19">
                    <c:v>190.09260696797045</c:v>
                  </c:pt>
                  <c:pt idx="20">
                    <c:v>115.65024996854298</c:v>
                  </c:pt>
                  <c:pt idx="21">
                    <c:v>277.96795080787876</c:v>
                  </c:pt>
                  <c:pt idx="22">
                    <c:v>48.452505982557319</c:v>
                  </c:pt>
                  <c:pt idx="23">
                    <c:v>235.07772444906118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errBars>
          <c:cat>
            <c:multiLvlStrRef>
              <c:f>'rockfish harvests'!$B$2:$B$27</c:f>
            </c:multiLvlStrRef>
          </c:cat>
          <c:val>
            <c:numRef>
              <c:f>'BRF harvest'!$V$53:$V$76</c:f>
              <c:numCache>
                <c:formatCode>_(* #,##0_);_(* \(#,##0\);_(* "-"??_);_(@_)</c:formatCode>
                <c:ptCount val="24"/>
                <c:pt idx="0">
                  <c:v>27.332020177697281</c:v>
                </c:pt>
                <c:pt idx="1">
                  <c:v>87.196972396234457</c:v>
                </c:pt>
                <c:pt idx="2">
                  <c:v>18.892003485141906</c:v>
                </c:pt>
                <c:pt idx="3">
                  <c:v>14.035872588852769</c:v>
                </c:pt>
                <c:pt idx="4">
                  <c:v>100.59534150616244</c:v>
                </c:pt>
                <c:pt idx="5">
                  <c:v>128.95174777365597</c:v>
                </c:pt>
                <c:pt idx="6">
                  <c:v>195.57570555324924</c:v>
                </c:pt>
                <c:pt idx="7">
                  <c:v>189.81639105045576</c:v>
                </c:pt>
                <c:pt idx="8">
                  <c:v>250.92729066128953</c:v>
                </c:pt>
                <c:pt idx="9">
                  <c:v>1214.2443592476957</c:v>
                </c:pt>
                <c:pt idx="10">
                  <c:v>1211.7450630686949</c:v>
                </c:pt>
                <c:pt idx="11">
                  <c:v>853.801636788471</c:v>
                </c:pt>
                <c:pt idx="12">
                  <c:v>518.26421078013175</c:v>
                </c:pt>
                <c:pt idx="13">
                  <c:v>636.51641897520381</c:v>
                </c:pt>
                <c:pt idx="14">
                  <c:v>975.58371010500002</c:v>
                </c:pt>
                <c:pt idx="15">
                  <c:v>958.2169747559999</c:v>
                </c:pt>
                <c:pt idx="16">
                  <c:v>695.90076735227876</c:v>
                </c:pt>
                <c:pt idx="17">
                  <c:v>721.58731597694577</c:v>
                </c:pt>
                <c:pt idx="18">
                  <c:v>723.22298554881536</c:v>
                </c:pt>
                <c:pt idx="19">
                  <c:v>723.56015152764917</c:v>
                </c:pt>
                <c:pt idx="20">
                  <c:v>646.16417038081829</c:v>
                </c:pt>
                <c:pt idx="21">
                  <c:v>735.4573980461912</c:v>
                </c:pt>
                <c:pt idx="22">
                  <c:v>281.54757508256534</c:v>
                </c:pt>
                <c:pt idx="23">
                  <c:v>1572.856943436479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4-48F1-9840-42AB9BDDF56D}"/>
            </c:ext>
          </c:extLst>
        </c:ser>
        <c:ser>
          <c:idx val="3"/>
          <c:order val="3"/>
          <c:tx>
            <c:v>EASTSIDE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harvest'!$Y$103:$Y$126</c:f>
                <c:numCache>
                  <c:formatCode>General</c:formatCode>
                  <c:ptCount val="24"/>
                  <c:pt idx="0">
                    <c:v>31.617476406853889</c:v>
                  </c:pt>
                  <c:pt idx="1">
                    <c:v>22.56595350227586</c:v>
                  </c:pt>
                  <c:pt idx="2">
                    <c:v>82.996580439805115</c:v>
                  </c:pt>
                  <c:pt idx="3">
                    <c:v>61.730658008260775</c:v>
                  </c:pt>
                  <c:pt idx="4">
                    <c:v>53.057836400763811</c:v>
                  </c:pt>
                  <c:pt idx="5">
                    <c:v>199.03855213141594</c:v>
                  </c:pt>
                  <c:pt idx="6">
                    <c:v>149.5271049760496</c:v>
                  </c:pt>
                  <c:pt idx="7">
                    <c:v>261.96454359435188</c:v>
                  </c:pt>
                  <c:pt idx="8">
                    <c:v>314.52634698946196</c:v>
                  </c:pt>
                  <c:pt idx="9">
                    <c:v>800.42639200220253</c:v>
                  </c:pt>
                  <c:pt idx="10">
                    <c:v>432.41424294855278</c:v>
                  </c:pt>
                  <c:pt idx="11">
                    <c:v>302.55999048720901</c:v>
                  </c:pt>
                  <c:pt idx="12">
                    <c:v>481.56925940900572</c:v>
                  </c:pt>
                  <c:pt idx="13">
                    <c:v>198.22179386542027</c:v>
                  </c:pt>
                  <c:pt idx="14">
                    <c:v>402.50824495696759</c:v>
                  </c:pt>
                  <c:pt idx="15">
                    <c:v>455.94378458153915</c:v>
                  </c:pt>
                  <c:pt idx="16">
                    <c:v>419.06837666621874</c:v>
                  </c:pt>
                  <c:pt idx="17">
                    <c:v>903.43173299134014</c:v>
                  </c:pt>
                  <c:pt idx="18">
                    <c:v>552.99621515211879</c:v>
                  </c:pt>
                  <c:pt idx="19">
                    <c:v>1124.856870899893</c:v>
                  </c:pt>
                  <c:pt idx="20">
                    <c:v>475.61100482858814</c:v>
                  </c:pt>
                  <c:pt idx="21">
                    <c:v>2226.8900416991769</c:v>
                  </c:pt>
                  <c:pt idx="22">
                    <c:v>251.19442567632186</c:v>
                  </c:pt>
                  <c:pt idx="23">
                    <c:v>428.37226408977625</c:v>
                  </c:pt>
                </c:numCache>
              </c:numRef>
            </c:plus>
            <c:minus>
              <c:numRef>
                <c:f>'BRF harvest'!$Y$103:$Y$126</c:f>
                <c:numCache>
                  <c:formatCode>General</c:formatCode>
                  <c:ptCount val="24"/>
                  <c:pt idx="0">
                    <c:v>31.617476406853889</c:v>
                  </c:pt>
                  <c:pt idx="1">
                    <c:v>22.56595350227586</c:v>
                  </c:pt>
                  <c:pt idx="2">
                    <c:v>82.996580439805115</c:v>
                  </c:pt>
                  <c:pt idx="3">
                    <c:v>61.730658008260775</c:v>
                  </c:pt>
                  <c:pt idx="4">
                    <c:v>53.057836400763811</c:v>
                  </c:pt>
                  <c:pt idx="5">
                    <c:v>199.03855213141594</c:v>
                  </c:pt>
                  <c:pt idx="6">
                    <c:v>149.5271049760496</c:v>
                  </c:pt>
                  <c:pt idx="7">
                    <c:v>261.96454359435188</c:v>
                  </c:pt>
                  <c:pt idx="8">
                    <c:v>314.52634698946196</c:v>
                  </c:pt>
                  <c:pt idx="9">
                    <c:v>800.42639200220253</c:v>
                  </c:pt>
                  <c:pt idx="10">
                    <c:v>432.41424294855278</c:v>
                  </c:pt>
                  <c:pt idx="11">
                    <c:v>302.55999048720901</c:v>
                  </c:pt>
                  <c:pt idx="12">
                    <c:v>481.56925940900572</c:v>
                  </c:pt>
                  <c:pt idx="13">
                    <c:v>198.22179386542027</c:v>
                  </c:pt>
                  <c:pt idx="14">
                    <c:v>402.50824495696759</c:v>
                  </c:pt>
                  <c:pt idx="15">
                    <c:v>455.94378458153915</c:v>
                  </c:pt>
                  <c:pt idx="16">
                    <c:v>419.06837666621874</c:v>
                  </c:pt>
                  <c:pt idx="17">
                    <c:v>903.43173299134014</c:v>
                  </c:pt>
                  <c:pt idx="18">
                    <c:v>552.99621515211879</c:v>
                  </c:pt>
                  <c:pt idx="19">
                    <c:v>1124.856870899893</c:v>
                  </c:pt>
                  <c:pt idx="20">
                    <c:v>475.61100482858814</c:v>
                  </c:pt>
                  <c:pt idx="21">
                    <c:v>2226.8900416991769</c:v>
                  </c:pt>
                  <c:pt idx="22">
                    <c:v>251.19442567632186</c:v>
                  </c:pt>
                  <c:pt idx="23">
                    <c:v>428.37226408977625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multiLvlStrRef>
              <c:f>'rockfish harvests'!$B$2:$B$27</c:f>
            </c:multiLvlStrRef>
          </c:cat>
          <c:val>
            <c:numRef>
              <c:f>'BRF harvest'!$V$103:$V$126</c:f>
              <c:numCache>
                <c:formatCode>_(* #,##0_);_(* \(#,##0\);_(* "-"??_);_(@_)</c:formatCode>
                <c:ptCount val="24"/>
                <c:pt idx="0">
                  <c:v>89.096673170685818</c:v>
                </c:pt>
                <c:pt idx="1">
                  <c:v>106.12871191893431</c:v>
                </c:pt>
                <c:pt idx="2">
                  <c:v>401.45477078136321</c:v>
                </c:pt>
                <c:pt idx="3">
                  <c:v>251.38188209076492</c:v>
                </c:pt>
                <c:pt idx="4">
                  <c:v>280.24767745357633</c:v>
                </c:pt>
                <c:pt idx="5">
                  <c:v>1010.6323546288824</c:v>
                </c:pt>
                <c:pt idx="6">
                  <c:v>711.72232213144957</c:v>
                </c:pt>
                <c:pt idx="7">
                  <c:v>1152.806035567588</c:v>
                </c:pt>
                <c:pt idx="8">
                  <c:v>1444.6238351492921</c:v>
                </c:pt>
                <c:pt idx="9">
                  <c:v>3548.2712909685397</c:v>
                </c:pt>
                <c:pt idx="10">
                  <c:v>2197.93303989177</c:v>
                </c:pt>
                <c:pt idx="11">
                  <c:v>2423.9460244987995</c:v>
                </c:pt>
                <c:pt idx="12">
                  <c:v>1830.6447757075803</c:v>
                </c:pt>
                <c:pt idx="13">
                  <c:v>1783.061243623943</c:v>
                </c:pt>
                <c:pt idx="14">
                  <c:v>3230.7519712596668</c:v>
                </c:pt>
                <c:pt idx="15">
                  <c:v>2196.1816172655258</c:v>
                </c:pt>
                <c:pt idx="16">
                  <c:v>3384.8400360634764</c:v>
                </c:pt>
                <c:pt idx="17">
                  <c:v>3164.9577271984163</c:v>
                </c:pt>
                <c:pt idx="18">
                  <c:v>3414.7740069257229</c:v>
                </c:pt>
                <c:pt idx="19">
                  <c:v>4542.8411858699965</c:v>
                </c:pt>
                <c:pt idx="20">
                  <c:v>3706.6052675224605</c:v>
                </c:pt>
                <c:pt idx="21">
                  <c:v>6681.8842145632589</c:v>
                </c:pt>
                <c:pt idx="22">
                  <c:v>1559.0395550802314</c:v>
                </c:pt>
                <c:pt idx="23">
                  <c:v>2946.5335133529184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A4-48F1-9840-42AB9BDDF56D}"/>
            </c:ext>
          </c:extLst>
        </c:ser>
        <c:ser>
          <c:idx val="4"/>
          <c:order val="4"/>
          <c:tx>
            <c:v>NORTHEAST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harvest'!$Y$153:$Y$176</c:f>
                <c:numCache>
                  <c:formatCode>General</c:formatCode>
                  <c:ptCount val="24"/>
                  <c:pt idx="0">
                    <c:v>602.98104734300045</c:v>
                  </c:pt>
                  <c:pt idx="1">
                    <c:v>648.93313818729769</c:v>
                  </c:pt>
                  <c:pt idx="2">
                    <c:v>763.44921110115695</c:v>
                  </c:pt>
                  <c:pt idx="3">
                    <c:v>830.44129430360294</c:v>
                  </c:pt>
                  <c:pt idx="4">
                    <c:v>692.53534925754934</c:v>
                  </c:pt>
                  <c:pt idx="5">
                    <c:v>983.67586900753054</c:v>
                  </c:pt>
                  <c:pt idx="6">
                    <c:v>1254.7761555884008</c:v>
                  </c:pt>
                  <c:pt idx="7">
                    <c:v>1839.6496301462714</c:v>
                  </c:pt>
                  <c:pt idx="8">
                    <c:v>1440.2859607399703</c:v>
                  </c:pt>
                  <c:pt idx="9">
                    <c:v>2237.0953361592074</c:v>
                  </c:pt>
                  <c:pt idx="10">
                    <c:v>2170.2498335381056</c:v>
                  </c:pt>
                  <c:pt idx="11">
                    <c:v>1908.9468013945827</c:v>
                  </c:pt>
                  <c:pt idx="12">
                    <c:v>3150.605200671434</c:v>
                  </c:pt>
                  <c:pt idx="13">
                    <c:v>2185.5857978923586</c:v>
                  </c:pt>
                  <c:pt idx="14">
                    <c:v>2153.477628904895</c:v>
                  </c:pt>
                  <c:pt idx="15">
                    <c:v>2962.9367611487532</c:v>
                  </c:pt>
                  <c:pt idx="16">
                    <c:v>2040.1146165606378</c:v>
                  </c:pt>
                  <c:pt idx="17">
                    <c:v>4705.5197007125989</c:v>
                  </c:pt>
                  <c:pt idx="18">
                    <c:v>7828.2029616978771</c:v>
                  </c:pt>
                  <c:pt idx="19">
                    <c:v>1487.6948722617449</c:v>
                  </c:pt>
                  <c:pt idx="20">
                    <c:v>3717.9543078752267</c:v>
                  </c:pt>
                  <c:pt idx="21">
                    <c:v>3541.6666799670784</c:v>
                  </c:pt>
                  <c:pt idx="22">
                    <c:v>2387.9331574883431</c:v>
                  </c:pt>
                  <c:pt idx="23">
                    <c:v>2901.3435033541218</c:v>
                  </c:pt>
                </c:numCache>
              </c:numRef>
            </c:plus>
            <c:minus>
              <c:numRef>
                <c:f>'BRF harvest'!$Y$153:$Y$176</c:f>
                <c:numCache>
                  <c:formatCode>General</c:formatCode>
                  <c:ptCount val="24"/>
                  <c:pt idx="0">
                    <c:v>602.98104734300045</c:v>
                  </c:pt>
                  <c:pt idx="1">
                    <c:v>648.93313818729769</c:v>
                  </c:pt>
                  <c:pt idx="2">
                    <c:v>763.44921110115695</c:v>
                  </c:pt>
                  <c:pt idx="3">
                    <c:v>830.44129430360294</c:v>
                  </c:pt>
                  <c:pt idx="4">
                    <c:v>692.53534925754934</c:v>
                  </c:pt>
                  <c:pt idx="5">
                    <c:v>983.67586900753054</c:v>
                  </c:pt>
                  <c:pt idx="6">
                    <c:v>1254.7761555884008</c:v>
                  </c:pt>
                  <c:pt idx="7">
                    <c:v>1839.6496301462714</c:v>
                  </c:pt>
                  <c:pt idx="8">
                    <c:v>1440.2859607399703</c:v>
                  </c:pt>
                  <c:pt idx="9">
                    <c:v>2237.0953361592074</c:v>
                  </c:pt>
                  <c:pt idx="10">
                    <c:v>2170.2498335381056</c:v>
                  </c:pt>
                  <c:pt idx="11">
                    <c:v>1908.9468013945827</c:v>
                  </c:pt>
                  <c:pt idx="12">
                    <c:v>3150.605200671434</c:v>
                  </c:pt>
                  <c:pt idx="13">
                    <c:v>2185.5857978923586</c:v>
                  </c:pt>
                  <c:pt idx="14">
                    <c:v>2153.477628904895</c:v>
                  </c:pt>
                  <c:pt idx="15">
                    <c:v>2962.9367611487532</c:v>
                  </c:pt>
                  <c:pt idx="16">
                    <c:v>2040.1146165606378</c:v>
                  </c:pt>
                  <c:pt idx="17">
                    <c:v>4705.5197007125989</c:v>
                  </c:pt>
                  <c:pt idx="18">
                    <c:v>7828.2029616978771</c:v>
                  </c:pt>
                  <c:pt idx="19">
                    <c:v>1487.6948722617449</c:v>
                  </c:pt>
                  <c:pt idx="20">
                    <c:v>3717.9543078752267</c:v>
                  </c:pt>
                  <c:pt idx="21">
                    <c:v>3541.6666799670784</c:v>
                  </c:pt>
                  <c:pt idx="22">
                    <c:v>2387.9331574883431</c:v>
                  </c:pt>
                  <c:pt idx="23">
                    <c:v>2901.3435033541218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00B0F0"/>
                </a:solidFill>
                <a:round/>
              </a:ln>
              <a:effectLst/>
            </c:spPr>
          </c:errBars>
          <c:cat>
            <c:multiLvlStrRef>
              <c:f>'rockfish harvests'!$B$2:$B$27</c:f>
            </c:multiLvlStrRef>
          </c:cat>
          <c:val>
            <c:numRef>
              <c:f>'BRF harvest'!$V$153:$V$176</c:f>
              <c:numCache>
                <c:formatCode>_(* #,##0_);_(* \(#,##0\);_(* "-"??_);_(@_)</c:formatCode>
                <c:ptCount val="24"/>
                <c:pt idx="0">
                  <c:v>1751.2551217634721</c:v>
                </c:pt>
                <c:pt idx="1">
                  <c:v>2515.9609216317722</c:v>
                </c:pt>
                <c:pt idx="2">
                  <c:v>2925.1451980975949</c:v>
                </c:pt>
                <c:pt idx="3">
                  <c:v>3092.0257382708642</c:v>
                </c:pt>
                <c:pt idx="4">
                  <c:v>2871.7494444340323</c:v>
                </c:pt>
                <c:pt idx="5">
                  <c:v>3691.9091603167899</c:v>
                </c:pt>
                <c:pt idx="6">
                  <c:v>4377.7844435533307</c:v>
                </c:pt>
                <c:pt idx="7">
                  <c:v>7004.4440019072426</c:v>
                </c:pt>
                <c:pt idx="8">
                  <c:v>5342.857301024058</c:v>
                </c:pt>
                <c:pt idx="9">
                  <c:v>6422.504868608883</c:v>
                </c:pt>
                <c:pt idx="10">
                  <c:v>8218.9940485571151</c:v>
                </c:pt>
                <c:pt idx="11">
                  <c:v>7252.3259521909167</c:v>
                </c:pt>
                <c:pt idx="12">
                  <c:v>8333.6162949861937</c:v>
                </c:pt>
                <c:pt idx="13">
                  <c:v>10011.024497849619</c:v>
                </c:pt>
                <c:pt idx="14">
                  <c:v>8405.2176992501281</c:v>
                </c:pt>
                <c:pt idx="15">
                  <c:v>10803.122295048772</c:v>
                </c:pt>
                <c:pt idx="16">
                  <c:v>12651.288585790298</c:v>
                </c:pt>
                <c:pt idx="17">
                  <c:v>16131.688651385251</c:v>
                </c:pt>
                <c:pt idx="18">
                  <c:v>18815.657376733012</c:v>
                </c:pt>
                <c:pt idx="19">
                  <c:v>6714.9385112867531</c:v>
                </c:pt>
                <c:pt idx="20">
                  <c:v>12726.394471159685</c:v>
                </c:pt>
                <c:pt idx="21">
                  <c:v>15601.284379532004</c:v>
                </c:pt>
                <c:pt idx="22">
                  <c:v>7027.7422953413698</c:v>
                </c:pt>
                <c:pt idx="23">
                  <c:v>14272.336621144985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A4-48F1-9840-42AB9BDDF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CENTRAL</a:t>
            </a:r>
          </a:p>
        </c:rich>
      </c:tx>
      <c:layout>
        <c:manualLayout>
          <c:xMode val="edge"/>
          <c:yMode val="edge"/>
          <c:x val="0.48803725881570192"/>
          <c:y val="1.618613288114121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CI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harvest'!$Y$78:$Y$101</c:f>
                <c:numCache>
                  <c:formatCode>General</c:formatCode>
                  <c:ptCount val="24"/>
                  <c:pt idx="0">
                    <c:v>318.64704829117585</c:v>
                  </c:pt>
                  <c:pt idx="1">
                    <c:v>322.38175484764901</c:v>
                  </c:pt>
                  <c:pt idx="2">
                    <c:v>477.18251473368139</c:v>
                  </c:pt>
                  <c:pt idx="3">
                    <c:v>247.79366362311157</c:v>
                  </c:pt>
                  <c:pt idx="4">
                    <c:v>814.36345054749745</c:v>
                  </c:pt>
                  <c:pt idx="5">
                    <c:v>1372.0342467179948</c:v>
                  </c:pt>
                  <c:pt idx="6">
                    <c:v>1662.8142167609467</c:v>
                  </c:pt>
                  <c:pt idx="7">
                    <c:v>1067.1234552718774</c:v>
                  </c:pt>
                  <c:pt idx="8">
                    <c:v>853.49364799812827</c:v>
                  </c:pt>
                  <c:pt idx="9">
                    <c:v>890.8543534156338</c:v>
                  </c:pt>
                  <c:pt idx="10">
                    <c:v>754.04777837066604</c:v>
                  </c:pt>
                  <c:pt idx="11">
                    <c:v>577.52637305897588</c:v>
                  </c:pt>
                  <c:pt idx="12">
                    <c:v>515.15457675314406</c:v>
                  </c:pt>
                  <c:pt idx="13">
                    <c:v>512.29829046503517</c:v>
                  </c:pt>
                  <c:pt idx="14">
                    <c:v>600.77451816019334</c:v>
                  </c:pt>
                  <c:pt idx="15">
                    <c:v>909.12627778168076</c:v>
                  </c:pt>
                  <c:pt idx="16">
                    <c:v>766.02271689943655</c:v>
                  </c:pt>
                  <c:pt idx="17">
                    <c:v>1083.0078736735811</c:v>
                  </c:pt>
                  <c:pt idx="18">
                    <c:v>1260.2693097446252</c:v>
                  </c:pt>
                  <c:pt idx="19">
                    <c:v>1235.9547188470074</c:v>
                  </c:pt>
                  <c:pt idx="20">
                    <c:v>2247.197529261382</c:v>
                  </c:pt>
                  <c:pt idx="21">
                    <c:v>4202.540773104125</c:v>
                  </c:pt>
                  <c:pt idx="22">
                    <c:v>4070.6399797293207</c:v>
                  </c:pt>
                  <c:pt idx="23">
                    <c:v>2979.5336490622881</c:v>
                  </c:pt>
                </c:numCache>
              </c:numRef>
            </c:plus>
            <c:minus>
              <c:numRef>
                <c:f>'BRF harvest'!$Y$78:$Y$101</c:f>
                <c:numCache>
                  <c:formatCode>General</c:formatCode>
                  <c:ptCount val="24"/>
                  <c:pt idx="0">
                    <c:v>318.64704829117585</c:v>
                  </c:pt>
                  <c:pt idx="1">
                    <c:v>322.38175484764901</c:v>
                  </c:pt>
                  <c:pt idx="2">
                    <c:v>477.18251473368139</c:v>
                  </c:pt>
                  <c:pt idx="3">
                    <c:v>247.79366362311157</c:v>
                  </c:pt>
                  <c:pt idx="4">
                    <c:v>814.36345054749745</c:v>
                  </c:pt>
                  <c:pt idx="5">
                    <c:v>1372.0342467179948</c:v>
                  </c:pt>
                  <c:pt idx="6">
                    <c:v>1662.8142167609467</c:v>
                  </c:pt>
                  <c:pt idx="7">
                    <c:v>1067.1234552718774</c:v>
                  </c:pt>
                  <c:pt idx="8">
                    <c:v>853.49364799812827</c:v>
                  </c:pt>
                  <c:pt idx="9">
                    <c:v>890.8543534156338</c:v>
                  </c:pt>
                  <c:pt idx="10">
                    <c:v>754.04777837066604</c:v>
                  </c:pt>
                  <c:pt idx="11">
                    <c:v>577.52637305897588</c:v>
                  </c:pt>
                  <c:pt idx="12">
                    <c:v>515.15457675314406</c:v>
                  </c:pt>
                  <c:pt idx="13">
                    <c:v>512.29829046503517</c:v>
                  </c:pt>
                  <c:pt idx="14">
                    <c:v>600.77451816019334</c:v>
                  </c:pt>
                  <c:pt idx="15">
                    <c:v>909.12627778168076</c:v>
                  </c:pt>
                  <c:pt idx="16">
                    <c:v>766.02271689943655</c:v>
                  </c:pt>
                  <c:pt idx="17">
                    <c:v>1083.0078736735811</c:v>
                  </c:pt>
                  <c:pt idx="18">
                    <c:v>1260.2693097446252</c:v>
                  </c:pt>
                  <c:pt idx="19">
                    <c:v>1235.9547188470074</c:v>
                  </c:pt>
                  <c:pt idx="20">
                    <c:v>2247.197529261382</c:v>
                  </c:pt>
                  <c:pt idx="21">
                    <c:v>4202.540773104125</c:v>
                  </c:pt>
                  <c:pt idx="22">
                    <c:v>4070.6399797293207</c:v>
                  </c:pt>
                  <c:pt idx="23">
                    <c:v>2979.5336490622881</c:v>
                  </c:pt>
                </c:numCache>
              </c:numRef>
            </c:minus>
            <c:spPr>
              <a:noFill/>
              <a:ln w="15875" cap="flat" cmpd="sng" algn="ctr">
                <a:solidFill>
                  <a:srgbClr val="FFC000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harvest'!$V$78:$V$101</c:f>
              <c:numCache>
                <c:formatCode>_(* #,##0_);_(* \(#,##0\);_(* "-"??_);_(@_)</c:formatCode>
                <c:ptCount val="24"/>
                <c:pt idx="0">
                  <c:v>578.53455141688505</c:v>
                </c:pt>
                <c:pt idx="1">
                  <c:v>751.39027159133684</c:v>
                </c:pt>
                <c:pt idx="2">
                  <c:v>901.41361690864096</c:v>
                </c:pt>
                <c:pt idx="3">
                  <c:v>575.45358630962255</c:v>
                </c:pt>
                <c:pt idx="4">
                  <c:v>1542.1107425049988</c:v>
                </c:pt>
                <c:pt idx="5">
                  <c:v>3814.0819528108018</c:v>
                </c:pt>
                <c:pt idx="6">
                  <c:v>3185.9049884220885</c:v>
                </c:pt>
                <c:pt idx="7">
                  <c:v>2621.0288637325798</c:v>
                </c:pt>
                <c:pt idx="8">
                  <c:v>1625.5843539926127</c:v>
                </c:pt>
                <c:pt idx="9">
                  <c:v>1700.3805316267767</c:v>
                </c:pt>
                <c:pt idx="10">
                  <c:v>1440.1733811779754</c:v>
                </c:pt>
                <c:pt idx="11">
                  <c:v>1792.3410035812167</c:v>
                </c:pt>
                <c:pt idx="12">
                  <c:v>1634.3614113184426</c:v>
                </c:pt>
                <c:pt idx="13">
                  <c:v>1656.0989067905161</c:v>
                </c:pt>
                <c:pt idx="14">
                  <c:v>1745.7990518365464</c:v>
                </c:pt>
                <c:pt idx="15">
                  <c:v>3000.9497101971401</c:v>
                </c:pt>
                <c:pt idx="16">
                  <c:v>3207.5013932866418</c:v>
                </c:pt>
                <c:pt idx="17">
                  <c:v>4097.416587712285</c:v>
                </c:pt>
                <c:pt idx="18">
                  <c:v>5660.4828550359216</c:v>
                </c:pt>
                <c:pt idx="19">
                  <c:v>6473.9448151017532</c:v>
                </c:pt>
                <c:pt idx="20">
                  <c:v>10351.34650619547</c:v>
                </c:pt>
                <c:pt idx="21">
                  <c:v>20951.001437090013</c:v>
                </c:pt>
                <c:pt idx="22">
                  <c:v>15439.775004553248</c:v>
                </c:pt>
                <c:pt idx="23">
                  <c:v>16783.41620100525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09-4ECE-A7DB-D0D0A02B9F7D}"/>
            </c:ext>
          </c:extLst>
        </c:ser>
        <c:ser>
          <c:idx val="1"/>
          <c:order val="1"/>
          <c:tx>
            <c:v>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harvest'!$Y$128:$Y$151</c:f>
                <c:numCache>
                  <c:formatCode>General</c:formatCode>
                  <c:ptCount val="24"/>
                  <c:pt idx="0">
                    <c:v>982.89321045155782</c:v>
                  </c:pt>
                  <c:pt idx="1">
                    <c:v>1337.9001635376903</c:v>
                  </c:pt>
                  <c:pt idx="2">
                    <c:v>2430.3955809636072</c:v>
                  </c:pt>
                  <c:pt idx="3">
                    <c:v>3755.1070118721541</c:v>
                  </c:pt>
                  <c:pt idx="4">
                    <c:v>3163.9760548549521</c:v>
                  </c:pt>
                  <c:pt idx="5">
                    <c:v>3231.0536194747951</c:v>
                  </c:pt>
                  <c:pt idx="6">
                    <c:v>3322.6276904797105</c:v>
                  </c:pt>
                  <c:pt idx="7">
                    <c:v>3614.7756930973187</c:v>
                  </c:pt>
                  <c:pt idx="8">
                    <c:v>2881.6641047821035</c:v>
                  </c:pt>
                  <c:pt idx="9">
                    <c:v>3955.9850233362954</c:v>
                  </c:pt>
                  <c:pt idx="10">
                    <c:v>4247.8423103181212</c:v>
                  </c:pt>
                  <c:pt idx="11">
                    <c:v>3516.9111100351943</c:v>
                  </c:pt>
                  <c:pt idx="12">
                    <c:v>4338.0492547042313</c:v>
                  </c:pt>
                  <c:pt idx="13">
                    <c:v>3070.5184885792387</c:v>
                  </c:pt>
                  <c:pt idx="14">
                    <c:v>2081.681891348881</c:v>
                  </c:pt>
                  <c:pt idx="15">
                    <c:v>3179.8788780573827</c:v>
                  </c:pt>
                  <c:pt idx="16">
                    <c:v>3648.4899331093311</c:v>
                  </c:pt>
                  <c:pt idx="17">
                    <c:v>4187.1918919044201</c:v>
                  </c:pt>
                  <c:pt idx="18">
                    <c:v>3329.7247546485246</c:v>
                  </c:pt>
                  <c:pt idx="19">
                    <c:v>2967.1173097226356</c:v>
                  </c:pt>
                  <c:pt idx="20">
                    <c:v>3033.7394481106662</c:v>
                  </c:pt>
                  <c:pt idx="21">
                    <c:v>4408.2799965789254</c:v>
                  </c:pt>
                  <c:pt idx="22">
                    <c:v>2559.0293155652066</c:v>
                  </c:pt>
                  <c:pt idx="23">
                    <c:v>4905.3598535279698</c:v>
                  </c:pt>
                </c:numCache>
              </c:numRef>
            </c:plus>
            <c:minus>
              <c:numRef>
                <c:f>'BRF harvest'!$Y$128:$Y$151</c:f>
                <c:numCache>
                  <c:formatCode>General</c:formatCode>
                  <c:ptCount val="24"/>
                  <c:pt idx="0">
                    <c:v>982.89321045155782</c:v>
                  </c:pt>
                  <c:pt idx="1">
                    <c:v>1337.9001635376903</c:v>
                  </c:pt>
                  <c:pt idx="2">
                    <c:v>2430.3955809636072</c:v>
                  </c:pt>
                  <c:pt idx="3">
                    <c:v>3755.1070118721541</c:v>
                  </c:pt>
                  <c:pt idx="4">
                    <c:v>3163.9760548549521</c:v>
                  </c:pt>
                  <c:pt idx="5">
                    <c:v>3231.0536194747951</c:v>
                  </c:pt>
                  <c:pt idx="6">
                    <c:v>3322.6276904797105</c:v>
                  </c:pt>
                  <c:pt idx="7">
                    <c:v>3614.7756930973187</c:v>
                  </c:pt>
                  <c:pt idx="8">
                    <c:v>2881.6641047821035</c:v>
                  </c:pt>
                  <c:pt idx="9">
                    <c:v>3955.9850233362954</c:v>
                  </c:pt>
                  <c:pt idx="10">
                    <c:v>4247.8423103181212</c:v>
                  </c:pt>
                  <c:pt idx="11">
                    <c:v>3516.9111100351943</c:v>
                  </c:pt>
                  <c:pt idx="12">
                    <c:v>4338.0492547042313</c:v>
                  </c:pt>
                  <c:pt idx="13">
                    <c:v>3070.5184885792387</c:v>
                  </c:pt>
                  <c:pt idx="14">
                    <c:v>2081.681891348881</c:v>
                  </c:pt>
                  <c:pt idx="15">
                    <c:v>3179.8788780573827</c:v>
                  </c:pt>
                  <c:pt idx="16">
                    <c:v>3648.4899331093311</c:v>
                  </c:pt>
                  <c:pt idx="17">
                    <c:v>4187.1918919044201</c:v>
                  </c:pt>
                  <c:pt idx="18">
                    <c:v>3329.7247546485246</c:v>
                  </c:pt>
                  <c:pt idx="19">
                    <c:v>2967.1173097226356</c:v>
                  </c:pt>
                  <c:pt idx="20">
                    <c:v>3033.7394481106662</c:v>
                  </c:pt>
                  <c:pt idx="21">
                    <c:v>4408.2799965789254</c:v>
                  </c:pt>
                  <c:pt idx="22">
                    <c:v>2559.0293155652066</c:v>
                  </c:pt>
                  <c:pt idx="23">
                    <c:v>4905.3598535279698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harvest'!$V$128:$V$151</c:f>
              <c:numCache>
                <c:formatCode>_(* #,##0_);_(* \(#,##0\);_(* "-"??_);_(@_)</c:formatCode>
                <c:ptCount val="24"/>
                <c:pt idx="0">
                  <c:v>5466.6655263115563</c:v>
                </c:pt>
                <c:pt idx="1">
                  <c:v>10242.860908993258</c:v>
                </c:pt>
                <c:pt idx="2">
                  <c:v>14224.29644185862</c:v>
                </c:pt>
                <c:pt idx="3">
                  <c:v>24400.137754369596</c:v>
                </c:pt>
                <c:pt idx="4">
                  <c:v>19832.929397123138</c:v>
                </c:pt>
                <c:pt idx="5">
                  <c:v>18852.364102736181</c:v>
                </c:pt>
                <c:pt idx="6">
                  <c:v>21306.208786153475</c:v>
                </c:pt>
                <c:pt idx="7">
                  <c:v>24400.436306365173</c:v>
                </c:pt>
                <c:pt idx="8">
                  <c:v>20495.339205870332</c:v>
                </c:pt>
                <c:pt idx="9">
                  <c:v>27234.791138684028</c:v>
                </c:pt>
                <c:pt idx="10">
                  <c:v>28695.453459364187</c:v>
                </c:pt>
                <c:pt idx="11">
                  <c:v>22601.944564891164</c:v>
                </c:pt>
                <c:pt idx="12">
                  <c:v>26879.228808182947</c:v>
                </c:pt>
                <c:pt idx="13">
                  <c:v>30410.518880792781</c:v>
                </c:pt>
                <c:pt idx="14">
                  <c:v>27781.014813581882</c:v>
                </c:pt>
                <c:pt idx="15">
                  <c:v>34083.147174723796</c:v>
                </c:pt>
                <c:pt idx="16">
                  <c:v>41651.075389744306</c:v>
                </c:pt>
                <c:pt idx="17">
                  <c:v>50441.674194269071</c:v>
                </c:pt>
                <c:pt idx="18">
                  <c:v>55044.008117348872</c:v>
                </c:pt>
                <c:pt idx="19">
                  <c:v>36998.861344014433</c:v>
                </c:pt>
                <c:pt idx="20">
                  <c:v>45070.801381422149</c:v>
                </c:pt>
                <c:pt idx="21">
                  <c:v>58554.617143937008</c:v>
                </c:pt>
                <c:pt idx="22">
                  <c:v>38757.512733722113</c:v>
                </c:pt>
                <c:pt idx="23">
                  <c:v>81589.802407130323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9-4ECE-A7DB-D0D0A02B9F7D}"/>
            </c:ext>
          </c:extLst>
        </c:ser>
        <c:ser>
          <c:idx val="0"/>
          <c:order val="2"/>
          <c:tx>
            <c:v>PWSI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harvest'!$Y$178:$Y$201</c:f>
                <c:numCache>
                  <c:formatCode>General</c:formatCode>
                  <c:ptCount val="24"/>
                  <c:pt idx="0">
                    <c:v>4560.6852570059809</c:v>
                  </c:pt>
                  <c:pt idx="1">
                    <c:v>3238.4475786786215</c:v>
                  </c:pt>
                  <c:pt idx="2">
                    <c:v>5957.6583429152533</c:v>
                  </c:pt>
                  <c:pt idx="3">
                    <c:v>951.86900306548114</c:v>
                  </c:pt>
                  <c:pt idx="4">
                    <c:v>3230.0364097608117</c:v>
                  </c:pt>
                  <c:pt idx="5">
                    <c:v>10583.229642930897</c:v>
                  </c:pt>
                  <c:pt idx="6">
                    <c:v>7430.6638548374603</c:v>
                  </c:pt>
                  <c:pt idx="7">
                    <c:v>390.37364196998493</c:v>
                  </c:pt>
                  <c:pt idx="8">
                    <c:v>5838.7093092970308</c:v>
                  </c:pt>
                  <c:pt idx="9">
                    <c:v>12038.160653972793</c:v>
                  </c:pt>
                  <c:pt idx="10">
                    <c:v>8321.3770777662012</c:v>
                  </c:pt>
                  <c:pt idx="11">
                    <c:v>4329.7634036849067</c:v>
                  </c:pt>
                  <c:pt idx="12">
                    <c:v>10440.397396147526</c:v>
                  </c:pt>
                  <c:pt idx="13">
                    <c:v>11875.969630563673</c:v>
                  </c:pt>
                  <c:pt idx="14">
                    <c:v>3727.5478624366174</c:v>
                  </c:pt>
                  <c:pt idx="15">
                    <c:v>4122.4477276153757</c:v>
                  </c:pt>
                  <c:pt idx="16">
                    <c:v>2387.0850063547928</c:v>
                  </c:pt>
                  <c:pt idx="17">
                    <c:v>1981.6061658346991</c:v>
                  </c:pt>
                  <c:pt idx="18">
                    <c:v>8971.9734166613125</c:v>
                  </c:pt>
                  <c:pt idx="19">
                    <c:v>6597.1429476491739</c:v>
                  </c:pt>
                  <c:pt idx="20">
                    <c:v>3119.6538087183458</c:v>
                  </c:pt>
                  <c:pt idx="21">
                    <c:v>3540.8020439894676</c:v>
                  </c:pt>
                  <c:pt idx="22">
                    <c:v>2470.4074599085802</c:v>
                  </c:pt>
                  <c:pt idx="23">
                    <c:v>4679.368349411443</c:v>
                  </c:pt>
                </c:numCache>
              </c:numRef>
            </c:plus>
            <c:minus>
              <c:numRef>
                <c:f>'BRF harvest'!$Y$178:$Y$201</c:f>
                <c:numCache>
                  <c:formatCode>General</c:formatCode>
                  <c:ptCount val="24"/>
                  <c:pt idx="0">
                    <c:v>4560.6852570059809</c:v>
                  </c:pt>
                  <c:pt idx="1">
                    <c:v>3238.4475786786215</c:v>
                  </c:pt>
                  <c:pt idx="2">
                    <c:v>5957.6583429152533</c:v>
                  </c:pt>
                  <c:pt idx="3">
                    <c:v>951.86900306548114</c:v>
                  </c:pt>
                  <c:pt idx="4">
                    <c:v>3230.0364097608117</c:v>
                  </c:pt>
                  <c:pt idx="5">
                    <c:v>10583.229642930897</c:v>
                  </c:pt>
                  <c:pt idx="6">
                    <c:v>7430.6638548374603</c:v>
                  </c:pt>
                  <c:pt idx="7">
                    <c:v>390.37364196998493</c:v>
                  </c:pt>
                  <c:pt idx="8">
                    <c:v>5838.7093092970308</c:v>
                  </c:pt>
                  <c:pt idx="9">
                    <c:v>12038.160653972793</c:v>
                  </c:pt>
                  <c:pt idx="10">
                    <c:v>8321.3770777662012</c:v>
                  </c:pt>
                  <c:pt idx="11">
                    <c:v>4329.7634036849067</c:v>
                  </c:pt>
                  <c:pt idx="12">
                    <c:v>10440.397396147526</c:v>
                  </c:pt>
                  <c:pt idx="13">
                    <c:v>11875.969630563673</c:v>
                  </c:pt>
                  <c:pt idx="14">
                    <c:v>3727.5478624366174</c:v>
                  </c:pt>
                  <c:pt idx="15">
                    <c:v>4122.4477276153757</c:v>
                  </c:pt>
                  <c:pt idx="16">
                    <c:v>2387.0850063547928</c:v>
                  </c:pt>
                  <c:pt idx="17">
                    <c:v>1981.6061658346991</c:v>
                  </c:pt>
                  <c:pt idx="18">
                    <c:v>8971.9734166613125</c:v>
                  </c:pt>
                  <c:pt idx="19">
                    <c:v>6597.1429476491739</c:v>
                  </c:pt>
                  <c:pt idx="20">
                    <c:v>3119.6538087183458</c:v>
                  </c:pt>
                  <c:pt idx="21">
                    <c:v>3540.8020439894676</c:v>
                  </c:pt>
                  <c:pt idx="22">
                    <c:v>2470.4074599085802</c:v>
                  </c:pt>
                  <c:pt idx="23">
                    <c:v>4679.368349411443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harvest'!$V$178:$V$201</c:f>
              <c:numCache>
                <c:formatCode>_(* #,##0_);_(* \(#,##0\);_(* "-"??_);_(@_)</c:formatCode>
                <c:ptCount val="24"/>
                <c:pt idx="0">
                  <c:v>5782.7947797130391</c:v>
                </c:pt>
                <c:pt idx="1">
                  <c:v>7706.5327486835577</c:v>
                </c:pt>
                <c:pt idx="2">
                  <c:v>12191.407787586344</c:v>
                </c:pt>
                <c:pt idx="3">
                  <c:v>4739.1301098851554</c:v>
                </c:pt>
                <c:pt idx="4">
                  <c:v>9001.1135507301042</c:v>
                </c:pt>
                <c:pt idx="5">
                  <c:v>25435.09213030486</c:v>
                </c:pt>
                <c:pt idx="6">
                  <c:v>18585.405126219623</c:v>
                </c:pt>
                <c:pt idx="7">
                  <c:v>8129.0396975295071</c:v>
                </c:pt>
                <c:pt idx="8">
                  <c:v>13912.932844945317</c:v>
                </c:pt>
                <c:pt idx="9">
                  <c:v>28589.142924192056</c:v>
                </c:pt>
                <c:pt idx="10">
                  <c:v>19587.431284498049</c:v>
                </c:pt>
                <c:pt idx="11">
                  <c:v>12253.156390852704</c:v>
                </c:pt>
                <c:pt idx="12">
                  <c:v>24433.26566697465</c:v>
                </c:pt>
                <c:pt idx="13">
                  <c:v>41153.662942912924</c:v>
                </c:pt>
                <c:pt idx="14">
                  <c:v>17987.532233085069</c:v>
                </c:pt>
                <c:pt idx="15">
                  <c:v>21249.481628977708</c:v>
                </c:pt>
                <c:pt idx="16">
                  <c:v>14155.101665283793</c:v>
                </c:pt>
                <c:pt idx="17">
                  <c:v>17208.175891250874</c:v>
                </c:pt>
                <c:pt idx="18">
                  <c:v>35768.927236487783</c:v>
                </c:pt>
                <c:pt idx="19">
                  <c:v>26515.434331874218</c:v>
                </c:pt>
                <c:pt idx="20">
                  <c:v>15299.694485694679</c:v>
                </c:pt>
                <c:pt idx="21">
                  <c:v>18830.028999863069</c:v>
                </c:pt>
                <c:pt idx="22">
                  <c:v>11747.352584602875</c:v>
                </c:pt>
                <c:pt idx="23">
                  <c:v>23129.416589528293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09-4ECE-A7DB-D0D0A02B9F7D}"/>
            </c:ext>
          </c:extLst>
        </c:ser>
        <c:ser>
          <c:idx val="2"/>
          <c:order val="3"/>
          <c:tx>
            <c:v>PWSO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harvest'!$Y$203:$Y$226</c:f>
                <c:numCache>
                  <c:formatCode>General</c:formatCode>
                  <c:ptCount val="24"/>
                  <c:pt idx="0">
                    <c:v>1061.087380030506</c:v>
                  </c:pt>
                  <c:pt idx="1">
                    <c:v>669.85193573814854</c:v>
                  </c:pt>
                  <c:pt idx="2">
                    <c:v>1361.6188562898542</c:v>
                  </c:pt>
                  <c:pt idx="3">
                    <c:v>1495.1353684893656</c:v>
                  </c:pt>
                  <c:pt idx="4">
                    <c:v>1332.4312752887392</c:v>
                  </c:pt>
                  <c:pt idx="5">
                    <c:v>1693.5172263436732</c:v>
                  </c:pt>
                  <c:pt idx="6">
                    <c:v>1722.8284812313766</c:v>
                  </c:pt>
                  <c:pt idx="7">
                    <c:v>1652.3174862879978</c:v>
                  </c:pt>
                  <c:pt idx="8">
                    <c:v>1332.6887862586184</c:v>
                  </c:pt>
                  <c:pt idx="9">
                    <c:v>1775.6154576769402</c:v>
                  </c:pt>
                  <c:pt idx="10">
                    <c:v>1962.4720054731665</c:v>
                  </c:pt>
                  <c:pt idx="11">
                    <c:v>1793.8954360041407</c:v>
                  </c:pt>
                  <c:pt idx="12">
                    <c:v>1835.2101307892108</c:v>
                  </c:pt>
                  <c:pt idx="13">
                    <c:v>1895.704845277289</c:v>
                  </c:pt>
                  <c:pt idx="14">
                    <c:v>939.39546869081641</c:v>
                  </c:pt>
                  <c:pt idx="15">
                    <c:v>2525.0453126973885</c:v>
                  </c:pt>
                  <c:pt idx="16">
                    <c:v>2928.865632683599</c:v>
                  </c:pt>
                  <c:pt idx="17">
                    <c:v>1166.3749848641207</c:v>
                  </c:pt>
                  <c:pt idx="18">
                    <c:v>1024.1350439124985</c:v>
                  </c:pt>
                  <c:pt idx="19">
                    <c:v>3386.7391990969768</c:v>
                  </c:pt>
                  <c:pt idx="20">
                    <c:v>1990.2980002573511</c:v>
                  </c:pt>
                  <c:pt idx="21">
                    <c:v>2707.3789557440132</c:v>
                  </c:pt>
                  <c:pt idx="22">
                    <c:v>1970.5055456330786</c:v>
                  </c:pt>
                  <c:pt idx="23">
                    <c:v>3038.4343412010385</c:v>
                  </c:pt>
                </c:numCache>
              </c:numRef>
            </c:plus>
            <c:minus>
              <c:numRef>
                <c:f>'BRF harvest'!$Y$203:$Y$226</c:f>
                <c:numCache>
                  <c:formatCode>General</c:formatCode>
                  <c:ptCount val="24"/>
                  <c:pt idx="0">
                    <c:v>1061.087380030506</c:v>
                  </c:pt>
                  <c:pt idx="1">
                    <c:v>669.85193573814854</c:v>
                  </c:pt>
                  <c:pt idx="2">
                    <c:v>1361.6188562898542</c:v>
                  </c:pt>
                  <c:pt idx="3">
                    <c:v>1495.1353684893656</c:v>
                  </c:pt>
                  <c:pt idx="4">
                    <c:v>1332.4312752887392</c:v>
                  </c:pt>
                  <c:pt idx="5">
                    <c:v>1693.5172263436732</c:v>
                  </c:pt>
                  <c:pt idx="6">
                    <c:v>1722.8284812313766</c:v>
                  </c:pt>
                  <c:pt idx="7">
                    <c:v>1652.3174862879978</c:v>
                  </c:pt>
                  <c:pt idx="8">
                    <c:v>1332.6887862586184</c:v>
                  </c:pt>
                  <c:pt idx="9">
                    <c:v>1775.6154576769402</c:v>
                  </c:pt>
                  <c:pt idx="10">
                    <c:v>1962.4720054731665</c:v>
                  </c:pt>
                  <c:pt idx="11">
                    <c:v>1793.8954360041407</c:v>
                  </c:pt>
                  <c:pt idx="12">
                    <c:v>1835.2101307892108</c:v>
                  </c:pt>
                  <c:pt idx="13">
                    <c:v>1895.704845277289</c:v>
                  </c:pt>
                  <c:pt idx="14">
                    <c:v>939.39546869081641</c:v>
                  </c:pt>
                  <c:pt idx="15">
                    <c:v>2525.0453126973885</c:v>
                  </c:pt>
                  <c:pt idx="16">
                    <c:v>2928.865632683599</c:v>
                  </c:pt>
                  <c:pt idx="17">
                    <c:v>1166.3749848641207</c:v>
                  </c:pt>
                  <c:pt idx="18">
                    <c:v>1024.1350439124985</c:v>
                  </c:pt>
                  <c:pt idx="19">
                    <c:v>3386.7391990969768</c:v>
                  </c:pt>
                  <c:pt idx="20">
                    <c:v>1990.2980002573511</c:v>
                  </c:pt>
                  <c:pt idx="21">
                    <c:v>2707.3789557440132</c:v>
                  </c:pt>
                  <c:pt idx="22">
                    <c:v>1970.5055456330786</c:v>
                  </c:pt>
                  <c:pt idx="23">
                    <c:v>3038.4343412010385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harvest'!$V$203:$V$226</c:f>
              <c:numCache>
                <c:formatCode>_(* #,##0_);_(* \(#,##0\);_(* "-"??_);_(@_)</c:formatCode>
                <c:ptCount val="24"/>
                <c:pt idx="0">
                  <c:v>6210.8484296374581</c:v>
                </c:pt>
                <c:pt idx="1">
                  <c:v>3885.9375357170275</c:v>
                </c:pt>
                <c:pt idx="2">
                  <c:v>8257.8405477728738</c:v>
                </c:pt>
                <c:pt idx="3">
                  <c:v>8998.1267014057557</c:v>
                </c:pt>
                <c:pt idx="4">
                  <c:v>7467.0971839415743</c:v>
                </c:pt>
                <c:pt idx="5">
                  <c:v>8752.0048103287118</c:v>
                </c:pt>
                <c:pt idx="6">
                  <c:v>10314.910298495874</c:v>
                </c:pt>
                <c:pt idx="7">
                  <c:v>8700.3739169732762</c:v>
                </c:pt>
                <c:pt idx="8">
                  <c:v>7293.5996667101936</c:v>
                </c:pt>
                <c:pt idx="9">
                  <c:v>9945.281928068971</c:v>
                </c:pt>
                <c:pt idx="10">
                  <c:v>11067.568207848319</c:v>
                </c:pt>
                <c:pt idx="11">
                  <c:v>10351.784157265687</c:v>
                </c:pt>
                <c:pt idx="12">
                  <c:v>9550.0066139790742</c:v>
                </c:pt>
                <c:pt idx="13">
                  <c:v>13511.389229897632</c:v>
                </c:pt>
                <c:pt idx="14">
                  <c:v>10965.405775255005</c:v>
                </c:pt>
                <c:pt idx="15">
                  <c:v>14211.254064056518</c:v>
                </c:pt>
                <c:pt idx="16">
                  <c:v>17414.864695871405</c:v>
                </c:pt>
                <c:pt idx="17">
                  <c:v>14750.918130976226</c:v>
                </c:pt>
                <c:pt idx="18">
                  <c:v>20499.475462710096</c:v>
                </c:pt>
                <c:pt idx="19">
                  <c:v>23211.677413459453</c:v>
                </c:pt>
                <c:pt idx="20">
                  <c:v>22024.818525746632</c:v>
                </c:pt>
                <c:pt idx="21">
                  <c:v>24580.990618561074</c:v>
                </c:pt>
                <c:pt idx="22">
                  <c:v>25049.538032354885</c:v>
                </c:pt>
                <c:pt idx="23">
                  <c:v>32867.033801571837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09-4ECE-A7DB-D0D0A02B9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SEAK</a:t>
            </a:r>
          </a:p>
        </c:rich>
      </c:tx>
      <c:layout>
        <c:manualLayout>
          <c:xMode val="edge"/>
          <c:yMode val="edge"/>
          <c:x val="0.48803725881570192"/>
          <c:y val="1.618613288114121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CSEO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harvest'!$Y$228:$Y$251</c:f>
                <c:numCache>
                  <c:formatCode>General</c:formatCode>
                  <c:ptCount val="24"/>
                  <c:pt idx="0">
                    <c:v>562.25517634278253</c:v>
                  </c:pt>
                  <c:pt idx="1">
                    <c:v>569.42823507561889</c:v>
                  </c:pt>
                  <c:pt idx="2">
                    <c:v>986.4721339491482</c:v>
                  </c:pt>
                  <c:pt idx="3">
                    <c:v>873.10446196177429</c:v>
                  </c:pt>
                  <c:pt idx="4">
                    <c:v>823.63366719333089</c:v>
                  </c:pt>
                  <c:pt idx="5">
                    <c:v>909.72776090519926</c:v>
                  </c:pt>
                  <c:pt idx="6">
                    <c:v>1300.9100555111286</c:v>
                  </c:pt>
                  <c:pt idx="7">
                    <c:v>1637.4607362172969</c:v>
                  </c:pt>
                  <c:pt idx="8">
                    <c:v>1811.1326546172259</c:v>
                  </c:pt>
                  <c:pt idx="9">
                    <c:v>2186.4611190121818</c:v>
                  </c:pt>
                  <c:pt idx="10">
                    <c:v>3052.9726845624755</c:v>
                  </c:pt>
                  <c:pt idx="11">
                    <c:v>1860.9977593295546</c:v>
                  </c:pt>
                  <c:pt idx="12">
                    <c:v>2565.4765822601412</c:v>
                  </c:pt>
                  <c:pt idx="13">
                    <c:v>2844.7635446773911</c:v>
                  </c:pt>
                  <c:pt idx="14">
                    <c:v>1203.3775116945239</c:v>
                  </c:pt>
                  <c:pt idx="15">
                    <c:v>2335.6921260379195</c:v>
                  </c:pt>
                  <c:pt idx="16">
                    <c:v>3582.4216848686033</c:v>
                  </c:pt>
                  <c:pt idx="17">
                    <c:v>2040.6953589858799</c:v>
                  </c:pt>
                  <c:pt idx="18">
                    <c:v>1595.6486952121429</c:v>
                  </c:pt>
                  <c:pt idx="19">
                    <c:v>3643.487085597279</c:v>
                  </c:pt>
                  <c:pt idx="20">
                    <c:v>1382.1097657849277</c:v>
                  </c:pt>
                  <c:pt idx="21">
                    <c:v>2306.0584023564734</c:v>
                  </c:pt>
                  <c:pt idx="22">
                    <c:v>3085.9043722568099</c:v>
                  </c:pt>
                  <c:pt idx="23">
                    <c:v>2147.8092516488564</c:v>
                  </c:pt>
                </c:numCache>
              </c:numRef>
            </c:plus>
            <c:minus>
              <c:numRef>
                <c:f>'BRF harvest'!$Y$228:$Y$251</c:f>
                <c:numCache>
                  <c:formatCode>General</c:formatCode>
                  <c:ptCount val="24"/>
                  <c:pt idx="0">
                    <c:v>562.25517634278253</c:v>
                  </c:pt>
                  <c:pt idx="1">
                    <c:v>569.42823507561889</c:v>
                  </c:pt>
                  <c:pt idx="2">
                    <c:v>986.4721339491482</c:v>
                  </c:pt>
                  <c:pt idx="3">
                    <c:v>873.10446196177429</c:v>
                  </c:pt>
                  <c:pt idx="4">
                    <c:v>823.63366719333089</c:v>
                  </c:pt>
                  <c:pt idx="5">
                    <c:v>909.72776090519926</c:v>
                  </c:pt>
                  <c:pt idx="6">
                    <c:v>1300.9100555111286</c:v>
                  </c:pt>
                  <c:pt idx="7">
                    <c:v>1637.4607362172969</c:v>
                  </c:pt>
                  <c:pt idx="8">
                    <c:v>1811.1326546172259</c:v>
                  </c:pt>
                  <c:pt idx="9">
                    <c:v>2186.4611190121818</c:v>
                  </c:pt>
                  <c:pt idx="10">
                    <c:v>3052.9726845624755</c:v>
                  </c:pt>
                  <c:pt idx="11">
                    <c:v>1860.9977593295546</c:v>
                  </c:pt>
                  <c:pt idx="12">
                    <c:v>2565.4765822601412</c:v>
                  </c:pt>
                  <c:pt idx="13">
                    <c:v>2844.7635446773911</c:v>
                  </c:pt>
                  <c:pt idx="14">
                    <c:v>1203.3775116945239</c:v>
                  </c:pt>
                  <c:pt idx="15">
                    <c:v>2335.6921260379195</c:v>
                  </c:pt>
                  <c:pt idx="16">
                    <c:v>3582.4216848686033</c:v>
                  </c:pt>
                  <c:pt idx="17">
                    <c:v>2040.6953589858799</c:v>
                  </c:pt>
                  <c:pt idx="18">
                    <c:v>1595.6486952121429</c:v>
                  </c:pt>
                  <c:pt idx="19">
                    <c:v>3643.487085597279</c:v>
                  </c:pt>
                  <c:pt idx="20">
                    <c:v>1382.1097657849277</c:v>
                  </c:pt>
                  <c:pt idx="21">
                    <c:v>2306.0584023564734</c:v>
                  </c:pt>
                  <c:pt idx="22">
                    <c:v>3085.9043722568099</c:v>
                  </c:pt>
                  <c:pt idx="23">
                    <c:v>2147.8092516488564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harvest'!$V$228:$V$251</c:f>
              <c:numCache>
                <c:formatCode>_(* #,##0_);_(* \(#,##0\);_(* "-"??_);_(@_)</c:formatCode>
                <c:ptCount val="24"/>
                <c:pt idx="0">
                  <c:v>5109.2861107933395</c:v>
                </c:pt>
                <c:pt idx="1">
                  <c:v>4526.4484377305489</c:v>
                </c:pt>
                <c:pt idx="2">
                  <c:v>7017.4540045510321</c:v>
                </c:pt>
                <c:pt idx="3">
                  <c:v>5186.799467588633</c:v>
                </c:pt>
                <c:pt idx="4">
                  <c:v>6222.3760168044737</c:v>
                </c:pt>
                <c:pt idx="5">
                  <c:v>7783.1235787198812</c:v>
                </c:pt>
                <c:pt idx="6">
                  <c:v>11311.709402952769</c:v>
                </c:pt>
                <c:pt idx="7">
                  <c:v>14771.632028089245</c:v>
                </c:pt>
                <c:pt idx="8">
                  <c:v>22682.73202205935</c:v>
                </c:pt>
                <c:pt idx="9">
                  <c:v>27069.196654343843</c:v>
                </c:pt>
                <c:pt idx="10">
                  <c:v>41752.648530161903</c:v>
                </c:pt>
                <c:pt idx="11">
                  <c:v>24307.666775303973</c:v>
                </c:pt>
                <c:pt idx="12">
                  <c:v>33554.270625346166</c:v>
                </c:pt>
                <c:pt idx="13">
                  <c:v>50769.780446855933</c:v>
                </c:pt>
                <c:pt idx="14">
                  <c:v>45759.208903555111</c:v>
                </c:pt>
                <c:pt idx="15">
                  <c:v>53329.116116007412</c:v>
                </c:pt>
                <c:pt idx="16">
                  <c:v>65132.033713635894</c:v>
                </c:pt>
                <c:pt idx="17">
                  <c:v>66092.534663024664</c:v>
                </c:pt>
                <c:pt idx="18">
                  <c:v>44433.393824987477</c:v>
                </c:pt>
                <c:pt idx="19">
                  <c:v>50392.762800125296</c:v>
                </c:pt>
                <c:pt idx="20">
                  <c:v>45639.668896178824</c:v>
                </c:pt>
                <c:pt idx="21">
                  <c:v>53287.147799392013</c:v>
                </c:pt>
                <c:pt idx="22">
                  <c:v>27429.026898153828</c:v>
                </c:pt>
                <c:pt idx="23">
                  <c:v>57830.014973251484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4-43EA-AA0C-29C20D0B18A5}"/>
            </c:ext>
          </c:extLst>
        </c:ser>
        <c:ser>
          <c:idx val="1"/>
          <c:order val="1"/>
          <c:tx>
            <c:v>NSEI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harvest'!$Y$278:$Y$301</c:f>
                <c:numCache>
                  <c:formatCode>General</c:formatCode>
                  <c:ptCount val="24"/>
                  <c:pt idx="0">
                    <c:v>1429.7930132952026</c:v>
                  </c:pt>
                  <c:pt idx="1">
                    <c:v>2085.0118117853963</c:v>
                  </c:pt>
                  <c:pt idx="2">
                    <c:v>3042.4363318472351</c:v>
                  </c:pt>
                  <c:pt idx="3">
                    <c:v>2150.9014196728858</c:v>
                  </c:pt>
                  <c:pt idx="4">
                    <c:v>1678.1787902033689</c:v>
                  </c:pt>
                  <c:pt idx="5">
                    <c:v>1929.2856821830321</c:v>
                  </c:pt>
                  <c:pt idx="6">
                    <c:v>1825.5792559870069</c:v>
                  </c:pt>
                  <c:pt idx="7">
                    <c:v>2428.0625374063102</c:v>
                  </c:pt>
                  <c:pt idx="8">
                    <c:v>734.16327526724933</c:v>
                  </c:pt>
                  <c:pt idx="9">
                    <c:v>480.15640695073279</c:v>
                  </c:pt>
                  <c:pt idx="10">
                    <c:v>577.80473588588472</c:v>
                  </c:pt>
                  <c:pt idx="11">
                    <c:v>556.43098992566115</c:v>
                  </c:pt>
                  <c:pt idx="12">
                    <c:v>875.1571711731093</c:v>
                  </c:pt>
                  <c:pt idx="13">
                    <c:v>790.03082162358612</c:v>
                  </c:pt>
                  <c:pt idx="14">
                    <c:v>2365.0850174715256</c:v>
                  </c:pt>
                  <c:pt idx="15">
                    <c:v>1278.4808301550379</c:v>
                  </c:pt>
                  <c:pt idx="16">
                    <c:v>1888.7348012280318</c:v>
                  </c:pt>
                  <c:pt idx="17">
                    <c:v>1126.3386801328077</c:v>
                  </c:pt>
                  <c:pt idx="18">
                    <c:v>1017.4943372495889</c:v>
                  </c:pt>
                  <c:pt idx="19">
                    <c:v>2164.8363372384893</c:v>
                  </c:pt>
                  <c:pt idx="20">
                    <c:v>1208.0779604891547</c:v>
                  </c:pt>
                  <c:pt idx="21">
                    <c:v>2204.7080797897916</c:v>
                  </c:pt>
                  <c:pt idx="22">
                    <c:v>689.85308372625263</c:v>
                  </c:pt>
                  <c:pt idx="23">
                    <c:v>711.50222431241116</c:v>
                  </c:pt>
                </c:numCache>
              </c:numRef>
            </c:plus>
            <c:minus>
              <c:numRef>
                <c:f>'BRF harvest'!$Y$278:$Y$301</c:f>
                <c:numCache>
                  <c:formatCode>General</c:formatCode>
                  <c:ptCount val="24"/>
                  <c:pt idx="0">
                    <c:v>1429.7930132952026</c:v>
                  </c:pt>
                  <c:pt idx="1">
                    <c:v>2085.0118117853963</c:v>
                  </c:pt>
                  <c:pt idx="2">
                    <c:v>3042.4363318472351</c:v>
                  </c:pt>
                  <c:pt idx="3">
                    <c:v>2150.9014196728858</c:v>
                  </c:pt>
                  <c:pt idx="4">
                    <c:v>1678.1787902033689</c:v>
                  </c:pt>
                  <c:pt idx="5">
                    <c:v>1929.2856821830321</c:v>
                  </c:pt>
                  <c:pt idx="6">
                    <c:v>1825.5792559870069</c:v>
                  </c:pt>
                  <c:pt idx="7">
                    <c:v>2428.0625374063102</c:v>
                  </c:pt>
                  <c:pt idx="8">
                    <c:v>734.16327526724933</c:v>
                  </c:pt>
                  <c:pt idx="9">
                    <c:v>480.15640695073279</c:v>
                  </c:pt>
                  <c:pt idx="10">
                    <c:v>577.80473588588472</c:v>
                  </c:pt>
                  <c:pt idx="11">
                    <c:v>556.43098992566115</c:v>
                  </c:pt>
                  <c:pt idx="12">
                    <c:v>875.1571711731093</c:v>
                  </c:pt>
                  <c:pt idx="13">
                    <c:v>790.03082162358612</c:v>
                  </c:pt>
                  <c:pt idx="14">
                    <c:v>2365.0850174715256</c:v>
                  </c:pt>
                  <c:pt idx="15">
                    <c:v>1278.4808301550379</c:v>
                  </c:pt>
                  <c:pt idx="16">
                    <c:v>1888.7348012280318</c:v>
                  </c:pt>
                  <c:pt idx="17">
                    <c:v>1126.3386801328077</c:v>
                  </c:pt>
                  <c:pt idx="18">
                    <c:v>1017.4943372495889</c:v>
                  </c:pt>
                  <c:pt idx="19">
                    <c:v>2164.8363372384893</c:v>
                  </c:pt>
                  <c:pt idx="20">
                    <c:v>1208.0779604891547</c:v>
                  </c:pt>
                  <c:pt idx="21">
                    <c:v>2204.7080797897916</c:v>
                  </c:pt>
                  <c:pt idx="22">
                    <c:v>689.85308372625263</c:v>
                  </c:pt>
                  <c:pt idx="23">
                    <c:v>711.50222431241116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harvest'!$V$278:$V$301</c:f>
              <c:numCache>
                <c:formatCode>_(* #,##0_);_(* \(#,##0\);_(* "-"??_);_(@_)</c:formatCode>
                <c:ptCount val="24"/>
                <c:pt idx="0">
                  <c:v>2545.6840087219839</c:v>
                </c:pt>
                <c:pt idx="1">
                  <c:v>3630.5040680794018</c:v>
                </c:pt>
                <c:pt idx="2">
                  <c:v>5328.7965482081872</c:v>
                </c:pt>
                <c:pt idx="3">
                  <c:v>3789.5842596457151</c:v>
                </c:pt>
                <c:pt idx="4">
                  <c:v>2910.5205549053699</c:v>
                </c:pt>
                <c:pt idx="5">
                  <c:v>3371.7442514051063</c:v>
                </c:pt>
                <c:pt idx="6">
                  <c:v>3210.5587743028509</c:v>
                </c:pt>
                <c:pt idx="7">
                  <c:v>4246.1151225412013</c:v>
                </c:pt>
                <c:pt idx="8">
                  <c:v>4438.9726879623568</c:v>
                </c:pt>
                <c:pt idx="9">
                  <c:v>4775.7531153372838</c:v>
                </c:pt>
                <c:pt idx="10">
                  <c:v>7353.6442227897951</c:v>
                </c:pt>
                <c:pt idx="11">
                  <c:v>5802.7027354693046</c:v>
                </c:pt>
                <c:pt idx="12">
                  <c:v>7658.6840301610364</c:v>
                </c:pt>
                <c:pt idx="13">
                  <c:v>9376.7482891199343</c:v>
                </c:pt>
                <c:pt idx="14">
                  <c:v>13142.249323951939</c:v>
                </c:pt>
                <c:pt idx="15">
                  <c:v>10262.346287632536</c:v>
                </c:pt>
                <c:pt idx="16">
                  <c:v>13291.577311781086</c:v>
                </c:pt>
                <c:pt idx="17">
                  <c:v>13707.06742366379</c:v>
                </c:pt>
                <c:pt idx="18">
                  <c:v>10696.551293926825</c:v>
                </c:pt>
                <c:pt idx="19">
                  <c:v>12258.097150997084</c:v>
                </c:pt>
                <c:pt idx="20">
                  <c:v>10279.09612061026</c:v>
                </c:pt>
                <c:pt idx="21">
                  <c:v>12931.933964741216</c:v>
                </c:pt>
                <c:pt idx="22">
                  <c:v>9519.8411725382866</c:v>
                </c:pt>
                <c:pt idx="23">
                  <c:v>12379.102755669761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4-43EA-AA0C-29C20D0B18A5}"/>
            </c:ext>
          </c:extLst>
        </c:ser>
        <c:ser>
          <c:idx val="2"/>
          <c:order val="2"/>
          <c:tx>
            <c:v>EWYKT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harvest'!$Y$253:$Y$276</c:f>
                <c:numCache>
                  <c:formatCode>General</c:formatCode>
                  <c:ptCount val="24"/>
                  <c:pt idx="0">
                    <c:v>286.01893240310176</c:v>
                  </c:pt>
                  <c:pt idx="1">
                    <c:v>145.78991626172953</c:v>
                  </c:pt>
                  <c:pt idx="2">
                    <c:v>263.86511368260852</c:v>
                  </c:pt>
                  <c:pt idx="3">
                    <c:v>229.4435294856718</c:v>
                  </c:pt>
                  <c:pt idx="4">
                    <c:v>196.53555643942477</c:v>
                  </c:pt>
                  <c:pt idx="5">
                    <c:v>357.31725977214148</c:v>
                  </c:pt>
                  <c:pt idx="6">
                    <c:v>329.72857956496705</c:v>
                  </c:pt>
                  <c:pt idx="7">
                    <c:v>368.57085323666411</c:v>
                  </c:pt>
                  <c:pt idx="8">
                    <c:v>571.40125733915045</c:v>
                  </c:pt>
                  <c:pt idx="9">
                    <c:v>537.75078030647217</c:v>
                  </c:pt>
                  <c:pt idx="10">
                    <c:v>564.56619359584499</c:v>
                  </c:pt>
                  <c:pt idx="11">
                    <c:v>581.73590185930982</c:v>
                  </c:pt>
                  <c:pt idx="12">
                    <c:v>540.31421580338827</c:v>
                  </c:pt>
                  <c:pt idx="13">
                    <c:v>1032.5197363344694</c:v>
                  </c:pt>
                  <c:pt idx="14">
                    <c:v>344.35228792582473</c:v>
                  </c:pt>
                  <c:pt idx="15">
                    <c:v>511.0279860232925</c:v>
                  </c:pt>
                  <c:pt idx="16">
                    <c:v>839.21883762086145</c:v>
                  </c:pt>
                  <c:pt idx="17">
                    <c:v>2034.246995601183</c:v>
                  </c:pt>
                  <c:pt idx="18">
                    <c:v>1216.2210212402219</c:v>
                  </c:pt>
                  <c:pt idx="19">
                    <c:v>778.18473016569794</c:v>
                  </c:pt>
                  <c:pt idx="20">
                    <c:v>1065.0909523662754</c:v>
                  </c:pt>
                  <c:pt idx="21">
                    <c:v>1867.7400872707506</c:v>
                  </c:pt>
                  <c:pt idx="22">
                    <c:v>642.71776106005177</c:v>
                  </c:pt>
                  <c:pt idx="23">
                    <c:v>1076.4895093781593</c:v>
                  </c:pt>
                </c:numCache>
              </c:numRef>
            </c:plus>
            <c:minus>
              <c:numRef>
                <c:f>'BRF harvest'!$Y$253:$Y$276</c:f>
                <c:numCache>
                  <c:formatCode>General</c:formatCode>
                  <c:ptCount val="24"/>
                  <c:pt idx="0">
                    <c:v>286.01893240310176</c:v>
                  </c:pt>
                  <c:pt idx="1">
                    <c:v>145.78991626172953</c:v>
                  </c:pt>
                  <c:pt idx="2">
                    <c:v>263.86511368260852</c:v>
                  </c:pt>
                  <c:pt idx="3">
                    <c:v>229.4435294856718</c:v>
                  </c:pt>
                  <c:pt idx="4">
                    <c:v>196.53555643942477</c:v>
                  </c:pt>
                  <c:pt idx="5">
                    <c:v>357.31725977214148</c:v>
                  </c:pt>
                  <c:pt idx="6">
                    <c:v>329.72857956496705</c:v>
                  </c:pt>
                  <c:pt idx="7">
                    <c:v>368.57085323666411</c:v>
                  </c:pt>
                  <c:pt idx="8">
                    <c:v>571.40125733915045</c:v>
                  </c:pt>
                  <c:pt idx="9">
                    <c:v>537.75078030647217</c:v>
                  </c:pt>
                  <c:pt idx="10">
                    <c:v>564.56619359584499</c:v>
                  </c:pt>
                  <c:pt idx="11">
                    <c:v>581.73590185930982</c:v>
                  </c:pt>
                  <c:pt idx="12">
                    <c:v>540.31421580338827</c:v>
                  </c:pt>
                  <c:pt idx="13">
                    <c:v>1032.5197363344694</c:v>
                  </c:pt>
                  <c:pt idx="14">
                    <c:v>344.35228792582473</c:v>
                  </c:pt>
                  <c:pt idx="15">
                    <c:v>511.0279860232925</c:v>
                  </c:pt>
                  <c:pt idx="16">
                    <c:v>839.21883762086145</c:v>
                  </c:pt>
                  <c:pt idx="17">
                    <c:v>2034.246995601183</c:v>
                  </c:pt>
                  <c:pt idx="18">
                    <c:v>1216.2210212402219</c:v>
                  </c:pt>
                  <c:pt idx="19">
                    <c:v>778.18473016569794</c:v>
                  </c:pt>
                  <c:pt idx="20">
                    <c:v>1065.0909523662754</c:v>
                  </c:pt>
                  <c:pt idx="21">
                    <c:v>1867.7400872707506</c:v>
                  </c:pt>
                  <c:pt idx="22">
                    <c:v>642.71776106005177</c:v>
                  </c:pt>
                  <c:pt idx="23">
                    <c:v>1076.4895093781593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harvest'!$V$253:$V$276</c:f>
              <c:numCache>
                <c:formatCode>_(* #,##0_);_(* \(#,##0\);_(* "-"??_);_(@_)</c:formatCode>
                <c:ptCount val="24"/>
                <c:pt idx="0">
                  <c:v>985.83253862133824</c:v>
                </c:pt>
                <c:pt idx="1">
                  <c:v>690.38285707176499</c:v>
                </c:pt>
                <c:pt idx="2">
                  <c:v>1315.4731738538947</c:v>
                </c:pt>
                <c:pt idx="3">
                  <c:v>1116.1910920841854</c:v>
                </c:pt>
                <c:pt idx="4">
                  <c:v>983.46166626138779</c:v>
                </c:pt>
                <c:pt idx="5">
                  <c:v>1537.7931114266105</c:v>
                </c:pt>
                <c:pt idx="6">
                  <c:v>1449.0197488164604</c:v>
                </c:pt>
                <c:pt idx="7">
                  <c:v>1754.3453147693908</c:v>
                </c:pt>
                <c:pt idx="8">
                  <c:v>2688.8985904128322</c:v>
                </c:pt>
                <c:pt idx="9">
                  <c:v>2522.2917795093531</c:v>
                </c:pt>
                <c:pt idx="10">
                  <c:v>3043.2162623164641</c:v>
                </c:pt>
                <c:pt idx="11">
                  <c:v>2800.3494704252598</c:v>
                </c:pt>
                <c:pt idx="12">
                  <c:v>2457.5723339449796</c:v>
                </c:pt>
                <c:pt idx="13">
                  <c:v>3516.3919194144455</c:v>
                </c:pt>
                <c:pt idx="14">
                  <c:v>3087.2658493389422</c:v>
                </c:pt>
                <c:pt idx="15">
                  <c:v>3930.506975198984</c:v>
                </c:pt>
                <c:pt idx="16">
                  <c:v>4904.2041329687736</c:v>
                </c:pt>
                <c:pt idx="17">
                  <c:v>7054.4903416582492</c:v>
                </c:pt>
                <c:pt idx="18">
                  <c:v>8025.2509537542774</c:v>
                </c:pt>
                <c:pt idx="19">
                  <c:v>6490.8694410252392</c:v>
                </c:pt>
                <c:pt idx="20">
                  <c:v>9020.7627217825593</c:v>
                </c:pt>
                <c:pt idx="21">
                  <c:v>9465.8571552228022</c:v>
                </c:pt>
                <c:pt idx="22">
                  <c:v>4818.0518071193155</c:v>
                </c:pt>
                <c:pt idx="23">
                  <c:v>8662.3338727041883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B4-43EA-AA0C-29C20D0B18A5}"/>
            </c:ext>
          </c:extLst>
        </c:ser>
        <c:ser>
          <c:idx val="3"/>
          <c:order val="3"/>
          <c:tx>
            <c:v>NSEO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harvest'!$Y$303:$Y$326</c:f>
                <c:numCache>
                  <c:formatCode>General</c:formatCode>
                  <c:ptCount val="24"/>
                  <c:pt idx="0">
                    <c:v>414.64295646459942</c:v>
                  </c:pt>
                  <c:pt idx="1">
                    <c:v>394.96013956903113</c:v>
                  </c:pt>
                  <c:pt idx="2">
                    <c:v>1063.9938064109003</c:v>
                  </c:pt>
                  <c:pt idx="3">
                    <c:v>1046.7241427895958</c:v>
                  </c:pt>
                  <c:pt idx="4">
                    <c:v>747.24986456784097</c:v>
                  </c:pt>
                  <c:pt idx="5">
                    <c:v>1137.0936719307454</c:v>
                  </c:pt>
                  <c:pt idx="6">
                    <c:v>1076.5312641794412</c:v>
                  </c:pt>
                  <c:pt idx="7">
                    <c:v>1030.7366500583457</c:v>
                  </c:pt>
                  <c:pt idx="8">
                    <c:v>654.57298144070364</c:v>
                  </c:pt>
                  <c:pt idx="9">
                    <c:v>805.12540394369034</c:v>
                  </c:pt>
                  <c:pt idx="10">
                    <c:v>1716.3792986187154</c:v>
                  </c:pt>
                  <c:pt idx="11">
                    <c:v>569.07537301966829</c:v>
                  </c:pt>
                  <c:pt idx="12">
                    <c:v>1368.3599911621773</c:v>
                  </c:pt>
                  <c:pt idx="13">
                    <c:v>944.94671435200405</c:v>
                  </c:pt>
                  <c:pt idx="14">
                    <c:v>2094.1748921138742</c:v>
                  </c:pt>
                  <c:pt idx="15">
                    <c:v>1888.0434974098459</c:v>
                  </c:pt>
                  <c:pt idx="16">
                    <c:v>4737.1502707741301</c:v>
                  </c:pt>
                  <c:pt idx="17">
                    <c:v>2355.2288771136568</c:v>
                  </c:pt>
                  <c:pt idx="18">
                    <c:v>844.93415321243765</c:v>
                  </c:pt>
                  <c:pt idx="19">
                    <c:v>3164.3191326360384</c:v>
                  </c:pt>
                  <c:pt idx="20">
                    <c:v>3960.0472858299445</c:v>
                  </c:pt>
                  <c:pt idx="21">
                    <c:v>3362.6888408818177</c:v>
                  </c:pt>
                  <c:pt idx="22">
                    <c:v>580.15102631059835</c:v>
                  </c:pt>
                  <c:pt idx="23">
                    <c:v>3373.4572340722161</c:v>
                  </c:pt>
                </c:numCache>
              </c:numRef>
            </c:plus>
            <c:minus>
              <c:numRef>
                <c:f>'BRF harvest'!$Y$303:$Y$326</c:f>
                <c:numCache>
                  <c:formatCode>General</c:formatCode>
                  <c:ptCount val="24"/>
                  <c:pt idx="0">
                    <c:v>414.64295646459942</c:v>
                  </c:pt>
                  <c:pt idx="1">
                    <c:v>394.96013956903113</c:v>
                  </c:pt>
                  <c:pt idx="2">
                    <c:v>1063.9938064109003</c:v>
                  </c:pt>
                  <c:pt idx="3">
                    <c:v>1046.7241427895958</c:v>
                  </c:pt>
                  <c:pt idx="4">
                    <c:v>747.24986456784097</c:v>
                  </c:pt>
                  <c:pt idx="5">
                    <c:v>1137.0936719307454</c:v>
                  </c:pt>
                  <c:pt idx="6">
                    <c:v>1076.5312641794412</c:v>
                  </c:pt>
                  <c:pt idx="7">
                    <c:v>1030.7366500583457</c:v>
                  </c:pt>
                  <c:pt idx="8">
                    <c:v>654.57298144070364</c:v>
                  </c:pt>
                  <c:pt idx="9">
                    <c:v>805.12540394369034</c:v>
                  </c:pt>
                  <c:pt idx="10">
                    <c:v>1716.3792986187154</c:v>
                  </c:pt>
                  <c:pt idx="11">
                    <c:v>569.07537301966829</c:v>
                  </c:pt>
                  <c:pt idx="12">
                    <c:v>1368.3599911621773</c:v>
                  </c:pt>
                  <c:pt idx="13">
                    <c:v>944.94671435200405</c:v>
                  </c:pt>
                  <c:pt idx="14">
                    <c:v>2094.1748921138742</c:v>
                  </c:pt>
                  <c:pt idx="15">
                    <c:v>1888.0434974098459</c:v>
                  </c:pt>
                  <c:pt idx="16">
                    <c:v>4737.1502707741301</c:v>
                  </c:pt>
                  <c:pt idx="17">
                    <c:v>2355.2288771136568</c:v>
                  </c:pt>
                  <c:pt idx="18">
                    <c:v>844.93415321243765</c:v>
                  </c:pt>
                  <c:pt idx="19">
                    <c:v>3164.3191326360384</c:v>
                  </c:pt>
                  <c:pt idx="20">
                    <c:v>3960.0472858299445</c:v>
                  </c:pt>
                  <c:pt idx="21">
                    <c:v>3362.6888408818177</c:v>
                  </c:pt>
                  <c:pt idx="22">
                    <c:v>580.15102631059835</c:v>
                  </c:pt>
                  <c:pt idx="23">
                    <c:v>3373.4572340722161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harvest'!$V$303:$V$326</c:f>
              <c:numCache>
                <c:formatCode>_(* #,##0_);_(* \(#,##0\);_(* "-"??_);_(@_)</c:formatCode>
                <c:ptCount val="24"/>
                <c:pt idx="0">
                  <c:v>927.74164204660451</c:v>
                </c:pt>
                <c:pt idx="1">
                  <c:v>800.5190215331063</c:v>
                </c:pt>
                <c:pt idx="2">
                  <c:v>2300.548463697311</c:v>
                </c:pt>
                <c:pt idx="3">
                  <c:v>2076.6671376370437</c:v>
                </c:pt>
                <c:pt idx="4">
                  <c:v>1299.295531696207</c:v>
                </c:pt>
                <c:pt idx="5">
                  <c:v>2333.4453071080738</c:v>
                </c:pt>
                <c:pt idx="6">
                  <c:v>1880.5679839184638</c:v>
                </c:pt>
                <c:pt idx="7">
                  <c:v>2018.4761173615548</c:v>
                </c:pt>
                <c:pt idx="8">
                  <c:v>1962.5133875616009</c:v>
                </c:pt>
                <c:pt idx="9">
                  <c:v>3195.8458360784375</c:v>
                </c:pt>
                <c:pt idx="10">
                  <c:v>4710.1009184342602</c:v>
                </c:pt>
                <c:pt idx="11">
                  <c:v>2449.2800469054973</c:v>
                </c:pt>
                <c:pt idx="12">
                  <c:v>4214.0900257706062</c:v>
                </c:pt>
                <c:pt idx="13">
                  <c:v>7835.2318261751498</c:v>
                </c:pt>
                <c:pt idx="14">
                  <c:v>8951.0314088624382</c:v>
                </c:pt>
                <c:pt idx="15">
                  <c:v>7334.2180377142668</c:v>
                </c:pt>
                <c:pt idx="16">
                  <c:v>13519.430448069656</c:v>
                </c:pt>
                <c:pt idx="17">
                  <c:v>9065.0575213470729</c:v>
                </c:pt>
                <c:pt idx="18">
                  <c:v>5047.2935321359719</c:v>
                </c:pt>
                <c:pt idx="19">
                  <c:v>11868.906769601883</c:v>
                </c:pt>
                <c:pt idx="20">
                  <c:v>14177.892546843908</c:v>
                </c:pt>
                <c:pt idx="21">
                  <c:v>13947.828265085333</c:v>
                </c:pt>
                <c:pt idx="22">
                  <c:v>4008.9990910922984</c:v>
                </c:pt>
                <c:pt idx="23">
                  <c:v>13379.926961517056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B4-43EA-AA0C-29C20D0B18A5}"/>
            </c:ext>
          </c:extLst>
        </c:ser>
        <c:ser>
          <c:idx val="4"/>
          <c:order val="4"/>
          <c:tx>
            <c:v>SSEI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harvest'!$Y$328:$Y$351</c:f>
                <c:numCache>
                  <c:formatCode>General</c:formatCode>
                  <c:ptCount val="24"/>
                  <c:pt idx="0">
                    <c:v>785.36945873671959</c:v>
                  </c:pt>
                  <c:pt idx="1">
                    <c:v>960.97109145050047</c:v>
                  </c:pt>
                  <c:pt idx="2">
                    <c:v>1492.6743725973035</c:v>
                  </c:pt>
                  <c:pt idx="3">
                    <c:v>1196.0920380211414</c:v>
                  </c:pt>
                  <c:pt idx="4">
                    <c:v>1033.6412130223057</c:v>
                  </c:pt>
                  <c:pt idx="5">
                    <c:v>1454.6967493633781</c:v>
                  </c:pt>
                  <c:pt idx="6">
                    <c:v>1622.4632755362088</c:v>
                  </c:pt>
                  <c:pt idx="7">
                    <c:v>1864.8829021246497</c:v>
                  </c:pt>
                  <c:pt idx="8">
                    <c:v>968.60563758605656</c:v>
                  </c:pt>
                  <c:pt idx="9">
                    <c:v>993.6089062811493</c:v>
                  </c:pt>
                  <c:pt idx="10">
                    <c:v>1282.7307814361814</c:v>
                  </c:pt>
                  <c:pt idx="11">
                    <c:v>773.53103194770893</c:v>
                  </c:pt>
                  <c:pt idx="12">
                    <c:v>1083.7972489375361</c:v>
                  </c:pt>
                  <c:pt idx="13">
                    <c:v>1021.373487435388</c:v>
                  </c:pt>
                  <c:pt idx="14">
                    <c:v>525.7004353649138</c:v>
                  </c:pt>
                  <c:pt idx="15">
                    <c:v>1675.4463619705143</c:v>
                  </c:pt>
                  <c:pt idx="16">
                    <c:v>824.62458136427711</c:v>
                  </c:pt>
                  <c:pt idx="17">
                    <c:v>662.31432945466418</c:v>
                  </c:pt>
                  <c:pt idx="18">
                    <c:v>913.23286825810965</c:v>
                  </c:pt>
                  <c:pt idx="19">
                    <c:v>1185.642055287125</c:v>
                  </c:pt>
                  <c:pt idx="20">
                    <c:v>1684.411259231108</c:v>
                  </c:pt>
                  <c:pt idx="21">
                    <c:v>4789.0239768507372</c:v>
                  </c:pt>
                  <c:pt idx="22">
                    <c:v>3744.0584570528122</c:v>
                  </c:pt>
                  <c:pt idx="23">
                    <c:v>2737.7531335610702</c:v>
                  </c:pt>
                </c:numCache>
              </c:numRef>
            </c:plus>
            <c:minus>
              <c:numRef>
                <c:f>'BRF harvest'!$Y$328:$Y$351</c:f>
                <c:numCache>
                  <c:formatCode>General</c:formatCode>
                  <c:ptCount val="24"/>
                  <c:pt idx="0">
                    <c:v>785.36945873671959</c:v>
                  </c:pt>
                  <c:pt idx="1">
                    <c:v>960.97109145050047</c:v>
                  </c:pt>
                  <c:pt idx="2">
                    <c:v>1492.6743725973035</c:v>
                  </c:pt>
                  <c:pt idx="3">
                    <c:v>1196.0920380211414</c:v>
                  </c:pt>
                  <c:pt idx="4">
                    <c:v>1033.6412130223057</c:v>
                  </c:pt>
                  <c:pt idx="5">
                    <c:v>1454.6967493633781</c:v>
                  </c:pt>
                  <c:pt idx="6">
                    <c:v>1622.4632755362088</c:v>
                  </c:pt>
                  <c:pt idx="7">
                    <c:v>1864.8829021246497</c:v>
                  </c:pt>
                  <c:pt idx="8">
                    <c:v>968.60563758605656</c:v>
                  </c:pt>
                  <c:pt idx="9">
                    <c:v>993.6089062811493</c:v>
                  </c:pt>
                  <c:pt idx="10">
                    <c:v>1282.7307814361814</c:v>
                  </c:pt>
                  <c:pt idx="11">
                    <c:v>773.53103194770893</c:v>
                  </c:pt>
                  <c:pt idx="12">
                    <c:v>1083.7972489375361</c:v>
                  </c:pt>
                  <c:pt idx="13">
                    <c:v>1021.373487435388</c:v>
                  </c:pt>
                  <c:pt idx="14">
                    <c:v>525.7004353649138</c:v>
                  </c:pt>
                  <c:pt idx="15">
                    <c:v>1675.4463619705143</c:v>
                  </c:pt>
                  <c:pt idx="16">
                    <c:v>824.62458136427711</c:v>
                  </c:pt>
                  <c:pt idx="17">
                    <c:v>662.31432945466418</c:v>
                  </c:pt>
                  <c:pt idx="18">
                    <c:v>913.23286825810965</c:v>
                  </c:pt>
                  <c:pt idx="19">
                    <c:v>1185.642055287125</c:v>
                  </c:pt>
                  <c:pt idx="20">
                    <c:v>1684.411259231108</c:v>
                  </c:pt>
                  <c:pt idx="21">
                    <c:v>4789.0239768507372</c:v>
                  </c:pt>
                  <c:pt idx="22">
                    <c:v>3744.0584570528122</c:v>
                  </c:pt>
                  <c:pt idx="23">
                    <c:v>2737.7531335610702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harvest'!$V$328:$V$351</c:f>
              <c:numCache>
                <c:formatCode>_(* #,##0_);_(* \(#,##0\);_(* "-"??_);_(@_)</c:formatCode>
                <c:ptCount val="24"/>
                <c:pt idx="0">
                  <c:v>3052.2856988832837</c:v>
                </c:pt>
                <c:pt idx="1">
                  <c:v>4066.8585562044118</c:v>
                </c:pt>
                <c:pt idx="2">
                  <c:v>5687.2255205154252</c:v>
                </c:pt>
                <c:pt idx="3">
                  <c:v>4871.5594080472574</c:v>
                </c:pt>
                <c:pt idx="4">
                  <c:v>4260.7618047507349</c:v>
                </c:pt>
                <c:pt idx="5">
                  <c:v>6042.764817621307</c:v>
                </c:pt>
                <c:pt idx="6">
                  <c:v>5961.1293542103658</c:v>
                </c:pt>
                <c:pt idx="7">
                  <c:v>6616.7329098112286</c:v>
                </c:pt>
                <c:pt idx="8">
                  <c:v>7642.4116841430741</c:v>
                </c:pt>
                <c:pt idx="9">
                  <c:v>8023.8485794306507</c:v>
                </c:pt>
                <c:pt idx="10">
                  <c:v>10189.302581632935</c:v>
                </c:pt>
                <c:pt idx="11">
                  <c:v>7132.9300841933937</c:v>
                </c:pt>
                <c:pt idx="12">
                  <c:v>10378.466905572745</c:v>
                </c:pt>
                <c:pt idx="13">
                  <c:v>10330.75373913351</c:v>
                </c:pt>
                <c:pt idx="14">
                  <c:v>9132.7127243967952</c:v>
                </c:pt>
                <c:pt idx="15">
                  <c:v>13438.762813164891</c:v>
                </c:pt>
                <c:pt idx="16">
                  <c:v>11516.913987580756</c:v>
                </c:pt>
                <c:pt idx="17">
                  <c:v>11916.402701481784</c:v>
                </c:pt>
                <c:pt idx="18">
                  <c:v>13195.704225544891</c:v>
                </c:pt>
                <c:pt idx="19">
                  <c:v>15084.5663312591</c:v>
                </c:pt>
                <c:pt idx="20">
                  <c:v>24352.02165571817</c:v>
                </c:pt>
                <c:pt idx="21">
                  <c:v>31064.06631338712</c:v>
                </c:pt>
                <c:pt idx="22">
                  <c:v>19234.474597945387</c:v>
                </c:pt>
                <c:pt idx="23">
                  <c:v>19830.006245034267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B4-43EA-AA0C-29C20D0B18A5}"/>
            </c:ext>
          </c:extLst>
        </c:ser>
        <c:ser>
          <c:idx val="5"/>
          <c:order val="5"/>
          <c:tx>
            <c:v>SSEO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'BRF harvest'!$Y$353:$Y$376</c:f>
                <c:numCache>
                  <c:formatCode>General</c:formatCode>
                  <c:ptCount val="24"/>
                  <c:pt idx="0">
                    <c:v>680.40281435471866</c:v>
                  </c:pt>
                  <c:pt idx="1">
                    <c:v>985.75069877953126</c:v>
                  </c:pt>
                  <c:pt idx="2">
                    <c:v>1475.5334024879446</c:v>
                  </c:pt>
                  <c:pt idx="3">
                    <c:v>1229.1579382515167</c:v>
                  </c:pt>
                  <c:pt idx="4">
                    <c:v>1627.1955782344567</c:v>
                  </c:pt>
                  <c:pt idx="5">
                    <c:v>1472.9240663545647</c:v>
                  </c:pt>
                  <c:pt idx="6">
                    <c:v>2148.9720843362979</c:v>
                  </c:pt>
                  <c:pt idx="7">
                    <c:v>2705.5247656960164</c:v>
                  </c:pt>
                  <c:pt idx="8">
                    <c:v>1655.4840287618761</c:v>
                  </c:pt>
                  <c:pt idx="9">
                    <c:v>2456.2725376565108</c:v>
                  </c:pt>
                  <c:pt idx="10">
                    <c:v>3751.9762707805862</c:v>
                  </c:pt>
                  <c:pt idx="11">
                    <c:v>2022.391592002768</c:v>
                  </c:pt>
                  <c:pt idx="12">
                    <c:v>2196.8064672808127</c:v>
                  </c:pt>
                  <c:pt idx="13">
                    <c:v>2224.7296126917236</c:v>
                  </c:pt>
                  <c:pt idx="14">
                    <c:v>2448.4782342515646</c:v>
                  </c:pt>
                  <c:pt idx="15">
                    <c:v>2472.5327138193297</c:v>
                  </c:pt>
                  <c:pt idx="16">
                    <c:v>2816.3840231392219</c:v>
                  </c:pt>
                  <c:pt idx="17">
                    <c:v>6146.3127234990379</c:v>
                  </c:pt>
                  <c:pt idx="18">
                    <c:v>4279.3998322154348</c:v>
                  </c:pt>
                  <c:pt idx="19">
                    <c:v>4044.5214044657641</c:v>
                  </c:pt>
                  <c:pt idx="20">
                    <c:v>4953.0201697763705</c:v>
                  </c:pt>
                  <c:pt idx="21">
                    <c:v>6064.92811170813</c:v>
                  </c:pt>
                  <c:pt idx="22">
                    <c:v>2129.8728397200111</c:v>
                  </c:pt>
                  <c:pt idx="23">
                    <c:v>1303.3705128338413</c:v>
                  </c:pt>
                </c:numCache>
              </c:numRef>
            </c:plus>
            <c:minus>
              <c:numRef>
                <c:f>'BRF harvest'!$Y$353:$Y$376</c:f>
                <c:numCache>
                  <c:formatCode>General</c:formatCode>
                  <c:ptCount val="24"/>
                  <c:pt idx="0">
                    <c:v>680.40281435471866</c:v>
                  </c:pt>
                  <c:pt idx="1">
                    <c:v>985.75069877953126</c:v>
                  </c:pt>
                  <c:pt idx="2">
                    <c:v>1475.5334024879446</c:v>
                  </c:pt>
                  <c:pt idx="3">
                    <c:v>1229.1579382515167</c:v>
                  </c:pt>
                  <c:pt idx="4">
                    <c:v>1627.1955782344567</c:v>
                  </c:pt>
                  <c:pt idx="5">
                    <c:v>1472.9240663545647</c:v>
                  </c:pt>
                  <c:pt idx="6">
                    <c:v>2148.9720843362979</c:v>
                  </c:pt>
                  <c:pt idx="7">
                    <c:v>2705.5247656960164</c:v>
                  </c:pt>
                  <c:pt idx="8">
                    <c:v>1655.4840287618761</c:v>
                  </c:pt>
                  <c:pt idx="9">
                    <c:v>2456.2725376565108</c:v>
                  </c:pt>
                  <c:pt idx="10">
                    <c:v>3751.9762707805862</c:v>
                  </c:pt>
                  <c:pt idx="11">
                    <c:v>2022.391592002768</c:v>
                  </c:pt>
                  <c:pt idx="12">
                    <c:v>2196.8064672808127</c:v>
                  </c:pt>
                  <c:pt idx="13">
                    <c:v>2224.7296126917236</c:v>
                  </c:pt>
                  <c:pt idx="14">
                    <c:v>2448.4782342515646</c:v>
                  </c:pt>
                  <c:pt idx="15">
                    <c:v>2472.5327138193297</c:v>
                  </c:pt>
                  <c:pt idx="16">
                    <c:v>2816.3840231392219</c:v>
                  </c:pt>
                  <c:pt idx="17">
                    <c:v>6146.3127234990379</c:v>
                  </c:pt>
                  <c:pt idx="18">
                    <c:v>4279.3998322154348</c:v>
                  </c:pt>
                  <c:pt idx="19">
                    <c:v>4044.5214044657641</c:v>
                  </c:pt>
                  <c:pt idx="20">
                    <c:v>4953.0201697763705</c:v>
                  </c:pt>
                  <c:pt idx="21">
                    <c:v>6064.92811170813</c:v>
                  </c:pt>
                  <c:pt idx="22">
                    <c:v>2129.8728397200111</c:v>
                  </c:pt>
                  <c:pt idx="23">
                    <c:v>1303.3705128338413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numRef>
              <c:f>'BRF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'BRF harvest'!$V$353:$V$376</c:f>
              <c:numCache>
                <c:formatCode>_(* #,##0_);_(* \(#,##0\);_(* "-"??_);_(@_)</c:formatCode>
                <c:ptCount val="24"/>
                <c:pt idx="0">
                  <c:v>2390.8323813353122</c:v>
                </c:pt>
                <c:pt idx="1">
                  <c:v>2923.2446881694618</c:v>
                </c:pt>
                <c:pt idx="2">
                  <c:v>4182.0128461283412</c:v>
                </c:pt>
                <c:pt idx="3">
                  <c:v>3570.2041663979758</c:v>
                </c:pt>
                <c:pt idx="4">
                  <c:v>5713.3965232358623</c:v>
                </c:pt>
                <c:pt idx="5">
                  <c:v>4822.9945145784895</c:v>
                </c:pt>
                <c:pt idx="6">
                  <c:v>7084.9063392254411</c:v>
                </c:pt>
                <c:pt idx="7">
                  <c:v>9123.2044032943159</c:v>
                </c:pt>
                <c:pt idx="8">
                  <c:v>7054.3156164025404</c:v>
                </c:pt>
                <c:pt idx="9">
                  <c:v>9451.4036474529166</c:v>
                </c:pt>
                <c:pt idx="10">
                  <c:v>16216.445896090258</c:v>
                </c:pt>
                <c:pt idx="11">
                  <c:v>8820.912730723081</c:v>
                </c:pt>
                <c:pt idx="12">
                  <c:v>10594.470819155009</c:v>
                </c:pt>
                <c:pt idx="13">
                  <c:v>11432.008772355892</c:v>
                </c:pt>
                <c:pt idx="14">
                  <c:v>14048.918638176565</c:v>
                </c:pt>
                <c:pt idx="15">
                  <c:v>15766.799257114304</c:v>
                </c:pt>
                <c:pt idx="16">
                  <c:v>16445.401669606108</c:v>
                </c:pt>
                <c:pt idx="17">
                  <c:v>22605.065662922541</c:v>
                </c:pt>
                <c:pt idx="18">
                  <c:v>19470.20343475249</c:v>
                </c:pt>
                <c:pt idx="19">
                  <c:v>21141.518353635885</c:v>
                </c:pt>
                <c:pt idx="20">
                  <c:v>31373.066871077182</c:v>
                </c:pt>
                <c:pt idx="21">
                  <c:v>28436.467670498958</c:v>
                </c:pt>
                <c:pt idx="22">
                  <c:v>15013.58393140593</c:v>
                </c:pt>
                <c:pt idx="23">
                  <c:v>30072.205736176547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B4-43EA-AA0C-29C20D0B1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BLACK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AFOGNAK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harvest'!$L$3:$L$25</c:f>
                <c:numCache>
                  <c:formatCode>General</c:formatCode>
                  <c:ptCount val="23"/>
                  <c:pt idx="0">
                    <c:v>23.636926531630834</c:v>
                  </c:pt>
                  <c:pt idx="1">
                    <c:v>23.636926531630834</c:v>
                  </c:pt>
                  <c:pt idx="2">
                    <c:v>51.077496413179269</c:v>
                  </c:pt>
                  <c:pt idx="3">
                    <c:v>15.757951021087221</c:v>
                  </c:pt>
                  <c:pt idx="4">
                    <c:v>14.671195778253621</c:v>
                  </c:pt>
                  <c:pt idx="5">
                    <c:v>22.55017128879723</c:v>
                  </c:pt>
                  <c:pt idx="6">
                    <c:v>35.319545392092046</c:v>
                  </c:pt>
                  <c:pt idx="7">
                    <c:v>55.96789500593048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</c:numCache>
              </c:numRef>
            </c:plus>
            <c:minus>
              <c:numRef>
                <c:f>'YE harvest'!$L$3:$L$25</c:f>
                <c:numCache>
                  <c:formatCode>General</c:formatCode>
                  <c:ptCount val="23"/>
                  <c:pt idx="0">
                    <c:v>23.636926531630834</c:v>
                  </c:pt>
                  <c:pt idx="1">
                    <c:v>23.636926531630834</c:v>
                  </c:pt>
                  <c:pt idx="2">
                    <c:v>51.077496413179269</c:v>
                  </c:pt>
                  <c:pt idx="3">
                    <c:v>15.757951021087221</c:v>
                  </c:pt>
                  <c:pt idx="4">
                    <c:v>14.671195778253621</c:v>
                  </c:pt>
                  <c:pt idx="5">
                    <c:v>22.55017128879723</c:v>
                  </c:pt>
                  <c:pt idx="6">
                    <c:v>35.319545392092046</c:v>
                  </c:pt>
                  <c:pt idx="7">
                    <c:v>55.96789500593048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'YE harvest'!$I$3:$I$26</c:f>
              <c:numCache>
                <c:formatCode>_(* #,##0_);_(* \(#,##0\);_(* "-"??_);_(@_)</c:formatCode>
                <c:ptCount val="24"/>
                <c:pt idx="0">
                  <c:v>63.835833277720077</c:v>
                </c:pt>
                <c:pt idx="1">
                  <c:v>63.835833277720077</c:v>
                </c:pt>
                <c:pt idx="2">
                  <c:v>137.94409949668247</c:v>
                </c:pt>
                <c:pt idx="3">
                  <c:v>42.557222185146713</c:v>
                </c:pt>
                <c:pt idx="4">
                  <c:v>39.622241344791775</c:v>
                </c:pt>
                <c:pt idx="5">
                  <c:v>60.900852437365131</c:v>
                </c:pt>
                <c:pt idx="6">
                  <c:v>95.386877311535741</c:v>
                </c:pt>
                <c:pt idx="7">
                  <c:v>151.15151327827971</c:v>
                </c:pt>
                <c:pt idx="8">
                  <c:v>133</c:v>
                </c:pt>
                <c:pt idx="9">
                  <c:v>217</c:v>
                </c:pt>
                <c:pt idx="10">
                  <c:v>509</c:v>
                </c:pt>
                <c:pt idx="11">
                  <c:v>466</c:v>
                </c:pt>
                <c:pt idx="12">
                  <c:v>348</c:v>
                </c:pt>
                <c:pt idx="13">
                  <c:v>385</c:v>
                </c:pt>
                <c:pt idx="14">
                  <c:v>411</c:v>
                </c:pt>
                <c:pt idx="15">
                  <c:v>382</c:v>
                </c:pt>
                <c:pt idx="16">
                  <c:v>434</c:v>
                </c:pt>
                <c:pt idx="17">
                  <c:v>421</c:v>
                </c:pt>
                <c:pt idx="18">
                  <c:v>544</c:v>
                </c:pt>
                <c:pt idx="19">
                  <c:v>416</c:v>
                </c:pt>
                <c:pt idx="20">
                  <c:v>449</c:v>
                </c:pt>
                <c:pt idx="21">
                  <c:v>719</c:v>
                </c:pt>
                <c:pt idx="22">
                  <c:v>605</c:v>
                </c:pt>
                <c:pt idx="23">
                  <c:v>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6-48B0-801B-687E9CE62541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harvest'!$W$3:$W$26</c:f>
                <c:numCache>
                  <c:formatCode>General</c:formatCode>
                  <c:ptCount val="24"/>
                  <c:pt idx="0">
                    <c:v>17.370990613714017</c:v>
                  </c:pt>
                  <c:pt idx="1">
                    <c:v>21.129137621488688</c:v>
                  </c:pt>
                  <c:pt idx="2">
                    <c:v>58.961150833087004</c:v>
                  </c:pt>
                  <c:pt idx="3">
                    <c:v>22.340096101771632</c:v>
                  </c:pt>
                  <c:pt idx="4">
                    <c:v>14.406230196469561</c:v>
                  </c:pt>
                  <c:pt idx="5">
                    <c:v>23.676326148980408</c:v>
                  </c:pt>
                  <c:pt idx="6">
                    <c:v>19.542364440428273</c:v>
                  </c:pt>
                  <c:pt idx="7">
                    <c:v>57.833706730754606</c:v>
                  </c:pt>
                  <c:pt idx="8">
                    <c:v>38.625399802128527</c:v>
                  </c:pt>
                  <c:pt idx="9">
                    <c:v>103.89188617048194</c:v>
                  </c:pt>
                  <c:pt idx="10">
                    <c:v>111.4916945639818</c:v>
                  </c:pt>
                  <c:pt idx="11">
                    <c:v>157.13230211395637</c:v>
                  </c:pt>
                  <c:pt idx="12">
                    <c:v>126.60779697303101</c:v>
                  </c:pt>
                  <c:pt idx="13">
                    <c:v>124.96578427901811</c:v>
                  </c:pt>
                  <c:pt idx="14">
                    <c:v>146.96693576059465</c:v>
                  </c:pt>
                  <c:pt idx="15">
                    <c:v>100.77954862282134</c:v>
                  </c:pt>
                  <c:pt idx="16">
                    <c:v>152.59520946935021</c:v>
                  </c:pt>
                  <c:pt idx="17">
                    <c:v>283.18925926722591</c:v>
                  </c:pt>
                  <c:pt idx="18">
                    <c:v>70.124976762088153</c:v>
                  </c:pt>
                  <c:pt idx="19">
                    <c:v>82.735169171846536</c:v>
                  </c:pt>
                  <c:pt idx="20">
                    <c:v>187.88098499307566</c:v>
                  </c:pt>
                  <c:pt idx="21">
                    <c:v>544.2097184831664</c:v>
                  </c:pt>
                  <c:pt idx="22">
                    <c:v>213.37161759819543</c:v>
                  </c:pt>
                  <c:pt idx="23">
                    <c:v>164.2056411856158</c:v>
                  </c:pt>
                </c:numCache>
              </c:numRef>
            </c:plus>
            <c:minus>
              <c:numRef>
                <c:f>'YE harvest'!$W$3:$W$26</c:f>
                <c:numCache>
                  <c:formatCode>General</c:formatCode>
                  <c:ptCount val="24"/>
                  <c:pt idx="0">
                    <c:v>17.370990613714017</c:v>
                  </c:pt>
                  <c:pt idx="1">
                    <c:v>21.129137621488688</c:v>
                  </c:pt>
                  <c:pt idx="2">
                    <c:v>58.961150833087004</c:v>
                  </c:pt>
                  <c:pt idx="3">
                    <c:v>22.340096101771632</c:v>
                  </c:pt>
                  <c:pt idx="4">
                    <c:v>14.406230196469561</c:v>
                  </c:pt>
                  <c:pt idx="5">
                    <c:v>23.676326148980408</c:v>
                  </c:pt>
                  <c:pt idx="6">
                    <c:v>19.542364440428273</c:v>
                  </c:pt>
                  <c:pt idx="7">
                    <c:v>57.833706730754606</c:v>
                  </c:pt>
                  <c:pt idx="8">
                    <c:v>38.625399802128527</c:v>
                  </c:pt>
                  <c:pt idx="9">
                    <c:v>103.89188617048194</c:v>
                  </c:pt>
                  <c:pt idx="10">
                    <c:v>111.4916945639818</c:v>
                  </c:pt>
                  <c:pt idx="11">
                    <c:v>157.13230211395637</c:v>
                  </c:pt>
                  <c:pt idx="12">
                    <c:v>126.60779697303101</c:v>
                  </c:pt>
                  <c:pt idx="13">
                    <c:v>124.96578427901811</c:v>
                  </c:pt>
                  <c:pt idx="14">
                    <c:v>146.96693576059465</c:v>
                  </c:pt>
                  <c:pt idx="15">
                    <c:v>100.77954862282134</c:v>
                  </c:pt>
                  <c:pt idx="16">
                    <c:v>152.59520946935021</c:v>
                  </c:pt>
                  <c:pt idx="17">
                    <c:v>283.18925926722591</c:v>
                  </c:pt>
                  <c:pt idx="18">
                    <c:v>70.124976762088153</c:v>
                  </c:pt>
                  <c:pt idx="19">
                    <c:v>82.735169171846536</c:v>
                  </c:pt>
                  <c:pt idx="20">
                    <c:v>187.88098499307566</c:v>
                  </c:pt>
                  <c:pt idx="21">
                    <c:v>544.2097184831664</c:v>
                  </c:pt>
                  <c:pt idx="22">
                    <c:v>213.37161759819543</c:v>
                  </c:pt>
                  <c:pt idx="23">
                    <c:v>164.2056411856158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'YE harvest'!$T$3:$T$26</c:f>
              <c:numCache>
                <c:formatCode>_(* #,##0_);_(* \(#,##0\);_(* "-"??_);_(@_)</c:formatCode>
                <c:ptCount val="24"/>
                <c:pt idx="0">
                  <c:v>14.014511732587529</c:v>
                </c:pt>
                <c:pt idx="1">
                  <c:v>17.046497443964654</c:v>
                </c:pt>
                <c:pt idx="2">
                  <c:v>47.568486938494217</c:v>
                </c:pt>
                <c:pt idx="3">
                  <c:v>18.023470617630601</c:v>
                </c:pt>
                <c:pt idx="4">
                  <c:v>11.622611893612261</c:v>
                </c:pt>
                <c:pt idx="5">
                  <c:v>19.1015099816758</c:v>
                </c:pt>
                <c:pt idx="6">
                  <c:v>15.766325699160982</c:v>
                </c:pt>
                <c:pt idx="7">
                  <c:v>46.658891225081092</c:v>
                </c:pt>
                <c:pt idx="8">
                  <c:v>31.162075366931408</c:v>
                </c:pt>
                <c:pt idx="9">
                  <c:v>83.817560554513932</c:v>
                </c:pt>
                <c:pt idx="10">
                  <c:v>89.948909437520939</c:v>
                </c:pt>
                <c:pt idx="11">
                  <c:v>126.77069146568962</c:v>
                </c:pt>
                <c:pt idx="12">
                  <c:v>102.14422974328225</c:v>
                </c:pt>
                <c:pt idx="13">
                  <c:v>105.29143759365785</c:v>
                </c:pt>
                <c:pt idx="14">
                  <c:v>137.14941607853302</c:v>
                </c:pt>
                <c:pt idx="15">
                  <c:v>90.275517687497725</c:v>
                </c:pt>
                <c:pt idx="16">
                  <c:v>152.38693225250509</c:v>
                </c:pt>
                <c:pt idx="17">
                  <c:v>214.41233396831743</c:v>
                </c:pt>
                <c:pt idx="18">
                  <c:v>57.734845464983444</c:v>
                </c:pt>
                <c:pt idx="19">
                  <c:v>66.397919177474037</c:v>
                </c:pt>
                <c:pt idx="20">
                  <c:v>184.76689971813164</c:v>
                </c:pt>
                <c:pt idx="21">
                  <c:v>542.1232986445649</c:v>
                </c:pt>
                <c:pt idx="22">
                  <c:v>212.0269735439571</c:v>
                </c:pt>
                <c:pt idx="23">
                  <c:v>167.53341510599844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6-48B0-801B-687E9CE62541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harvest'!$AB$3:$AB$26</c:f>
                <c:numCache>
                  <c:formatCode>General</c:formatCode>
                  <c:ptCount val="24"/>
                  <c:pt idx="0">
                    <c:v>29.333523667698945</c:v>
                  </c:pt>
                  <c:pt idx="1">
                    <c:v>31.704017923435543</c:v>
                  </c:pt>
                  <c:pt idx="2">
                    <c:v>78.008512018884048</c:v>
                  </c:pt>
                  <c:pt idx="3">
                    <c:v>27.338487782234335</c:v>
                  </c:pt>
                  <c:pt idx="4">
                    <c:v>20.56169871478323</c:v>
                  </c:pt>
                  <c:pt idx="5">
                    <c:v>32.69676811348468</c:v>
                  </c:pt>
                  <c:pt idx="6">
                    <c:v>40.365508724981609</c:v>
                  </c:pt>
                  <c:pt idx="7">
                    <c:v>80.480698963253218</c:v>
                  </c:pt>
                  <c:pt idx="8">
                    <c:v>38.625399802128527</c:v>
                  </c:pt>
                  <c:pt idx="9">
                    <c:v>103.89188617048194</c:v>
                  </c:pt>
                  <c:pt idx="10">
                    <c:v>111.4916945639818</c:v>
                  </c:pt>
                  <c:pt idx="11">
                    <c:v>157.13230211395637</c:v>
                  </c:pt>
                  <c:pt idx="12">
                    <c:v>126.60779697303101</c:v>
                  </c:pt>
                  <c:pt idx="13">
                    <c:v>124.96578427901811</c:v>
                  </c:pt>
                  <c:pt idx="14">
                    <c:v>146.96693576059465</c:v>
                  </c:pt>
                  <c:pt idx="15">
                    <c:v>100.77954862282134</c:v>
                  </c:pt>
                  <c:pt idx="16">
                    <c:v>152.59520946935021</c:v>
                  </c:pt>
                  <c:pt idx="17">
                    <c:v>283.18925926722591</c:v>
                  </c:pt>
                  <c:pt idx="18">
                    <c:v>70.124976762088153</c:v>
                  </c:pt>
                  <c:pt idx="19">
                    <c:v>82.735169171846536</c:v>
                  </c:pt>
                  <c:pt idx="20">
                    <c:v>187.88098499307566</c:v>
                  </c:pt>
                  <c:pt idx="21">
                    <c:v>544.2097184831664</c:v>
                  </c:pt>
                  <c:pt idx="22">
                    <c:v>213.37161759819543</c:v>
                  </c:pt>
                  <c:pt idx="23">
                    <c:v>164.2056411856158</c:v>
                  </c:pt>
                </c:numCache>
              </c:numRef>
            </c:plus>
            <c:minus>
              <c:numRef>
                <c:f>'YE harvest'!$AB$3:$AB$26</c:f>
                <c:numCache>
                  <c:formatCode>General</c:formatCode>
                  <c:ptCount val="24"/>
                  <c:pt idx="0">
                    <c:v>29.333523667698945</c:v>
                  </c:pt>
                  <c:pt idx="1">
                    <c:v>31.704017923435543</c:v>
                  </c:pt>
                  <c:pt idx="2">
                    <c:v>78.008512018884048</c:v>
                  </c:pt>
                  <c:pt idx="3">
                    <c:v>27.338487782234335</c:v>
                  </c:pt>
                  <c:pt idx="4">
                    <c:v>20.56169871478323</c:v>
                  </c:pt>
                  <c:pt idx="5">
                    <c:v>32.69676811348468</c:v>
                  </c:pt>
                  <c:pt idx="6">
                    <c:v>40.365508724981609</c:v>
                  </c:pt>
                  <c:pt idx="7">
                    <c:v>80.480698963253218</c:v>
                  </c:pt>
                  <c:pt idx="8">
                    <c:v>38.625399802128527</c:v>
                  </c:pt>
                  <c:pt idx="9">
                    <c:v>103.89188617048194</c:v>
                  </c:pt>
                  <c:pt idx="10">
                    <c:v>111.4916945639818</c:v>
                  </c:pt>
                  <c:pt idx="11">
                    <c:v>157.13230211395637</c:v>
                  </c:pt>
                  <c:pt idx="12">
                    <c:v>126.60779697303101</c:v>
                  </c:pt>
                  <c:pt idx="13">
                    <c:v>124.96578427901811</c:v>
                  </c:pt>
                  <c:pt idx="14">
                    <c:v>146.96693576059465</c:v>
                  </c:pt>
                  <c:pt idx="15">
                    <c:v>100.77954862282134</c:v>
                  </c:pt>
                  <c:pt idx="16">
                    <c:v>152.59520946935021</c:v>
                  </c:pt>
                  <c:pt idx="17">
                    <c:v>283.18925926722591</c:v>
                  </c:pt>
                  <c:pt idx="18">
                    <c:v>70.124976762088153</c:v>
                  </c:pt>
                  <c:pt idx="19">
                    <c:v>82.735169171846536</c:v>
                  </c:pt>
                  <c:pt idx="20">
                    <c:v>187.88098499307566</c:v>
                  </c:pt>
                  <c:pt idx="21">
                    <c:v>544.2097184831664</c:v>
                  </c:pt>
                  <c:pt idx="22">
                    <c:v>213.37161759819543</c:v>
                  </c:pt>
                  <c:pt idx="23">
                    <c:v>164.2056411856158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'YE harvest'!$Y$3:$Y$26</c:f>
              <c:numCache>
                <c:formatCode>_(* #,##0_);_(* \(#,##0\);_(* "-"??_);_(@_)</c:formatCode>
                <c:ptCount val="24"/>
                <c:pt idx="0">
                  <c:v>77.850345010307606</c:v>
                </c:pt>
                <c:pt idx="1">
                  <c:v>80.882330721684724</c:v>
                </c:pt>
                <c:pt idx="2">
                  <c:v>185.51258643517667</c:v>
                </c:pt>
                <c:pt idx="3">
                  <c:v>60.580692802777314</c:v>
                </c:pt>
                <c:pt idx="4">
                  <c:v>51.244853238404033</c:v>
                </c:pt>
                <c:pt idx="5">
                  <c:v>80.002362419040935</c:v>
                </c:pt>
                <c:pt idx="6">
                  <c:v>111.15320301069673</c:v>
                </c:pt>
                <c:pt idx="7">
                  <c:v>197.81040450336081</c:v>
                </c:pt>
                <c:pt idx="8">
                  <c:v>164.16207536693142</c:v>
                </c:pt>
                <c:pt idx="9">
                  <c:v>300.81756055451393</c:v>
                </c:pt>
                <c:pt idx="10">
                  <c:v>598.94890943752091</c:v>
                </c:pt>
                <c:pt idx="11">
                  <c:v>592.77069146568965</c:v>
                </c:pt>
                <c:pt idx="12">
                  <c:v>450.14422974328227</c:v>
                </c:pt>
                <c:pt idx="13">
                  <c:v>490.29143759365786</c:v>
                </c:pt>
                <c:pt idx="14">
                  <c:v>548.14941607853302</c:v>
                </c:pt>
                <c:pt idx="15">
                  <c:v>472.27551768749771</c:v>
                </c:pt>
                <c:pt idx="16">
                  <c:v>586.38693225250506</c:v>
                </c:pt>
                <c:pt idx="17">
                  <c:v>635.4123339683174</c:v>
                </c:pt>
                <c:pt idx="18">
                  <c:v>601.73484546498344</c:v>
                </c:pt>
                <c:pt idx="19">
                  <c:v>482.39791917747402</c:v>
                </c:pt>
                <c:pt idx="20">
                  <c:v>633.76689971813164</c:v>
                </c:pt>
                <c:pt idx="21">
                  <c:v>1261.1232986445648</c:v>
                </c:pt>
                <c:pt idx="22">
                  <c:v>817.02697354395707</c:v>
                </c:pt>
                <c:pt idx="23">
                  <c:v>984.53341510599842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6-48B0-801B-687E9CE62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WKMA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harvest'!$L$28:$L$48</c:f>
                <c:numCache>
                  <c:formatCode>General</c:formatCode>
                  <c:ptCount val="21"/>
                  <c:pt idx="0">
                    <c:v>4.0723847141094698</c:v>
                  </c:pt>
                  <c:pt idx="1">
                    <c:v>0.6568362442112049</c:v>
                  </c:pt>
                  <c:pt idx="2">
                    <c:v>10.246645409694795</c:v>
                  </c:pt>
                  <c:pt idx="3">
                    <c:v>3.1528139722137833</c:v>
                  </c:pt>
                  <c:pt idx="4">
                    <c:v>9.064340170114626</c:v>
                  </c:pt>
                  <c:pt idx="5">
                    <c:v>19.573720077493903</c:v>
                  </c:pt>
                  <c:pt idx="6">
                    <c:v>12.34852139117065</c:v>
                  </c:pt>
                  <c:pt idx="7">
                    <c:v>17.471844096018049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plus>
            <c:minus>
              <c:numRef>
                <c:f>'YE harvest'!$L$28:$L$48</c:f>
                <c:numCache>
                  <c:formatCode>General</c:formatCode>
                  <c:ptCount val="21"/>
                  <c:pt idx="0">
                    <c:v>4.0723847141094698</c:v>
                  </c:pt>
                  <c:pt idx="1">
                    <c:v>0.6568362442112049</c:v>
                  </c:pt>
                  <c:pt idx="2">
                    <c:v>10.246645409694795</c:v>
                  </c:pt>
                  <c:pt idx="3">
                    <c:v>3.1528139722137833</c:v>
                  </c:pt>
                  <c:pt idx="4">
                    <c:v>9.064340170114626</c:v>
                  </c:pt>
                  <c:pt idx="5">
                    <c:v>19.573720077493903</c:v>
                  </c:pt>
                  <c:pt idx="6">
                    <c:v>12.34852139117065</c:v>
                  </c:pt>
                  <c:pt idx="7">
                    <c:v>17.471844096018049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'YE harvest'!$I$28:$I$51</c:f>
              <c:numCache>
                <c:formatCode>_(* #,##0_);_(* \(#,##0\);_(* "-"??_);_(@_)</c:formatCode>
                <c:ptCount val="24"/>
                <c:pt idx="0">
                  <c:v>23.085942649641449</c:v>
                </c:pt>
                <c:pt idx="1">
                  <c:v>3.7235391370389435</c:v>
                </c:pt>
                <c:pt idx="2">
                  <c:v>58.087210537807522</c:v>
                </c:pt>
                <c:pt idx="3">
                  <c:v>17.872987857786931</c:v>
                </c:pt>
                <c:pt idx="4">
                  <c:v>51.38484009113742</c:v>
                </c:pt>
                <c:pt idx="5">
                  <c:v>110.96146628376052</c:v>
                </c:pt>
                <c:pt idx="6">
                  <c:v>70.002535776332138</c:v>
                </c:pt>
                <c:pt idx="7">
                  <c:v>99.046141045235899</c:v>
                </c:pt>
                <c:pt idx="8">
                  <c:v>118</c:v>
                </c:pt>
                <c:pt idx="9">
                  <c:v>242</c:v>
                </c:pt>
                <c:pt idx="10">
                  <c:v>211</c:v>
                </c:pt>
                <c:pt idx="11">
                  <c:v>249</c:v>
                </c:pt>
                <c:pt idx="12">
                  <c:v>317</c:v>
                </c:pt>
                <c:pt idx="13">
                  <c:v>163</c:v>
                </c:pt>
                <c:pt idx="14">
                  <c:v>335</c:v>
                </c:pt>
                <c:pt idx="15">
                  <c:v>279</c:v>
                </c:pt>
                <c:pt idx="16">
                  <c:v>404</c:v>
                </c:pt>
                <c:pt idx="17">
                  <c:v>285</c:v>
                </c:pt>
                <c:pt idx="18">
                  <c:v>588</c:v>
                </c:pt>
                <c:pt idx="19">
                  <c:v>493</c:v>
                </c:pt>
                <c:pt idx="20">
                  <c:v>540</c:v>
                </c:pt>
                <c:pt idx="21">
                  <c:v>1037</c:v>
                </c:pt>
                <c:pt idx="22">
                  <c:v>455</c:v>
                </c:pt>
                <c:pt idx="23">
                  <c:v>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1A-4F9E-AE27-68EC24977172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harvest'!$W$28:$W$51</c:f>
                <c:numCache>
                  <c:formatCode>General</c:formatCode>
                  <c:ptCount val="24"/>
                  <c:pt idx="0">
                    <c:v>8.9813927794061641</c:v>
                  </c:pt>
                  <c:pt idx="1">
                    <c:v>13.836199687193281</c:v>
                  </c:pt>
                  <c:pt idx="2">
                    <c:v>23.424443330072837</c:v>
                  </c:pt>
                  <c:pt idx="3">
                    <c:v>71.72977206255463</c:v>
                  </c:pt>
                  <c:pt idx="4">
                    <c:v>53.40287598565827</c:v>
                  </c:pt>
                  <c:pt idx="5">
                    <c:v>67.178390586504207</c:v>
                  </c:pt>
                  <c:pt idx="6">
                    <c:v>49.154919941344552</c:v>
                  </c:pt>
                  <c:pt idx="7">
                    <c:v>76.827319315731103</c:v>
                  </c:pt>
                  <c:pt idx="8">
                    <c:v>44.724908637988804</c:v>
                  </c:pt>
                  <c:pt idx="9">
                    <c:v>99.826967041372569</c:v>
                  </c:pt>
                  <c:pt idx="10">
                    <c:v>72.579363271417378</c:v>
                  </c:pt>
                  <c:pt idx="11">
                    <c:v>112.20672465622971</c:v>
                  </c:pt>
                  <c:pt idx="12">
                    <c:v>76.827319315731103</c:v>
                  </c:pt>
                  <c:pt idx="13">
                    <c:v>76.981769478926978</c:v>
                  </c:pt>
                  <c:pt idx="14">
                    <c:v>222.85978846669252</c:v>
                  </c:pt>
                  <c:pt idx="15">
                    <c:v>90.033402063381516</c:v>
                  </c:pt>
                  <c:pt idx="16">
                    <c:v>170.19283670261277</c:v>
                  </c:pt>
                  <c:pt idx="17">
                    <c:v>273.35424256823956</c:v>
                  </c:pt>
                  <c:pt idx="18">
                    <c:v>55.669864424801474</c:v>
                  </c:pt>
                  <c:pt idx="19">
                    <c:v>185.12524670515236</c:v>
                  </c:pt>
                  <c:pt idx="20">
                    <c:v>133.26604365586357</c:v>
                  </c:pt>
                  <c:pt idx="21">
                    <c:v>694.90053252505061</c:v>
                  </c:pt>
                  <c:pt idx="22">
                    <c:v>132.03824775796107</c:v>
                  </c:pt>
                  <c:pt idx="23">
                    <c:v>183.00469406175208</c:v>
                  </c:pt>
                </c:numCache>
              </c:numRef>
            </c:plus>
            <c:minus>
              <c:numRef>
                <c:f>'YE harvest'!$W$28:$W$51</c:f>
                <c:numCache>
                  <c:formatCode>General</c:formatCode>
                  <c:ptCount val="24"/>
                  <c:pt idx="0">
                    <c:v>8.9813927794061641</c:v>
                  </c:pt>
                  <c:pt idx="1">
                    <c:v>13.836199687193281</c:v>
                  </c:pt>
                  <c:pt idx="2">
                    <c:v>23.424443330072837</c:v>
                  </c:pt>
                  <c:pt idx="3">
                    <c:v>71.72977206255463</c:v>
                  </c:pt>
                  <c:pt idx="4">
                    <c:v>53.40287598565827</c:v>
                  </c:pt>
                  <c:pt idx="5">
                    <c:v>67.178390586504207</c:v>
                  </c:pt>
                  <c:pt idx="6">
                    <c:v>49.154919941344552</c:v>
                  </c:pt>
                  <c:pt idx="7">
                    <c:v>76.827319315731103</c:v>
                  </c:pt>
                  <c:pt idx="8">
                    <c:v>44.724908637988804</c:v>
                  </c:pt>
                  <c:pt idx="9">
                    <c:v>99.826967041372569</c:v>
                  </c:pt>
                  <c:pt idx="10">
                    <c:v>72.579363271417378</c:v>
                  </c:pt>
                  <c:pt idx="11">
                    <c:v>112.20672465622971</c:v>
                  </c:pt>
                  <c:pt idx="12">
                    <c:v>76.827319315731103</c:v>
                  </c:pt>
                  <c:pt idx="13">
                    <c:v>76.981769478926978</c:v>
                  </c:pt>
                  <c:pt idx="14">
                    <c:v>222.85978846669252</c:v>
                  </c:pt>
                  <c:pt idx="15">
                    <c:v>90.033402063381516</c:v>
                  </c:pt>
                  <c:pt idx="16">
                    <c:v>170.19283670261277</c:v>
                  </c:pt>
                  <c:pt idx="17">
                    <c:v>273.35424256823956</c:v>
                  </c:pt>
                  <c:pt idx="18">
                    <c:v>55.669864424801474</c:v>
                  </c:pt>
                  <c:pt idx="19">
                    <c:v>185.12524670515236</c:v>
                  </c:pt>
                  <c:pt idx="20">
                    <c:v>133.26604365586357</c:v>
                  </c:pt>
                  <c:pt idx="21">
                    <c:v>694.90053252505061</c:v>
                  </c:pt>
                  <c:pt idx="22">
                    <c:v>132.03824775796107</c:v>
                  </c:pt>
                  <c:pt idx="23">
                    <c:v>183.00469406175208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'YE harvest'!$T$28:$T$51</c:f>
              <c:numCache>
                <c:formatCode>_(* #,##0_);_(* \(#,##0\);_(* "-"??_);_(@_)</c:formatCode>
                <c:ptCount val="24"/>
                <c:pt idx="0">
                  <c:v>6.9005633726693292</c:v>
                </c:pt>
                <c:pt idx="1">
                  <c:v>10.630597628166262</c:v>
                </c:pt>
                <c:pt idx="2">
                  <c:v>17.99741528277271</c:v>
                </c:pt>
                <c:pt idx="3">
                  <c:v>55.111256124967198</c:v>
                </c:pt>
                <c:pt idx="4">
                  <c:v>41.030376810466272</c:v>
                </c:pt>
                <c:pt idx="5">
                  <c:v>51.614349010438843</c:v>
                </c:pt>
                <c:pt idx="6">
                  <c:v>37.766596836906466</c:v>
                </c:pt>
                <c:pt idx="7">
                  <c:v>59.027792093238972</c:v>
                </c:pt>
                <c:pt idx="8">
                  <c:v>34.362940578765517</c:v>
                </c:pt>
                <c:pt idx="9">
                  <c:v>76.698829378655731</c:v>
                </c:pt>
                <c:pt idx="10">
                  <c:v>55.764012119679165</c:v>
                </c:pt>
                <c:pt idx="11">
                  <c:v>86.210416730172895</c:v>
                </c:pt>
                <c:pt idx="12">
                  <c:v>59.027792093238972</c:v>
                </c:pt>
                <c:pt idx="13">
                  <c:v>51.918950826143202</c:v>
                </c:pt>
                <c:pt idx="14">
                  <c:v>181.81539192910776</c:v>
                </c:pt>
                <c:pt idx="15">
                  <c:v>64.979324958340655</c:v>
                </c:pt>
                <c:pt idx="16">
                  <c:v>130.43586055747915</c:v>
                </c:pt>
                <c:pt idx="17">
                  <c:v>149.45960855329838</c:v>
                </c:pt>
                <c:pt idx="18">
                  <c:v>47.709168003408557</c:v>
                </c:pt>
                <c:pt idx="19">
                  <c:v>161.31425172921314</c:v>
                </c:pt>
                <c:pt idx="20">
                  <c:v>111.27882351697248</c:v>
                </c:pt>
                <c:pt idx="21">
                  <c:v>731.11973556145676</c:v>
                </c:pt>
                <c:pt idx="22">
                  <c:v>120.2638771940605</c:v>
                </c:pt>
                <c:pt idx="23">
                  <c:v>190.16196864297049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1A-4F9E-AE27-68EC24977172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harvest'!$AB$28:$AB$51</c:f>
                <c:numCache>
                  <c:formatCode>General</c:formatCode>
                  <c:ptCount val="24"/>
                  <c:pt idx="0">
                    <c:v>9.8615279504588766</c:v>
                  </c:pt>
                  <c:pt idx="1">
                    <c:v>13.851781677300465</c:v>
                  </c:pt>
                  <c:pt idx="2">
                    <c:v>25.567524077935531</c:v>
                  </c:pt>
                  <c:pt idx="3">
                    <c:v>71.799028099894429</c:v>
                  </c:pt>
                  <c:pt idx="4">
                    <c:v>54.166681883415663</c:v>
                  </c:pt>
                  <c:pt idx="5">
                    <c:v>69.97189921293409</c:v>
                  </c:pt>
                  <c:pt idx="6">
                    <c:v>50.682266474460185</c:v>
                  </c:pt>
                  <c:pt idx="7">
                    <c:v>78.788973399561883</c:v>
                  </c:pt>
                  <c:pt idx="8">
                    <c:v>44.724908637988804</c:v>
                  </c:pt>
                  <c:pt idx="9">
                    <c:v>99.826967041372569</c:v>
                  </c:pt>
                  <c:pt idx="10">
                    <c:v>72.579363271417378</c:v>
                  </c:pt>
                  <c:pt idx="11">
                    <c:v>112.20672465622971</c:v>
                  </c:pt>
                  <c:pt idx="12">
                    <c:v>76.827319315731103</c:v>
                  </c:pt>
                  <c:pt idx="13">
                    <c:v>76.981769478926978</c:v>
                  </c:pt>
                  <c:pt idx="14">
                    <c:v>222.85978846669252</c:v>
                  </c:pt>
                  <c:pt idx="15">
                    <c:v>90.033402063381516</c:v>
                  </c:pt>
                  <c:pt idx="16">
                    <c:v>170.19283670261277</c:v>
                  </c:pt>
                  <c:pt idx="17">
                    <c:v>273.35424256823956</c:v>
                  </c:pt>
                  <c:pt idx="18">
                    <c:v>55.669864424801474</c:v>
                  </c:pt>
                  <c:pt idx="19">
                    <c:v>185.12524670515236</c:v>
                  </c:pt>
                  <c:pt idx="20">
                    <c:v>133.26604365586357</c:v>
                  </c:pt>
                  <c:pt idx="21">
                    <c:v>694.90053252505061</c:v>
                  </c:pt>
                  <c:pt idx="22">
                    <c:v>132.03824775796107</c:v>
                  </c:pt>
                  <c:pt idx="23">
                    <c:v>183.00469406175208</c:v>
                  </c:pt>
                </c:numCache>
              </c:numRef>
            </c:plus>
            <c:minus>
              <c:numRef>
                <c:f>'YE harvest'!$AB$28:$AB$51</c:f>
                <c:numCache>
                  <c:formatCode>General</c:formatCode>
                  <c:ptCount val="24"/>
                  <c:pt idx="0">
                    <c:v>9.8615279504588766</c:v>
                  </c:pt>
                  <c:pt idx="1">
                    <c:v>13.851781677300465</c:v>
                  </c:pt>
                  <c:pt idx="2">
                    <c:v>25.567524077935531</c:v>
                  </c:pt>
                  <c:pt idx="3">
                    <c:v>71.799028099894429</c:v>
                  </c:pt>
                  <c:pt idx="4">
                    <c:v>54.166681883415663</c:v>
                  </c:pt>
                  <c:pt idx="5">
                    <c:v>69.97189921293409</c:v>
                  </c:pt>
                  <c:pt idx="6">
                    <c:v>50.682266474460185</c:v>
                  </c:pt>
                  <c:pt idx="7">
                    <c:v>78.788973399561883</c:v>
                  </c:pt>
                  <c:pt idx="8">
                    <c:v>44.724908637988804</c:v>
                  </c:pt>
                  <c:pt idx="9">
                    <c:v>99.826967041372569</c:v>
                  </c:pt>
                  <c:pt idx="10">
                    <c:v>72.579363271417378</c:v>
                  </c:pt>
                  <c:pt idx="11">
                    <c:v>112.20672465622971</c:v>
                  </c:pt>
                  <c:pt idx="12">
                    <c:v>76.827319315731103</c:v>
                  </c:pt>
                  <c:pt idx="13">
                    <c:v>76.981769478926978</c:v>
                  </c:pt>
                  <c:pt idx="14">
                    <c:v>222.85978846669252</c:v>
                  </c:pt>
                  <c:pt idx="15">
                    <c:v>90.033402063381516</c:v>
                  </c:pt>
                  <c:pt idx="16">
                    <c:v>170.19283670261277</c:v>
                  </c:pt>
                  <c:pt idx="17">
                    <c:v>273.35424256823956</c:v>
                  </c:pt>
                  <c:pt idx="18">
                    <c:v>55.669864424801474</c:v>
                  </c:pt>
                  <c:pt idx="19">
                    <c:v>185.12524670515236</c:v>
                  </c:pt>
                  <c:pt idx="20">
                    <c:v>133.26604365586357</c:v>
                  </c:pt>
                  <c:pt idx="21">
                    <c:v>694.90053252505061</c:v>
                  </c:pt>
                  <c:pt idx="22">
                    <c:v>132.03824775796107</c:v>
                  </c:pt>
                  <c:pt idx="23">
                    <c:v>183.00469406175208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'YE harvest'!$Y$28:$Y$51</c:f>
              <c:numCache>
                <c:formatCode>_(* #,##0_);_(* \(#,##0\);_(* "-"??_);_(@_)</c:formatCode>
                <c:ptCount val="24"/>
                <c:pt idx="0">
                  <c:v>29.986506022310778</c:v>
                </c:pt>
                <c:pt idx="1">
                  <c:v>14.354136765205205</c:v>
                </c:pt>
                <c:pt idx="2">
                  <c:v>76.084625820580229</c:v>
                </c:pt>
                <c:pt idx="3">
                  <c:v>72.984243982754123</c:v>
                </c:pt>
                <c:pt idx="4">
                  <c:v>92.415216901603685</c:v>
                </c:pt>
                <c:pt idx="5">
                  <c:v>162.57581529419934</c:v>
                </c:pt>
                <c:pt idx="6">
                  <c:v>107.76913261323861</c:v>
                </c:pt>
                <c:pt idx="7">
                  <c:v>158.07393313847487</c:v>
                </c:pt>
                <c:pt idx="8">
                  <c:v>152.36294057876552</c:v>
                </c:pt>
                <c:pt idx="9">
                  <c:v>318.69882937865572</c:v>
                </c:pt>
                <c:pt idx="10">
                  <c:v>266.76401211967914</c:v>
                </c:pt>
                <c:pt idx="11">
                  <c:v>335.21041673017288</c:v>
                </c:pt>
                <c:pt idx="12">
                  <c:v>376.02779209323899</c:v>
                </c:pt>
                <c:pt idx="13">
                  <c:v>214.9189508261432</c:v>
                </c:pt>
                <c:pt idx="14">
                  <c:v>516.81539192910782</c:v>
                </c:pt>
                <c:pt idx="15">
                  <c:v>343.97932495834067</c:v>
                </c:pt>
                <c:pt idx="16">
                  <c:v>534.43586055747915</c:v>
                </c:pt>
                <c:pt idx="17">
                  <c:v>434.45960855329838</c:v>
                </c:pt>
                <c:pt idx="18">
                  <c:v>635.70916800340854</c:v>
                </c:pt>
                <c:pt idx="19">
                  <c:v>654.31425172921308</c:v>
                </c:pt>
                <c:pt idx="20">
                  <c:v>651.27882351697247</c:v>
                </c:pt>
                <c:pt idx="21">
                  <c:v>1768.1197355614568</c:v>
                </c:pt>
                <c:pt idx="22">
                  <c:v>575.26387719406046</c:v>
                </c:pt>
                <c:pt idx="23">
                  <c:v>944.16196864297046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1A-4F9E-AE27-68EC24977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SKMA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harvest'!$L$53:$L$75</c:f>
                <c:numCache>
                  <c:formatCode>General</c:formatCode>
                  <c:ptCount val="23"/>
                  <c:pt idx="0">
                    <c:v>2.3707227865343263</c:v>
                  </c:pt>
                  <c:pt idx="1">
                    <c:v>7.1121683596029799</c:v>
                  </c:pt>
                  <c:pt idx="2">
                    <c:v>28.44867343841192</c:v>
                  </c:pt>
                  <c:pt idx="3">
                    <c:v>9.0087465888304408</c:v>
                  </c:pt>
                  <c:pt idx="4">
                    <c:v>5.215590130375519</c:v>
                  </c:pt>
                  <c:pt idx="5">
                    <c:v>18.965782292274611</c:v>
                  </c:pt>
                  <c:pt idx="6">
                    <c:v>19.439926849581479</c:v>
                  </c:pt>
                  <c:pt idx="7">
                    <c:v>75.388984611791585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</c:numCache>
              </c:numRef>
            </c:plus>
            <c:minus>
              <c:numRef>
                <c:f>'YE harvest'!$L$53:$L$75</c:f>
                <c:numCache>
                  <c:formatCode>General</c:formatCode>
                  <c:ptCount val="23"/>
                  <c:pt idx="0">
                    <c:v>2.3707227865343263</c:v>
                  </c:pt>
                  <c:pt idx="1">
                    <c:v>7.1121683596029799</c:v>
                  </c:pt>
                  <c:pt idx="2">
                    <c:v>28.44867343841192</c:v>
                  </c:pt>
                  <c:pt idx="3">
                    <c:v>9.0087465888304408</c:v>
                  </c:pt>
                  <c:pt idx="4">
                    <c:v>5.215590130375519</c:v>
                  </c:pt>
                  <c:pt idx="5">
                    <c:v>18.965782292274611</c:v>
                  </c:pt>
                  <c:pt idx="6">
                    <c:v>19.439926849581479</c:v>
                  </c:pt>
                  <c:pt idx="7">
                    <c:v>75.388984611791585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'YE harvest'!$I$53:$I$76</c:f>
              <c:numCache>
                <c:formatCode>_(* #,##0_);_(* \(#,##0\);_(* "-"??_);_(@_)</c:formatCode>
                <c:ptCount val="24"/>
                <c:pt idx="0">
                  <c:v>3.5239381306382493</c:v>
                </c:pt>
                <c:pt idx="1">
                  <c:v>10.571814391914748</c:v>
                </c:pt>
                <c:pt idx="2">
                  <c:v>42.28725756765899</c:v>
                </c:pt>
                <c:pt idx="3">
                  <c:v>13.390964896425348</c:v>
                </c:pt>
                <c:pt idx="4">
                  <c:v>7.7526638874041485</c:v>
                </c:pt>
                <c:pt idx="5">
                  <c:v>28.191505045105995</c:v>
                </c:pt>
                <c:pt idx="6">
                  <c:v>28.896292671233645</c:v>
                </c:pt>
                <c:pt idx="7">
                  <c:v>112.06123255429634</c:v>
                </c:pt>
                <c:pt idx="8">
                  <c:v>69</c:v>
                </c:pt>
                <c:pt idx="9">
                  <c:v>157</c:v>
                </c:pt>
                <c:pt idx="10">
                  <c:v>59</c:v>
                </c:pt>
                <c:pt idx="11">
                  <c:v>76</c:v>
                </c:pt>
                <c:pt idx="12">
                  <c:v>80</c:v>
                </c:pt>
                <c:pt idx="13">
                  <c:v>77</c:v>
                </c:pt>
                <c:pt idx="14">
                  <c:v>107</c:v>
                </c:pt>
                <c:pt idx="15">
                  <c:v>113</c:v>
                </c:pt>
                <c:pt idx="16">
                  <c:v>49</c:v>
                </c:pt>
                <c:pt idx="17">
                  <c:v>68</c:v>
                </c:pt>
                <c:pt idx="18">
                  <c:v>88</c:v>
                </c:pt>
                <c:pt idx="19">
                  <c:v>51</c:v>
                </c:pt>
                <c:pt idx="20">
                  <c:v>71</c:v>
                </c:pt>
                <c:pt idx="21">
                  <c:v>120</c:v>
                </c:pt>
                <c:pt idx="22">
                  <c:v>46</c:v>
                </c:pt>
                <c:pt idx="23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C1-45CA-9CC1-1CE8491C5A98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harvest'!$W$53:$W$76</c:f>
                <c:numCache>
                  <c:formatCode>General</c:formatCode>
                  <c:ptCount val="24"/>
                  <c:pt idx="0">
                    <c:v>1.308547598789142</c:v>
                  </c:pt>
                  <c:pt idx="1">
                    <c:v>4.2648958775349826</c:v>
                  </c:pt>
                  <c:pt idx="2">
                    <c:v>3.1502071822701567</c:v>
                  </c:pt>
                  <c:pt idx="3">
                    <c:v>1.308547598789142</c:v>
                  </c:pt>
                  <c:pt idx="4">
                    <c:v>4.7980078622268545</c:v>
                  </c:pt>
                  <c:pt idx="5">
                    <c:v>6.9789205268754255</c:v>
                  </c:pt>
                  <c:pt idx="6">
                    <c:v>9.6929451762158685</c:v>
                  </c:pt>
                  <c:pt idx="7">
                    <c:v>13.909376327869772</c:v>
                  </c:pt>
                  <c:pt idx="8">
                    <c:v>14.684811941967039</c:v>
                  </c:pt>
                  <c:pt idx="9">
                    <c:v>55.637505311479089</c:v>
                  </c:pt>
                  <c:pt idx="10">
                    <c:v>54.765140245619662</c:v>
                  </c:pt>
                  <c:pt idx="11">
                    <c:v>39.25642796367427</c:v>
                  </c:pt>
                  <c:pt idx="12">
                    <c:v>31.211283467415093</c:v>
                  </c:pt>
                  <c:pt idx="13">
                    <c:v>30.106393298382038</c:v>
                  </c:pt>
                  <c:pt idx="14">
                    <c:v>93.556690560533397</c:v>
                  </c:pt>
                  <c:pt idx="15">
                    <c:v>36.785661364239836</c:v>
                  </c:pt>
                  <c:pt idx="16">
                    <c:v>36.654700998937052</c:v>
                  </c:pt>
                  <c:pt idx="17">
                    <c:v>63.105968053535612</c:v>
                  </c:pt>
                  <c:pt idx="18">
                    <c:v>17.447935734028935</c:v>
                  </c:pt>
                  <c:pt idx="19">
                    <c:v>36.94355623264898</c:v>
                  </c:pt>
                  <c:pt idx="20">
                    <c:v>17.897195790221488</c:v>
                  </c:pt>
                  <c:pt idx="21">
                    <c:v>46.980173641611593</c:v>
                  </c:pt>
                  <c:pt idx="22">
                    <c:v>8.5697501597898249</c:v>
                  </c:pt>
                  <c:pt idx="23">
                    <c:v>32.991397397394358</c:v>
                  </c:pt>
                </c:numCache>
              </c:numRef>
            </c:plus>
            <c:minus>
              <c:numRef>
                <c:f>'YE harvest'!$W$53:$W$76</c:f>
                <c:numCache>
                  <c:formatCode>General</c:formatCode>
                  <c:ptCount val="24"/>
                  <c:pt idx="0">
                    <c:v>1.308547598789142</c:v>
                  </c:pt>
                  <c:pt idx="1">
                    <c:v>4.2648958775349826</c:v>
                  </c:pt>
                  <c:pt idx="2">
                    <c:v>3.1502071822701567</c:v>
                  </c:pt>
                  <c:pt idx="3">
                    <c:v>1.308547598789142</c:v>
                  </c:pt>
                  <c:pt idx="4">
                    <c:v>4.7980078622268545</c:v>
                  </c:pt>
                  <c:pt idx="5">
                    <c:v>6.9789205268754255</c:v>
                  </c:pt>
                  <c:pt idx="6">
                    <c:v>9.6929451762158685</c:v>
                  </c:pt>
                  <c:pt idx="7">
                    <c:v>13.909376327869772</c:v>
                  </c:pt>
                  <c:pt idx="8">
                    <c:v>14.684811941967039</c:v>
                  </c:pt>
                  <c:pt idx="9">
                    <c:v>55.637505311479089</c:v>
                  </c:pt>
                  <c:pt idx="10">
                    <c:v>54.765140245619662</c:v>
                  </c:pt>
                  <c:pt idx="11">
                    <c:v>39.25642796367427</c:v>
                  </c:pt>
                  <c:pt idx="12">
                    <c:v>31.211283467415093</c:v>
                  </c:pt>
                  <c:pt idx="13">
                    <c:v>30.106393298382038</c:v>
                  </c:pt>
                  <c:pt idx="14">
                    <c:v>93.556690560533397</c:v>
                  </c:pt>
                  <c:pt idx="15">
                    <c:v>36.785661364239836</c:v>
                  </c:pt>
                  <c:pt idx="16">
                    <c:v>36.654700998937052</c:v>
                  </c:pt>
                  <c:pt idx="17">
                    <c:v>63.105968053535612</c:v>
                  </c:pt>
                  <c:pt idx="18">
                    <c:v>17.447935734028935</c:v>
                  </c:pt>
                  <c:pt idx="19">
                    <c:v>36.94355623264898</c:v>
                  </c:pt>
                  <c:pt idx="20">
                    <c:v>17.897195790221488</c:v>
                  </c:pt>
                  <c:pt idx="21">
                    <c:v>46.980173641611593</c:v>
                  </c:pt>
                  <c:pt idx="22">
                    <c:v>8.5697501597898249</c:v>
                  </c:pt>
                  <c:pt idx="23">
                    <c:v>32.991397397394358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'YE harvest'!$T$53:$T$76</c:f>
              <c:numCache>
                <c:formatCode>_(* #,##0_);_(* \(#,##0\);_(* "-"??_);_(@_)</c:formatCode>
                <c:ptCount val="24"/>
                <c:pt idx="0">
                  <c:v>0.88292599384803783</c:v>
                </c:pt>
                <c:pt idx="1">
                  <c:v>2.8776847206899019</c:v>
                </c:pt>
                <c:pt idx="2">
                  <c:v>2.1255625777823126</c:v>
                </c:pt>
                <c:pt idx="3">
                  <c:v>0.88292599384803783</c:v>
                </c:pt>
                <c:pt idx="4">
                  <c:v>3.2373953107761375</c:v>
                </c:pt>
                <c:pt idx="5">
                  <c:v>4.7089386338562029</c:v>
                </c:pt>
                <c:pt idx="6">
                  <c:v>6.5401925470225013</c:v>
                </c:pt>
                <c:pt idx="7">
                  <c:v>9.3851763049772945</c:v>
                </c:pt>
                <c:pt idx="8">
                  <c:v>9.9083917087390887</c:v>
                </c:pt>
                <c:pt idx="9">
                  <c:v>37.540705219909178</c:v>
                </c:pt>
                <c:pt idx="10">
                  <c:v>36.952087890677149</c:v>
                </c:pt>
                <c:pt idx="11">
                  <c:v>26.487779815441133</c:v>
                </c:pt>
                <c:pt idx="12">
                  <c:v>21.059420001412455</c:v>
                </c:pt>
                <c:pt idx="13">
                  <c:v>18.055865121492566</c:v>
                </c:pt>
                <c:pt idx="14">
                  <c:v>65.872522472831122</c:v>
                </c:pt>
                <c:pt idx="15">
                  <c:v>23.38388693901091</c:v>
                </c:pt>
                <c:pt idx="16">
                  <c:v>24.510222119773431</c:v>
                </c:pt>
                <c:pt idx="17">
                  <c:v>31.40714341836485</c:v>
                </c:pt>
                <c:pt idx="18">
                  <c:v>10.523864388401728</c:v>
                </c:pt>
                <c:pt idx="19">
                  <c:v>25.551866125887283</c:v>
                </c:pt>
                <c:pt idx="20">
                  <c:v>11.997766424517817</c:v>
                </c:pt>
                <c:pt idx="21">
                  <c:v>26.595401047395345</c:v>
                </c:pt>
                <c:pt idx="22">
                  <c:v>6.7368701674422065</c:v>
                </c:pt>
                <c:pt idx="23">
                  <c:v>29.587040608483932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C1-45CA-9CC1-1CE8491C5A98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harvest'!$AB$53:$AB$76</c:f>
                <c:numCache>
                  <c:formatCode>General</c:formatCode>
                  <c:ptCount val="24"/>
                  <c:pt idx="0">
                    <c:v>2.7078817088067035</c:v>
                  </c:pt>
                  <c:pt idx="1">
                    <c:v>8.2929051376193019</c:v>
                  </c:pt>
                  <c:pt idx="2">
                    <c:v>28.622557986606129</c:v>
                  </c:pt>
                  <c:pt idx="3">
                    <c:v>9.1032857760294945</c:v>
                  </c:pt>
                  <c:pt idx="4">
                    <c:v>7.0868370839226449</c:v>
                  </c:pt>
                  <c:pt idx="5">
                    <c:v>20.209063057905489</c:v>
                  </c:pt>
                  <c:pt idx="6">
                    <c:v>21.722429470623336</c:v>
                  </c:pt>
                  <c:pt idx="7">
                    <c:v>76.66139674325828</c:v>
                  </c:pt>
                  <c:pt idx="8">
                    <c:v>14.684811941967039</c:v>
                  </c:pt>
                  <c:pt idx="9">
                    <c:v>55.637505311479089</c:v>
                  </c:pt>
                  <c:pt idx="10">
                    <c:v>54.765140245619662</c:v>
                  </c:pt>
                  <c:pt idx="11">
                    <c:v>39.25642796367427</c:v>
                  </c:pt>
                  <c:pt idx="12">
                    <c:v>31.211283467415093</c:v>
                  </c:pt>
                  <c:pt idx="13">
                    <c:v>30.106393298382038</c:v>
                  </c:pt>
                  <c:pt idx="14">
                    <c:v>93.556690560533397</c:v>
                  </c:pt>
                  <c:pt idx="15">
                    <c:v>36.785661364239836</c:v>
                  </c:pt>
                  <c:pt idx="16">
                    <c:v>36.654700998937052</c:v>
                  </c:pt>
                  <c:pt idx="17">
                    <c:v>63.105968053535612</c:v>
                  </c:pt>
                  <c:pt idx="18">
                    <c:v>17.447935734028935</c:v>
                  </c:pt>
                  <c:pt idx="19">
                    <c:v>36.94355623264898</c:v>
                  </c:pt>
                  <c:pt idx="20">
                    <c:v>17.897195790221488</c:v>
                  </c:pt>
                  <c:pt idx="21">
                    <c:v>46.980173641611593</c:v>
                  </c:pt>
                  <c:pt idx="22">
                    <c:v>8.5697501597898249</c:v>
                  </c:pt>
                  <c:pt idx="23">
                    <c:v>32.991397397394358</c:v>
                  </c:pt>
                </c:numCache>
              </c:numRef>
            </c:plus>
            <c:minus>
              <c:numRef>
                <c:f>'YE harvest'!$AB$53:$AB$76</c:f>
                <c:numCache>
                  <c:formatCode>General</c:formatCode>
                  <c:ptCount val="24"/>
                  <c:pt idx="0">
                    <c:v>2.7078817088067035</c:v>
                  </c:pt>
                  <c:pt idx="1">
                    <c:v>8.2929051376193019</c:v>
                  </c:pt>
                  <c:pt idx="2">
                    <c:v>28.622557986606129</c:v>
                  </c:pt>
                  <c:pt idx="3">
                    <c:v>9.1032857760294945</c:v>
                  </c:pt>
                  <c:pt idx="4">
                    <c:v>7.0868370839226449</c:v>
                  </c:pt>
                  <c:pt idx="5">
                    <c:v>20.209063057905489</c:v>
                  </c:pt>
                  <c:pt idx="6">
                    <c:v>21.722429470623336</c:v>
                  </c:pt>
                  <c:pt idx="7">
                    <c:v>76.66139674325828</c:v>
                  </c:pt>
                  <c:pt idx="8">
                    <c:v>14.684811941967039</c:v>
                  </c:pt>
                  <c:pt idx="9">
                    <c:v>55.637505311479089</c:v>
                  </c:pt>
                  <c:pt idx="10">
                    <c:v>54.765140245619662</c:v>
                  </c:pt>
                  <c:pt idx="11">
                    <c:v>39.25642796367427</c:v>
                  </c:pt>
                  <c:pt idx="12">
                    <c:v>31.211283467415093</c:v>
                  </c:pt>
                  <c:pt idx="13">
                    <c:v>30.106393298382038</c:v>
                  </c:pt>
                  <c:pt idx="14">
                    <c:v>93.556690560533397</c:v>
                  </c:pt>
                  <c:pt idx="15">
                    <c:v>36.785661364239836</c:v>
                  </c:pt>
                  <c:pt idx="16">
                    <c:v>36.654700998937052</c:v>
                  </c:pt>
                  <c:pt idx="17">
                    <c:v>63.105968053535612</c:v>
                  </c:pt>
                  <c:pt idx="18">
                    <c:v>17.447935734028935</c:v>
                  </c:pt>
                  <c:pt idx="19">
                    <c:v>36.94355623264898</c:v>
                  </c:pt>
                  <c:pt idx="20">
                    <c:v>17.897195790221488</c:v>
                  </c:pt>
                  <c:pt idx="21">
                    <c:v>46.980173641611593</c:v>
                  </c:pt>
                  <c:pt idx="22">
                    <c:v>8.5697501597898249</c:v>
                  </c:pt>
                  <c:pt idx="23">
                    <c:v>32.991397397394358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'YE harvest'!$Y$53:$Y$76</c:f>
              <c:numCache>
                <c:formatCode>_(* #,##0_);_(* \(#,##0\);_(* "-"??_);_(@_)</c:formatCode>
                <c:ptCount val="24"/>
                <c:pt idx="0">
                  <c:v>4.4068641244862867</c:v>
                </c:pt>
                <c:pt idx="1">
                  <c:v>13.449499112604649</c:v>
                </c:pt>
                <c:pt idx="2">
                  <c:v>44.412820145441302</c:v>
                </c:pt>
                <c:pt idx="3">
                  <c:v>14.273890890273385</c:v>
                </c:pt>
                <c:pt idx="4">
                  <c:v>10.990059198180287</c:v>
                </c:pt>
                <c:pt idx="5">
                  <c:v>32.900443678962198</c:v>
                </c:pt>
                <c:pt idx="6">
                  <c:v>35.436485218256145</c:v>
                </c:pt>
                <c:pt idx="7">
                  <c:v>121.44640885927363</c:v>
                </c:pt>
                <c:pt idx="8">
                  <c:v>78.908391708739089</c:v>
                </c:pt>
                <c:pt idx="9">
                  <c:v>194.54070521990917</c:v>
                </c:pt>
                <c:pt idx="10">
                  <c:v>95.952087890677149</c:v>
                </c:pt>
                <c:pt idx="11">
                  <c:v>102.48777981544113</c:v>
                </c:pt>
                <c:pt idx="12">
                  <c:v>101.05942000141246</c:v>
                </c:pt>
                <c:pt idx="13">
                  <c:v>95.055865121492559</c:v>
                </c:pt>
                <c:pt idx="14">
                  <c:v>172.87252247283112</c:v>
                </c:pt>
                <c:pt idx="15">
                  <c:v>136.38388693901092</c:v>
                </c:pt>
                <c:pt idx="16">
                  <c:v>73.510222119773431</c:v>
                </c:pt>
                <c:pt idx="17">
                  <c:v>99.407143418364853</c:v>
                </c:pt>
                <c:pt idx="18">
                  <c:v>98.523864388401734</c:v>
                </c:pt>
                <c:pt idx="19">
                  <c:v>76.551866125887287</c:v>
                </c:pt>
                <c:pt idx="20">
                  <c:v>82.99776642451782</c:v>
                </c:pt>
                <c:pt idx="21">
                  <c:v>146.59540104739534</c:v>
                </c:pt>
                <c:pt idx="22">
                  <c:v>52.736870167442206</c:v>
                </c:pt>
                <c:pt idx="23">
                  <c:v>191.58704060848393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C1-45CA-9CC1-1CE8491C5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'rockfish harvests'!$B$2:$B$26</c:f>
            </c:multiLvlStrRef>
          </c:cat>
          <c:val>
            <c:numRef>
              <c:f>'rockfish harvests'!$D$77:$D$101</c:f>
            </c:numRef>
          </c:val>
          <c:smooth val="0"/>
          <c:extLst>
            <c:ext xmlns:c16="http://schemas.microsoft.com/office/drawing/2014/chart" uri="{C3380CC4-5D6E-409C-BE32-E72D297353CC}">
              <c16:uniqueId val="{00000000-2AE5-43B4-A9F0-E0FF2E46C8DD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harvests'!$N$77:$N$100</c:f>
              </c:numRef>
            </c:plus>
            <c:minus>
              <c:numRef>
                <c:f>'rockfish harvests'!$N$77:$N$100</c:f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'rockfish harvests'!$B$2:$B$26</c:f>
            </c:multiLvlStrRef>
          </c:cat>
          <c:val>
            <c:numRef>
              <c:f>'rockfish harvests'!$O$77:$O$101</c:f>
            </c:numRef>
          </c:val>
          <c:smooth val="0"/>
          <c:extLst>
            <c:ext xmlns:c16="http://schemas.microsoft.com/office/drawing/2014/chart" uri="{C3380CC4-5D6E-409C-BE32-E72D297353CC}">
              <c16:uniqueId val="{00000001-2AE5-43B4-A9F0-E0FF2E46C8DD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harvests'!$N$77:$N$100</c:f>
              </c:numRef>
            </c:plus>
            <c:minus>
              <c:numRef>
                <c:f>'rockfish harvests'!$N$77:$N$100</c:f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multiLvlStrRef>
              <c:f>'rockfish harvests'!$B$2:$B$26</c:f>
            </c:multiLvlStrRef>
          </c:cat>
          <c:val>
            <c:numRef>
              <c:f>'rockfish harvests'!$K$77:$K$101</c:f>
            </c:numRef>
          </c:val>
          <c:smooth val="0"/>
          <c:extLst>
            <c:ext xmlns:c16="http://schemas.microsoft.com/office/drawing/2014/chart" uri="{C3380CC4-5D6E-409C-BE32-E72D297353CC}">
              <c16:uniqueId val="{00000002-2AE5-43B4-A9F0-E0FF2E46C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harvest'!$L$78:$L$100</c:f>
                <c:numCache>
                  <c:formatCode>General</c:formatCode>
                  <c:ptCount val="23"/>
                  <c:pt idx="0">
                    <c:v>70.480930619981905</c:v>
                  </c:pt>
                  <c:pt idx="1">
                    <c:v>26.527877945528246</c:v>
                  </c:pt>
                  <c:pt idx="2">
                    <c:v>45.513516083014146</c:v>
                  </c:pt>
                  <c:pt idx="3">
                    <c:v>17.945329198445577</c:v>
                  </c:pt>
                  <c:pt idx="4">
                    <c:v>70.480930619981905</c:v>
                  </c:pt>
                  <c:pt idx="5">
                    <c:v>97.789040269790391</c:v>
                  </c:pt>
                  <c:pt idx="6">
                    <c:v>69.1805444461815</c:v>
                  </c:pt>
                  <c:pt idx="7">
                    <c:v>40.311971387812527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</c:numCache>
              </c:numRef>
            </c:plus>
            <c:minus>
              <c:numRef>
                <c:f>'YE harvest'!$L$78:$L$100</c:f>
                <c:numCache>
                  <c:formatCode>General</c:formatCode>
                  <c:ptCount val="23"/>
                  <c:pt idx="0">
                    <c:v>70.480930619981905</c:v>
                  </c:pt>
                  <c:pt idx="1">
                    <c:v>26.527877945528246</c:v>
                  </c:pt>
                  <c:pt idx="2">
                    <c:v>45.513516083014146</c:v>
                  </c:pt>
                  <c:pt idx="3">
                    <c:v>17.945329198445577</c:v>
                  </c:pt>
                  <c:pt idx="4">
                    <c:v>70.480930619981905</c:v>
                  </c:pt>
                  <c:pt idx="5">
                    <c:v>97.789040269790391</c:v>
                  </c:pt>
                  <c:pt idx="6">
                    <c:v>69.1805444461815</c:v>
                  </c:pt>
                  <c:pt idx="7">
                    <c:v>40.311971387812527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'YE harvest'!$I$78:$I$101</c:f>
              <c:numCache>
                <c:formatCode>_(* #,##0_);_(* \(#,##0\);_(* "-"??_);_(@_)</c:formatCode>
                <c:ptCount val="24"/>
                <c:pt idx="0">
                  <c:v>103.08639953477133</c:v>
                </c:pt>
                <c:pt idx="1">
                  <c:v>38.800047057367813</c:v>
                </c:pt>
                <c:pt idx="2">
                  <c:v>66.568708186660459</c:v>
                </c:pt>
                <c:pt idx="3">
                  <c:v>26.247090656454695</c:v>
                </c:pt>
                <c:pt idx="4">
                  <c:v>103.08639953477133</c:v>
                </c:pt>
                <c:pt idx="5">
                  <c:v>143.02762444676762</c:v>
                </c:pt>
                <c:pt idx="6">
                  <c:v>101.1844364437239</c:v>
                </c:pt>
                <c:pt idx="7">
                  <c:v>58.960855822470691</c:v>
                </c:pt>
                <c:pt idx="8">
                  <c:v>98</c:v>
                </c:pt>
                <c:pt idx="9">
                  <c:v>94</c:v>
                </c:pt>
                <c:pt idx="10">
                  <c:v>96</c:v>
                </c:pt>
                <c:pt idx="11">
                  <c:v>142</c:v>
                </c:pt>
                <c:pt idx="12">
                  <c:v>185</c:v>
                </c:pt>
                <c:pt idx="13">
                  <c:v>174</c:v>
                </c:pt>
                <c:pt idx="14">
                  <c:v>201</c:v>
                </c:pt>
                <c:pt idx="15">
                  <c:v>162</c:v>
                </c:pt>
                <c:pt idx="16">
                  <c:v>94</c:v>
                </c:pt>
                <c:pt idx="17">
                  <c:v>134</c:v>
                </c:pt>
                <c:pt idx="18">
                  <c:v>185</c:v>
                </c:pt>
                <c:pt idx="19">
                  <c:v>391</c:v>
                </c:pt>
                <c:pt idx="20">
                  <c:v>376</c:v>
                </c:pt>
                <c:pt idx="21">
                  <c:v>445</c:v>
                </c:pt>
                <c:pt idx="22">
                  <c:v>250</c:v>
                </c:pt>
                <c:pt idx="23">
                  <c:v>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B-4CD4-9CA7-C4476A365233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harvest'!$W$78:$W$101</c:f>
                <c:numCache>
                  <c:formatCode>General</c:formatCode>
                  <c:ptCount val="24"/>
                  <c:pt idx="0">
                    <c:v>26.704748863636684</c:v>
                  </c:pt>
                  <c:pt idx="1">
                    <c:v>0</c:v>
                  </c:pt>
                  <c:pt idx="2">
                    <c:v>37.612322343150261</c:v>
                  </c:pt>
                  <c:pt idx="3">
                    <c:v>0</c:v>
                  </c:pt>
                  <c:pt idx="4">
                    <c:v>63.887216094293784</c:v>
                  </c:pt>
                  <c:pt idx="5">
                    <c:v>124.20126156598832</c:v>
                  </c:pt>
                  <c:pt idx="6">
                    <c:v>127.23711329797115</c:v>
                  </c:pt>
                  <c:pt idx="7">
                    <c:v>97.120389478920117</c:v>
                  </c:pt>
                  <c:pt idx="8">
                    <c:v>66.170821379413638</c:v>
                  </c:pt>
                  <c:pt idx="9">
                    <c:v>68.749952054372514</c:v>
                  </c:pt>
                  <c:pt idx="10">
                    <c:v>58.111038020167143</c:v>
                  </c:pt>
                  <c:pt idx="11">
                    <c:v>0</c:v>
                  </c:pt>
                  <c:pt idx="12">
                    <c:v>0</c:v>
                  </c:pt>
                  <c:pt idx="13">
                    <c:v>56.075283811624089</c:v>
                  </c:pt>
                  <c:pt idx="14">
                    <c:v>175.91821317844264</c:v>
                  </c:pt>
                  <c:pt idx="15">
                    <c:v>200.6319533347575</c:v>
                  </c:pt>
                  <c:pt idx="16">
                    <c:v>123.79950983195774</c:v>
                  </c:pt>
                  <c:pt idx="17">
                    <c:v>110.27004618169623</c:v>
                  </c:pt>
                  <c:pt idx="18">
                    <c:v>0</c:v>
                  </c:pt>
                  <c:pt idx="19">
                    <c:v>150.24103158320042</c:v>
                  </c:pt>
                  <c:pt idx="20">
                    <c:v>218.55076978786485</c:v>
                  </c:pt>
                  <c:pt idx="21">
                    <c:v>151.52242447284701</c:v>
                  </c:pt>
                  <c:pt idx="22">
                    <c:v>602.97431954095782</c:v>
                  </c:pt>
                  <c:pt idx="23">
                    <c:v>258.52064591671507</c:v>
                  </c:pt>
                </c:numCache>
              </c:numRef>
            </c:plus>
            <c:minus>
              <c:numRef>
                <c:f>'YE harvest'!$W$78:$W$101</c:f>
                <c:numCache>
                  <c:formatCode>General</c:formatCode>
                  <c:ptCount val="24"/>
                  <c:pt idx="0">
                    <c:v>26.704748863636684</c:v>
                  </c:pt>
                  <c:pt idx="1">
                    <c:v>0</c:v>
                  </c:pt>
                  <c:pt idx="2">
                    <c:v>37.612322343150261</c:v>
                  </c:pt>
                  <c:pt idx="3">
                    <c:v>0</c:v>
                  </c:pt>
                  <c:pt idx="4">
                    <c:v>63.887216094293784</c:v>
                  </c:pt>
                  <c:pt idx="5">
                    <c:v>124.20126156598832</c:v>
                  </c:pt>
                  <c:pt idx="6">
                    <c:v>127.23711329797115</c:v>
                  </c:pt>
                  <c:pt idx="7">
                    <c:v>97.120389478920117</c:v>
                  </c:pt>
                  <c:pt idx="8">
                    <c:v>66.170821379413638</c:v>
                  </c:pt>
                  <c:pt idx="9">
                    <c:v>68.749952054372514</c:v>
                  </c:pt>
                  <c:pt idx="10">
                    <c:v>58.111038020167143</c:v>
                  </c:pt>
                  <c:pt idx="11">
                    <c:v>0</c:v>
                  </c:pt>
                  <c:pt idx="12">
                    <c:v>0</c:v>
                  </c:pt>
                  <c:pt idx="13">
                    <c:v>56.075283811624089</c:v>
                  </c:pt>
                  <c:pt idx="14">
                    <c:v>175.91821317844264</c:v>
                  </c:pt>
                  <c:pt idx="15">
                    <c:v>200.6319533347575</c:v>
                  </c:pt>
                  <c:pt idx="16">
                    <c:v>123.79950983195774</c:v>
                  </c:pt>
                  <c:pt idx="17">
                    <c:v>110.27004618169623</c:v>
                  </c:pt>
                  <c:pt idx="18">
                    <c:v>0</c:v>
                  </c:pt>
                  <c:pt idx="19">
                    <c:v>150.24103158320042</c:v>
                  </c:pt>
                  <c:pt idx="20">
                    <c:v>218.55076978786485</c:v>
                  </c:pt>
                  <c:pt idx="21">
                    <c:v>151.52242447284701</c:v>
                  </c:pt>
                  <c:pt idx="22">
                    <c:v>602.97431954095782</c:v>
                  </c:pt>
                  <c:pt idx="23">
                    <c:v>258.52064591671507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'YE harvest'!$T$78:$T$101</c:f>
              <c:numCache>
                <c:formatCode>_(* #,##0_);_(* \(#,##0\);_(* "-"??_);_(@_)</c:formatCode>
                <c:ptCount val="24"/>
                <c:pt idx="0">
                  <c:v>11.547628311227429</c:v>
                </c:pt>
                <c:pt idx="1">
                  <c:v>0</c:v>
                </c:pt>
                <c:pt idx="2">
                  <c:v>16.264265227080887</c:v>
                </c:pt>
                <c:pt idx="3">
                  <c:v>0</c:v>
                </c:pt>
                <c:pt idx="4">
                  <c:v>27.626016221427392</c:v>
                </c:pt>
                <c:pt idx="5">
                  <c:v>53.706927246282099</c:v>
                </c:pt>
                <c:pt idx="6">
                  <c:v>55.01968579675362</c:v>
                </c:pt>
                <c:pt idx="7">
                  <c:v>41.996656282783853</c:v>
                </c:pt>
                <c:pt idx="8">
                  <c:v>28.613489467357301</c:v>
                </c:pt>
                <c:pt idx="9">
                  <c:v>29.728753368642849</c:v>
                </c:pt>
                <c:pt idx="10">
                  <c:v>25.128289775839967</c:v>
                </c:pt>
                <c:pt idx="11">
                  <c:v>0</c:v>
                </c:pt>
                <c:pt idx="12">
                  <c:v>0</c:v>
                </c:pt>
                <c:pt idx="13">
                  <c:v>43.905773462783181</c:v>
                </c:pt>
                <c:pt idx="14">
                  <c:v>84.760972234495569</c:v>
                </c:pt>
                <c:pt idx="15">
                  <c:v>178.58643347341896</c:v>
                </c:pt>
                <c:pt idx="16">
                  <c:v>113.87273338704922</c:v>
                </c:pt>
                <c:pt idx="17">
                  <c:v>101.32596925154078</c:v>
                </c:pt>
                <c:pt idx="18">
                  <c:v>0</c:v>
                </c:pt>
                <c:pt idx="19">
                  <c:v>123.05519472633297</c:v>
                </c:pt>
                <c:pt idx="20">
                  <c:v>175.95790333136935</c:v>
                </c:pt>
                <c:pt idx="21">
                  <c:v>101.4516997179426</c:v>
                </c:pt>
                <c:pt idx="22">
                  <c:v>544.25331621737269</c:v>
                </c:pt>
                <c:pt idx="23">
                  <c:v>172.39681558861474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9B-4CD4-9CA7-C4476A365233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harvest'!$AB$78:$AB$101</c:f>
                <c:numCache>
                  <c:formatCode>General</c:formatCode>
                  <c:ptCount val="24"/>
                  <c:pt idx="0">
                    <c:v>75.370453049776785</c:v>
                  </c:pt>
                  <c:pt idx="1">
                    <c:v>26.527877945528246</c:v>
                  </c:pt>
                  <c:pt idx="2">
                    <c:v>59.043771375851556</c:v>
                  </c:pt>
                  <c:pt idx="3">
                    <c:v>17.945329198445577</c:v>
                  </c:pt>
                  <c:pt idx="4">
                    <c:v>95.126957069685005</c:v>
                  </c:pt>
                  <c:pt idx="5">
                    <c:v>158.07798635948566</c:v>
                  </c:pt>
                  <c:pt idx="6">
                    <c:v>144.82828014676844</c:v>
                  </c:pt>
                  <c:pt idx="7">
                    <c:v>105.15429182733796</c:v>
                  </c:pt>
                  <c:pt idx="8">
                    <c:v>66.170821379413638</c:v>
                  </c:pt>
                  <c:pt idx="9">
                    <c:v>68.749952054372514</c:v>
                  </c:pt>
                  <c:pt idx="10">
                    <c:v>58.111038020167143</c:v>
                  </c:pt>
                  <c:pt idx="11">
                    <c:v>0</c:v>
                  </c:pt>
                  <c:pt idx="12">
                    <c:v>0</c:v>
                  </c:pt>
                  <c:pt idx="13">
                    <c:v>56.075283811624089</c:v>
                  </c:pt>
                  <c:pt idx="14">
                    <c:v>175.91821317844264</c:v>
                  </c:pt>
                  <c:pt idx="15">
                    <c:v>200.6319533347575</c:v>
                  </c:pt>
                  <c:pt idx="16">
                    <c:v>123.79950983195774</c:v>
                  </c:pt>
                  <c:pt idx="17">
                    <c:v>110.27004618169623</c:v>
                  </c:pt>
                  <c:pt idx="18">
                    <c:v>0</c:v>
                  </c:pt>
                  <c:pt idx="19">
                    <c:v>150.24103158320042</c:v>
                  </c:pt>
                  <c:pt idx="20">
                    <c:v>218.55076978786485</c:v>
                  </c:pt>
                  <c:pt idx="21">
                    <c:v>151.52242447284701</c:v>
                  </c:pt>
                  <c:pt idx="22">
                    <c:v>602.97431954095782</c:v>
                  </c:pt>
                  <c:pt idx="23">
                    <c:v>258.52064591671507</c:v>
                  </c:pt>
                </c:numCache>
              </c:numRef>
            </c:plus>
            <c:minus>
              <c:numRef>
                <c:f>'YE harvest'!$AB$78:$AB$101</c:f>
                <c:numCache>
                  <c:formatCode>General</c:formatCode>
                  <c:ptCount val="24"/>
                  <c:pt idx="0">
                    <c:v>75.370453049776785</c:v>
                  </c:pt>
                  <c:pt idx="1">
                    <c:v>26.527877945528246</c:v>
                  </c:pt>
                  <c:pt idx="2">
                    <c:v>59.043771375851556</c:v>
                  </c:pt>
                  <c:pt idx="3">
                    <c:v>17.945329198445577</c:v>
                  </c:pt>
                  <c:pt idx="4">
                    <c:v>95.126957069685005</c:v>
                  </c:pt>
                  <c:pt idx="5">
                    <c:v>158.07798635948566</c:v>
                  </c:pt>
                  <c:pt idx="6">
                    <c:v>144.82828014676844</c:v>
                  </c:pt>
                  <c:pt idx="7">
                    <c:v>105.15429182733796</c:v>
                  </c:pt>
                  <c:pt idx="8">
                    <c:v>66.170821379413638</c:v>
                  </c:pt>
                  <c:pt idx="9">
                    <c:v>68.749952054372514</c:v>
                  </c:pt>
                  <c:pt idx="10">
                    <c:v>58.111038020167143</c:v>
                  </c:pt>
                  <c:pt idx="11">
                    <c:v>0</c:v>
                  </c:pt>
                  <c:pt idx="12">
                    <c:v>0</c:v>
                  </c:pt>
                  <c:pt idx="13">
                    <c:v>56.075283811624089</c:v>
                  </c:pt>
                  <c:pt idx="14">
                    <c:v>175.91821317844264</c:v>
                  </c:pt>
                  <c:pt idx="15">
                    <c:v>200.6319533347575</c:v>
                  </c:pt>
                  <c:pt idx="16">
                    <c:v>123.79950983195774</c:v>
                  </c:pt>
                  <c:pt idx="17">
                    <c:v>110.27004618169623</c:v>
                  </c:pt>
                  <c:pt idx="18">
                    <c:v>0</c:v>
                  </c:pt>
                  <c:pt idx="19">
                    <c:v>150.24103158320042</c:v>
                  </c:pt>
                  <c:pt idx="20">
                    <c:v>218.55076978786485</c:v>
                  </c:pt>
                  <c:pt idx="21">
                    <c:v>151.52242447284701</c:v>
                  </c:pt>
                  <c:pt idx="22">
                    <c:v>602.97431954095782</c:v>
                  </c:pt>
                  <c:pt idx="23">
                    <c:v>258.52064591671507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'YE harvest'!$Y$78:$Y$101</c:f>
              <c:numCache>
                <c:formatCode>_(* #,##0_);_(* \(#,##0\);_(* "-"??_);_(@_)</c:formatCode>
                <c:ptCount val="24"/>
                <c:pt idx="0">
                  <c:v>114.63402784599876</c:v>
                </c:pt>
                <c:pt idx="1">
                  <c:v>38.800047057367813</c:v>
                </c:pt>
                <c:pt idx="2">
                  <c:v>82.832973413741342</c:v>
                </c:pt>
                <c:pt idx="3">
                  <c:v>26.247090656454695</c:v>
                </c:pt>
                <c:pt idx="4">
                  <c:v>130.71241575619871</c:v>
                </c:pt>
                <c:pt idx="5">
                  <c:v>196.73455169304972</c:v>
                </c:pt>
                <c:pt idx="6">
                  <c:v>156.20412224047752</c:v>
                </c:pt>
                <c:pt idx="7">
                  <c:v>100.95751210525455</c:v>
                </c:pt>
                <c:pt idx="8">
                  <c:v>126.6134894673573</c:v>
                </c:pt>
                <c:pt idx="9">
                  <c:v>123.72875336864286</c:v>
                </c:pt>
                <c:pt idx="10">
                  <c:v>121.12828977583996</c:v>
                </c:pt>
                <c:pt idx="11">
                  <c:v>142</c:v>
                </c:pt>
                <c:pt idx="12">
                  <c:v>185</c:v>
                </c:pt>
                <c:pt idx="13">
                  <c:v>217.90577346278317</c:v>
                </c:pt>
                <c:pt idx="14">
                  <c:v>285.76097223449557</c:v>
                </c:pt>
                <c:pt idx="15">
                  <c:v>340.58643347341899</c:v>
                </c:pt>
                <c:pt idx="16">
                  <c:v>207.87273338704921</c:v>
                </c:pt>
                <c:pt idx="17">
                  <c:v>235.32596925154078</c:v>
                </c:pt>
                <c:pt idx="18">
                  <c:v>185</c:v>
                </c:pt>
                <c:pt idx="19">
                  <c:v>514.05519472633296</c:v>
                </c:pt>
                <c:pt idx="20">
                  <c:v>551.95790333136938</c:v>
                </c:pt>
                <c:pt idx="21">
                  <c:v>546.45169971794257</c:v>
                </c:pt>
                <c:pt idx="22">
                  <c:v>794.25331621737269</c:v>
                </c:pt>
                <c:pt idx="23">
                  <c:v>568.3968155886148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9B-4CD4-9CA7-C4476A365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EASTSIDE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harvest'!$L$103:$L$123</c:f>
                <c:numCache>
                  <c:formatCode>General</c:formatCode>
                  <c:ptCount val="21"/>
                  <c:pt idx="0">
                    <c:v>37.286313976285719</c:v>
                  </c:pt>
                  <c:pt idx="1">
                    <c:v>9.5489340670975622</c:v>
                  </c:pt>
                  <c:pt idx="2">
                    <c:v>19.552579280247389</c:v>
                  </c:pt>
                  <c:pt idx="3">
                    <c:v>30.465646785501747</c:v>
                  </c:pt>
                  <c:pt idx="4">
                    <c:v>22.735557302613245</c:v>
                  </c:pt>
                  <c:pt idx="5">
                    <c:v>21.826135010508715</c:v>
                  </c:pt>
                  <c:pt idx="6">
                    <c:v>26.373246471031365</c:v>
                  </c:pt>
                  <c:pt idx="7">
                    <c:v>76.391472536780498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plus>
            <c:minus>
              <c:numRef>
                <c:f>'YE harvest'!$L$103:$L$123</c:f>
                <c:numCache>
                  <c:formatCode>General</c:formatCode>
                  <c:ptCount val="21"/>
                  <c:pt idx="0">
                    <c:v>37.286313976285719</c:v>
                  </c:pt>
                  <c:pt idx="1">
                    <c:v>9.5489340670975622</c:v>
                  </c:pt>
                  <c:pt idx="2">
                    <c:v>19.552579280247389</c:v>
                  </c:pt>
                  <c:pt idx="3">
                    <c:v>30.465646785501747</c:v>
                  </c:pt>
                  <c:pt idx="4">
                    <c:v>22.735557302613245</c:v>
                  </c:pt>
                  <c:pt idx="5">
                    <c:v>21.826135010508715</c:v>
                  </c:pt>
                  <c:pt idx="6">
                    <c:v>26.373246471031365</c:v>
                  </c:pt>
                  <c:pt idx="7">
                    <c:v>76.391472536780498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'YE harvest'!$I$103:$I$126</c:f>
              <c:numCache>
                <c:formatCode>_(* #,##0_);_(* \(#,##0\);_(* "-"??_);_(@_)</c:formatCode>
                <c:ptCount val="24"/>
                <c:pt idx="0">
                  <c:v>47.353291340062349</c:v>
                </c:pt>
                <c:pt idx="1">
                  <c:v>12.127062416357431</c:v>
                </c:pt>
                <c:pt idx="2">
                  <c:v>24.831603995398549</c:v>
                </c:pt>
                <c:pt idx="3">
                  <c:v>38.69110389980704</c:v>
                </c:pt>
                <c:pt idx="4">
                  <c:v>28.873958134184356</c:v>
                </c:pt>
                <c:pt idx="5">
                  <c:v>27.718999808816982</c:v>
                </c:pt>
                <c:pt idx="6">
                  <c:v>33.493791435653854</c:v>
                </c:pt>
                <c:pt idx="7">
                  <c:v>97.016499330859446</c:v>
                </c:pt>
                <c:pt idx="8">
                  <c:v>122</c:v>
                </c:pt>
                <c:pt idx="9">
                  <c:v>108</c:v>
                </c:pt>
                <c:pt idx="10">
                  <c:v>140</c:v>
                </c:pt>
                <c:pt idx="11">
                  <c:v>30</c:v>
                </c:pt>
                <c:pt idx="12">
                  <c:v>74</c:v>
                </c:pt>
                <c:pt idx="13">
                  <c:v>39</c:v>
                </c:pt>
                <c:pt idx="14">
                  <c:v>76</c:v>
                </c:pt>
                <c:pt idx="15">
                  <c:v>54</c:v>
                </c:pt>
                <c:pt idx="16">
                  <c:v>131</c:v>
                </c:pt>
                <c:pt idx="17">
                  <c:v>149</c:v>
                </c:pt>
                <c:pt idx="18">
                  <c:v>99</c:v>
                </c:pt>
                <c:pt idx="19">
                  <c:v>37</c:v>
                </c:pt>
                <c:pt idx="20">
                  <c:v>102</c:v>
                </c:pt>
                <c:pt idx="21">
                  <c:v>110</c:v>
                </c:pt>
                <c:pt idx="22">
                  <c:v>46</c:v>
                </c:pt>
                <c:pt idx="23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3A-42B9-87BA-60EFCD66E4BC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harvest'!$W$103:$W$126</c:f>
                <c:numCache>
                  <c:formatCode>General</c:formatCode>
                  <c:ptCount val="24"/>
                  <c:pt idx="0">
                    <c:v>1.705628373663002</c:v>
                  </c:pt>
                  <c:pt idx="1">
                    <c:v>1.3021242022963353</c:v>
                  </c:pt>
                  <c:pt idx="2">
                    <c:v>4.5520540295152889</c:v>
                  </c:pt>
                  <c:pt idx="3">
                    <c:v>3.2068843990438678</c:v>
                  </c:pt>
                  <c:pt idx="4">
                    <c:v>3.4328728969630666</c:v>
                  </c:pt>
                  <c:pt idx="5">
                    <c:v>10.890493328296627</c:v>
                  </c:pt>
                  <c:pt idx="6">
                    <c:v>7.8557906419530994</c:v>
                  </c:pt>
                  <c:pt idx="7">
                    <c:v>13.365605448364043</c:v>
                  </c:pt>
                  <c:pt idx="8">
                    <c:v>16.314217278357393</c:v>
                  </c:pt>
                  <c:pt idx="9">
                    <c:v>37.460283869368133</c:v>
                  </c:pt>
                  <c:pt idx="10">
                    <c:v>24.869496128155632</c:v>
                  </c:pt>
                  <c:pt idx="11">
                    <c:v>24.708075772499068</c:v>
                  </c:pt>
                  <c:pt idx="12">
                    <c:v>27.495267246835855</c:v>
                  </c:pt>
                  <c:pt idx="13">
                    <c:v>3.7773961702545993</c:v>
                  </c:pt>
                  <c:pt idx="14">
                    <c:v>16.659496276015279</c:v>
                  </c:pt>
                  <c:pt idx="15">
                    <c:v>27.697938073801343</c:v>
                  </c:pt>
                  <c:pt idx="16">
                    <c:v>15.705803156099053</c:v>
                  </c:pt>
                  <c:pt idx="17">
                    <c:v>60.020177321998716</c:v>
                  </c:pt>
                  <c:pt idx="18">
                    <c:v>28.380124062870109</c:v>
                  </c:pt>
                  <c:pt idx="19">
                    <c:v>82.533463861114484</c:v>
                  </c:pt>
                  <c:pt idx="20">
                    <c:v>19.41663533692968</c:v>
                  </c:pt>
                  <c:pt idx="21">
                    <c:v>127.44334485937422</c:v>
                  </c:pt>
                  <c:pt idx="22">
                    <c:v>15.208727422837008</c:v>
                  </c:pt>
                  <c:pt idx="23">
                    <c:v>22.700364976147675</c:v>
                  </c:pt>
                </c:numCache>
              </c:numRef>
            </c:plus>
            <c:minus>
              <c:numRef>
                <c:f>'YE harvest'!$W$103:$W$126</c:f>
                <c:numCache>
                  <c:formatCode>General</c:formatCode>
                  <c:ptCount val="24"/>
                  <c:pt idx="0">
                    <c:v>1.705628373663002</c:v>
                  </c:pt>
                  <c:pt idx="1">
                    <c:v>1.3021242022963353</c:v>
                  </c:pt>
                  <c:pt idx="2">
                    <c:v>4.5520540295152889</c:v>
                  </c:pt>
                  <c:pt idx="3">
                    <c:v>3.2068843990438678</c:v>
                  </c:pt>
                  <c:pt idx="4">
                    <c:v>3.4328728969630666</c:v>
                  </c:pt>
                  <c:pt idx="5">
                    <c:v>10.890493328296627</c:v>
                  </c:pt>
                  <c:pt idx="6">
                    <c:v>7.8557906419530994</c:v>
                  </c:pt>
                  <c:pt idx="7">
                    <c:v>13.365605448364043</c:v>
                  </c:pt>
                  <c:pt idx="8">
                    <c:v>16.314217278357393</c:v>
                  </c:pt>
                  <c:pt idx="9">
                    <c:v>37.460283869368133</c:v>
                  </c:pt>
                  <c:pt idx="10">
                    <c:v>24.869496128155632</c:v>
                  </c:pt>
                  <c:pt idx="11">
                    <c:v>24.708075772499068</c:v>
                  </c:pt>
                  <c:pt idx="12">
                    <c:v>27.495267246835855</c:v>
                  </c:pt>
                  <c:pt idx="13">
                    <c:v>3.7773961702545993</c:v>
                  </c:pt>
                  <c:pt idx="14">
                    <c:v>16.659496276015279</c:v>
                  </c:pt>
                  <c:pt idx="15">
                    <c:v>27.697938073801343</c:v>
                  </c:pt>
                  <c:pt idx="16">
                    <c:v>15.705803156099053</c:v>
                  </c:pt>
                  <c:pt idx="17">
                    <c:v>60.020177321998716</c:v>
                  </c:pt>
                  <c:pt idx="18">
                    <c:v>28.380124062870109</c:v>
                  </c:pt>
                  <c:pt idx="19">
                    <c:v>82.533463861114484</c:v>
                  </c:pt>
                  <c:pt idx="20">
                    <c:v>19.41663533692968</c:v>
                  </c:pt>
                  <c:pt idx="21">
                    <c:v>127.44334485937422</c:v>
                  </c:pt>
                  <c:pt idx="22">
                    <c:v>15.208727422837008</c:v>
                  </c:pt>
                  <c:pt idx="23">
                    <c:v>22.700364976147675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'YE harvest'!$T$103:$T$126</c:f>
              <c:numCache>
                <c:formatCode>_(* #,##0_);_(* \(#,##0\);_(* "-"??_);_(@_)</c:formatCode>
                <c:ptCount val="24"/>
                <c:pt idx="0">
                  <c:v>0.73903986920747</c:v>
                </c:pt>
                <c:pt idx="1">
                  <c:v>0.55781710371887316</c:v>
                </c:pt>
                <c:pt idx="2">
                  <c:v>1.9500548336618468</c:v>
                </c:pt>
                <c:pt idx="3">
                  <c:v>1.3737974951092919</c:v>
                </c:pt>
                <c:pt idx="4">
                  <c:v>1.4706087279861211</c:v>
                </c:pt>
                <c:pt idx="5">
                  <c:v>4.6653794129214896</c:v>
                </c:pt>
                <c:pt idx="6">
                  <c:v>3.3653428571469228</c:v>
                </c:pt>
                <c:pt idx="7">
                  <c:v>5.7256929158581933</c:v>
                </c:pt>
                <c:pt idx="8">
                  <c:v>6.9888490019653933</c:v>
                </c:pt>
                <c:pt idx="9">
                  <c:v>16.047614364011558</c:v>
                </c:pt>
                <c:pt idx="10">
                  <c:v>10.653845675159637</c:v>
                </c:pt>
                <c:pt idx="11">
                  <c:v>10.584694794533341</c:v>
                </c:pt>
                <c:pt idx="12">
                  <c:v>11.778700000014238</c:v>
                </c:pt>
                <c:pt idx="13">
                  <c:v>1.7202523448165008</c:v>
                </c:pt>
                <c:pt idx="14">
                  <c:v>9.2395012251924147</c:v>
                </c:pt>
                <c:pt idx="15">
                  <c:v>11.759347321271424</c:v>
                </c:pt>
                <c:pt idx="16">
                  <c:v>8.3864350154836735</c:v>
                </c:pt>
                <c:pt idx="17">
                  <c:v>31.161669457329811</c:v>
                </c:pt>
                <c:pt idx="18">
                  <c:v>13.9793368003873</c:v>
                </c:pt>
                <c:pt idx="19">
                  <c:v>45.255122100063872</c:v>
                </c:pt>
                <c:pt idx="20">
                  <c:v>10.104645728572937</c:v>
                </c:pt>
                <c:pt idx="21">
                  <c:v>59.243139846143137</c:v>
                </c:pt>
                <c:pt idx="22">
                  <c:v>9.2070107476103011</c:v>
                </c:pt>
                <c:pt idx="23">
                  <c:v>15.253147101289349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3A-42B9-87BA-60EFCD66E4BC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harvest'!$AB$103:$AB$126</c:f>
                <c:numCache>
                  <c:formatCode>General</c:formatCode>
                  <c:ptCount val="24"/>
                  <c:pt idx="0">
                    <c:v>37.325304795637024</c:v>
                  </c:pt>
                  <c:pt idx="1">
                    <c:v>9.6373061202797885</c:v>
                  </c:pt>
                  <c:pt idx="2">
                    <c:v>20.075471411600425</c:v>
                  </c:pt>
                  <c:pt idx="3">
                    <c:v>30.633963857257907</c:v>
                  </c:pt>
                  <c:pt idx="4">
                    <c:v>22.993263843724186</c:v>
                  </c:pt>
                  <c:pt idx="5">
                    <c:v>24.392273662588888</c:v>
                  </c:pt>
                  <c:pt idx="6">
                    <c:v>27.518386145120612</c:v>
                  </c:pt>
                  <c:pt idx="7">
                    <c:v>77.551895433567765</c:v>
                  </c:pt>
                  <c:pt idx="8">
                    <c:v>16.314217278357393</c:v>
                  </c:pt>
                  <c:pt idx="9">
                    <c:v>37.460283869368133</c:v>
                  </c:pt>
                  <c:pt idx="10">
                    <c:v>24.869496128155632</c:v>
                  </c:pt>
                  <c:pt idx="11">
                    <c:v>24.708075772499068</c:v>
                  </c:pt>
                  <c:pt idx="12">
                    <c:v>27.495267246835855</c:v>
                  </c:pt>
                  <c:pt idx="13">
                    <c:v>3.7773961702545993</c:v>
                  </c:pt>
                  <c:pt idx="14">
                    <c:v>16.659496276015279</c:v>
                  </c:pt>
                  <c:pt idx="15">
                    <c:v>27.697938073801343</c:v>
                  </c:pt>
                  <c:pt idx="16">
                    <c:v>15.705803156099053</c:v>
                  </c:pt>
                  <c:pt idx="17">
                    <c:v>60.020177321998716</c:v>
                  </c:pt>
                  <c:pt idx="18">
                    <c:v>28.380124062870109</c:v>
                  </c:pt>
                  <c:pt idx="19">
                    <c:v>82.533463861114484</c:v>
                  </c:pt>
                  <c:pt idx="20">
                    <c:v>19.41663533692968</c:v>
                  </c:pt>
                  <c:pt idx="21">
                    <c:v>127.44334485937422</c:v>
                  </c:pt>
                  <c:pt idx="22">
                    <c:v>15.208727422837008</c:v>
                  </c:pt>
                  <c:pt idx="23">
                    <c:v>22.700364976147675</c:v>
                  </c:pt>
                </c:numCache>
              </c:numRef>
            </c:plus>
            <c:minus>
              <c:numRef>
                <c:f>'YE harvest'!$AB$103:$AB$126</c:f>
                <c:numCache>
                  <c:formatCode>General</c:formatCode>
                  <c:ptCount val="24"/>
                  <c:pt idx="0">
                    <c:v>37.325304795637024</c:v>
                  </c:pt>
                  <c:pt idx="1">
                    <c:v>9.6373061202797885</c:v>
                  </c:pt>
                  <c:pt idx="2">
                    <c:v>20.075471411600425</c:v>
                  </c:pt>
                  <c:pt idx="3">
                    <c:v>30.633963857257907</c:v>
                  </c:pt>
                  <c:pt idx="4">
                    <c:v>22.993263843724186</c:v>
                  </c:pt>
                  <c:pt idx="5">
                    <c:v>24.392273662588888</c:v>
                  </c:pt>
                  <c:pt idx="6">
                    <c:v>27.518386145120612</c:v>
                  </c:pt>
                  <c:pt idx="7">
                    <c:v>77.551895433567765</c:v>
                  </c:pt>
                  <c:pt idx="8">
                    <c:v>16.314217278357393</c:v>
                  </c:pt>
                  <c:pt idx="9">
                    <c:v>37.460283869368133</c:v>
                  </c:pt>
                  <c:pt idx="10">
                    <c:v>24.869496128155632</c:v>
                  </c:pt>
                  <c:pt idx="11">
                    <c:v>24.708075772499068</c:v>
                  </c:pt>
                  <c:pt idx="12">
                    <c:v>27.495267246835855</c:v>
                  </c:pt>
                  <c:pt idx="13">
                    <c:v>3.7773961702545993</c:v>
                  </c:pt>
                  <c:pt idx="14">
                    <c:v>16.659496276015279</c:v>
                  </c:pt>
                  <c:pt idx="15">
                    <c:v>27.697938073801343</c:v>
                  </c:pt>
                  <c:pt idx="16">
                    <c:v>15.705803156099053</c:v>
                  </c:pt>
                  <c:pt idx="17">
                    <c:v>60.020177321998716</c:v>
                  </c:pt>
                  <c:pt idx="18">
                    <c:v>28.380124062870109</c:v>
                  </c:pt>
                  <c:pt idx="19">
                    <c:v>82.533463861114484</c:v>
                  </c:pt>
                  <c:pt idx="20">
                    <c:v>19.41663533692968</c:v>
                  </c:pt>
                  <c:pt idx="21">
                    <c:v>127.44334485937422</c:v>
                  </c:pt>
                  <c:pt idx="22">
                    <c:v>15.208727422837008</c:v>
                  </c:pt>
                  <c:pt idx="23">
                    <c:v>22.700364976147675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'YE harvest'!$Y$103:$Y$126</c:f>
              <c:numCache>
                <c:formatCode>_(* #,##0_);_(* \(#,##0\);_(* "-"??_);_(@_)</c:formatCode>
                <c:ptCount val="24"/>
                <c:pt idx="0">
                  <c:v>48.092331209269815</c:v>
                </c:pt>
                <c:pt idx="1">
                  <c:v>12.684879520076304</c:v>
                </c:pt>
                <c:pt idx="2">
                  <c:v>26.781658829060397</c:v>
                </c:pt>
                <c:pt idx="3">
                  <c:v>40.064901394916333</c:v>
                </c:pt>
                <c:pt idx="4">
                  <c:v>30.344566862170478</c:v>
                </c:pt>
                <c:pt idx="5">
                  <c:v>32.38437922173847</c:v>
                </c:pt>
                <c:pt idx="6">
                  <c:v>36.859134292800775</c:v>
                </c:pt>
                <c:pt idx="7">
                  <c:v>102.74219224671764</c:v>
                </c:pt>
                <c:pt idx="8">
                  <c:v>128.98884900196541</c:v>
                </c:pt>
                <c:pt idx="9">
                  <c:v>124.04761436401157</c:v>
                </c:pt>
                <c:pt idx="10">
                  <c:v>150.65384567515963</c:v>
                </c:pt>
                <c:pt idx="11">
                  <c:v>40.584694794533341</c:v>
                </c:pt>
                <c:pt idx="12">
                  <c:v>85.77870000001424</c:v>
                </c:pt>
                <c:pt idx="13">
                  <c:v>40.720252344816501</c:v>
                </c:pt>
                <c:pt idx="14">
                  <c:v>85.239501225192413</c:v>
                </c:pt>
                <c:pt idx="15">
                  <c:v>65.75934732127142</c:v>
                </c:pt>
                <c:pt idx="16">
                  <c:v>139.38643501548367</c:v>
                </c:pt>
                <c:pt idx="17">
                  <c:v>180.16166945732982</c:v>
                </c:pt>
                <c:pt idx="18">
                  <c:v>112.9793368003873</c:v>
                </c:pt>
                <c:pt idx="19">
                  <c:v>82.255122100063872</c:v>
                </c:pt>
                <c:pt idx="20">
                  <c:v>112.10464572857293</c:v>
                </c:pt>
                <c:pt idx="21">
                  <c:v>169.24313984614315</c:v>
                </c:pt>
                <c:pt idx="22">
                  <c:v>55.207010747610298</c:v>
                </c:pt>
                <c:pt idx="23">
                  <c:v>180.25314710128936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3A-42B9-87BA-60EFCD66E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harvest'!$L$128:$L$148</c:f>
                <c:numCache>
                  <c:formatCode>General</c:formatCode>
                  <c:ptCount val="21"/>
                  <c:pt idx="0">
                    <c:v>381.85518999632865</c:v>
                  </c:pt>
                  <c:pt idx="1">
                    <c:v>64.293793958553522</c:v>
                  </c:pt>
                  <c:pt idx="2">
                    <c:v>164.22482773696129</c:v>
                  </c:pt>
                  <c:pt idx="3">
                    <c:v>217.52307355632874</c:v>
                  </c:pt>
                  <c:pt idx="4">
                    <c:v>220.478463132874</c:v>
                  </c:pt>
                  <c:pt idx="5">
                    <c:v>229.5358337153873</c:v>
                  </c:pt>
                  <c:pt idx="6">
                    <c:v>179.48425979153157</c:v>
                  </c:pt>
                  <c:pt idx="7">
                    <c:v>272.20520781507253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plus>
            <c:minus>
              <c:numRef>
                <c:f>'YE harvest'!$L$128:$L$148</c:f>
                <c:numCache>
                  <c:formatCode>General</c:formatCode>
                  <c:ptCount val="21"/>
                  <c:pt idx="0">
                    <c:v>381.85518999632865</c:v>
                  </c:pt>
                  <c:pt idx="1">
                    <c:v>64.293793958553522</c:v>
                  </c:pt>
                  <c:pt idx="2">
                    <c:v>164.22482773696129</c:v>
                  </c:pt>
                  <c:pt idx="3">
                    <c:v>217.52307355632874</c:v>
                  </c:pt>
                  <c:pt idx="4">
                    <c:v>220.478463132874</c:v>
                  </c:pt>
                  <c:pt idx="5">
                    <c:v>229.5358337153873</c:v>
                  </c:pt>
                  <c:pt idx="6">
                    <c:v>179.48425979153157</c:v>
                  </c:pt>
                  <c:pt idx="7">
                    <c:v>272.20520781507253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'YE harvest'!$I$128:$I$151</c:f>
              <c:numCache>
                <c:formatCode>_(* #,##0_);_(* \(#,##0\);_(* "-"??_);_(@_)</c:formatCode>
                <c:ptCount val="24"/>
                <c:pt idx="0">
                  <c:v>778.03889110199998</c:v>
                </c:pt>
                <c:pt idx="1">
                  <c:v>985.07250105600008</c:v>
                </c:pt>
                <c:pt idx="2">
                  <c:v>1775.1937613800001</c:v>
                </c:pt>
                <c:pt idx="3">
                  <c:v>1637.8061448000001</c:v>
                </c:pt>
                <c:pt idx="4">
                  <c:v>1668.9361879400001</c:v>
                </c:pt>
                <c:pt idx="5">
                  <c:v>2787.7708085310001</c:v>
                </c:pt>
                <c:pt idx="6">
                  <c:v>2938.495594425</c:v>
                </c:pt>
                <c:pt idx="7">
                  <c:v>2990.8508366599999</c:v>
                </c:pt>
                <c:pt idx="8">
                  <c:v>2876</c:v>
                </c:pt>
                <c:pt idx="9">
                  <c:v>2978</c:v>
                </c:pt>
                <c:pt idx="10">
                  <c:v>3376</c:v>
                </c:pt>
                <c:pt idx="11">
                  <c:v>2548</c:v>
                </c:pt>
                <c:pt idx="12">
                  <c:v>3449</c:v>
                </c:pt>
                <c:pt idx="13">
                  <c:v>3576</c:v>
                </c:pt>
                <c:pt idx="14">
                  <c:v>3368</c:v>
                </c:pt>
                <c:pt idx="15">
                  <c:v>3428</c:v>
                </c:pt>
                <c:pt idx="16">
                  <c:v>2911</c:v>
                </c:pt>
                <c:pt idx="17">
                  <c:v>3283</c:v>
                </c:pt>
                <c:pt idx="18">
                  <c:v>4064</c:v>
                </c:pt>
                <c:pt idx="19">
                  <c:v>3405</c:v>
                </c:pt>
                <c:pt idx="20">
                  <c:v>4260</c:v>
                </c:pt>
                <c:pt idx="21">
                  <c:v>5735</c:v>
                </c:pt>
                <c:pt idx="22">
                  <c:v>3649</c:v>
                </c:pt>
                <c:pt idx="23">
                  <c:v>5467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F-4EA4-AF81-64D4B15BBCC2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harvest'!$W$128:$W$151</c:f>
                <c:numCache>
                  <c:formatCode>General</c:formatCode>
                  <c:ptCount val="24"/>
                  <c:pt idx="0">
                    <c:v>159.82684197837071</c:v>
                  </c:pt>
                  <c:pt idx="1">
                    <c:v>561.11353710296021</c:v>
                  </c:pt>
                  <c:pt idx="2">
                    <c:v>370.20491350575531</c:v>
                  </c:pt>
                  <c:pt idx="3">
                    <c:v>1139.8687453422783</c:v>
                  </c:pt>
                  <c:pt idx="4">
                    <c:v>392.08229806813006</c:v>
                  </c:pt>
                  <c:pt idx="5">
                    <c:v>546.14577709519983</c:v>
                  </c:pt>
                  <c:pt idx="6">
                    <c:v>835.93525995527818</c:v>
                  </c:pt>
                  <c:pt idx="7">
                    <c:v>842.83680827215892</c:v>
                  </c:pt>
                  <c:pt idx="8">
                    <c:v>980.71009566892747</c:v>
                  </c:pt>
                  <c:pt idx="9">
                    <c:v>874.48131152601195</c:v>
                  </c:pt>
                  <c:pt idx="10">
                    <c:v>958.97076227424793</c:v>
                  </c:pt>
                  <c:pt idx="11">
                    <c:v>616.42595153042134</c:v>
                  </c:pt>
                  <c:pt idx="12">
                    <c:v>806.83725386888432</c:v>
                  </c:pt>
                  <c:pt idx="13">
                    <c:v>2089.2587943524977</c:v>
                  </c:pt>
                  <c:pt idx="14">
                    <c:v>1041.3479183095476</c:v>
                  </c:pt>
                  <c:pt idx="15">
                    <c:v>573.6939047352206</c:v>
                  </c:pt>
                  <c:pt idx="16">
                    <c:v>985.3387323858517</c:v>
                  </c:pt>
                  <c:pt idx="17">
                    <c:v>1023.0982497114733</c:v>
                  </c:pt>
                  <c:pt idx="18">
                    <c:v>1101.2533646060629</c:v>
                  </c:pt>
                  <c:pt idx="19">
                    <c:v>691.84910908231996</c:v>
                  </c:pt>
                  <c:pt idx="20">
                    <c:v>1185.6860416428651</c:v>
                  </c:pt>
                  <c:pt idx="21">
                    <c:v>1939.8148690467981</c:v>
                  </c:pt>
                  <c:pt idx="22">
                    <c:v>1216.6728653881128</c:v>
                  </c:pt>
                  <c:pt idx="23">
                    <c:v>1788.4943925466569</c:v>
                  </c:pt>
                </c:numCache>
              </c:numRef>
            </c:plus>
            <c:minus>
              <c:numRef>
                <c:f>'YE harvest'!$W$128:$W$151</c:f>
                <c:numCache>
                  <c:formatCode>General</c:formatCode>
                  <c:ptCount val="24"/>
                  <c:pt idx="0">
                    <c:v>159.82684197837071</c:v>
                  </c:pt>
                  <c:pt idx="1">
                    <c:v>561.11353710296021</c:v>
                  </c:pt>
                  <c:pt idx="2">
                    <c:v>370.20491350575531</c:v>
                  </c:pt>
                  <c:pt idx="3">
                    <c:v>1139.8687453422783</c:v>
                  </c:pt>
                  <c:pt idx="4">
                    <c:v>392.08229806813006</c:v>
                  </c:pt>
                  <c:pt idx="5">
                    <c:v>546.14577709519983</c:v>
                  </c:pt>
                  <c:pt idx="6">
                    <c:v>835.93525995527818</c:v>
                  </c:pt>
                  <c:pt idx="7">
                    <c:v>842.83680827215892</c:v>
                  </c:pt>
                  <c:pt idx="8">
                    <c:v>980.71009566892747</c:v>
                  </c:pt>
                  <c:pt idx="9">
                    <c:v>874.48131152601195</c:v>
                  </c:pt>
                  <c:pt idx="10">
                    <c:v>958.97076227424793</c:v>
                  </c:pt>
                  <c:pt idx="11">
                    <c:v>616.42595153042134</c:v>
                  </c:pt>
                  <c:pt idx="12">
                    <c:v>806.83725386888432</c:v>
                  </c:pt>
                  <c:pt idx="13">
                    <c:v>2089.2587943524977</c:v>
                  </c:pt>
                  <c:pt idx="14">
                    <c:v>1041.3479183095476</c:v>
                  </c:pt>
                  <c:pt idx="15">
                    <c:v>573.6939047352206</c:v>
                  </c:pt>
                  <c:pt idx="16">
                    <c:v>985.3387323858517</c:v>
                  </c:pt>
                  <c:pt idx="17">
                    <c:v>1023.0982497114733</c:v>
                  </c:pt>
                  <c:pt idx="18">
                    <c:v>1101.2533646060629</c:v>
                  </c:pt>
                  <c:pt idx="19">
                    <c:v>691.84910908231996</c:v>
                  </c:pt>
                  <c:pt idx="20">
                    <c:v>1185.6860416428651</c:v>
                  </c:pt>
                  <c:pt idx="21">
                    <c:v>1939.8148690467981</c:v>
                  </c:pt>
                  <c:pt idx="22">
                    <c:v>1216.6728653881128</c:v>
                  </c:pt>
                  <c:pt idx="23">
                    <c:v>1788.4943925466569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'YE harvest'!$T$128:$T$151</c:f>
              <c:numCache>
                <c:formatCode>_(* #,##0_);_(* \(#,##0\);_(* "-"??_);_(@_)</c:formatCode>
                <c:ptCount val="24"/>
                <c:pt idx="0">
                  <c:v>232.80838337216727</c:v>
                </c:pt>
                <c:pt idx="1">
                  <c:v>987.8102583046433</c:v>
                </c:pt>
                <c:pt idx="2">
                  <c:v>476.60242873758079</c:v>
                </c:pt>
                <c:pt idx="3">
                  <c:v>1993.0833791532314</c:v>
                </c:pt>
                <c:pt idx="4">
                  <c:v>608.5679071029997</c:v>
                </c:pt>
                <c:pt idx="5">
                  <c:v>953.8132295627023</c:v>
                </c:pt>
                <c:pt idx="6">
                  <c:v>1608.8606800914031</c:v>
                </c:pt>
                <c:pt idx="7">
                  <c:v>1451.7150896286626</c:v>
                </c:pt>
                <c:pt idx="8">
                  <c:v>1851.1493236848582</c:v>
                </c:pt>
                <c:pt idx="9">
                  <c:v>1517.9077898283242</c:v>
                </c:pt>
                <c:pt idx="10">
                  <c:v>1618.3702105900181</c:v>
                </c:pt>
                <c:pt idx="11">
                  <c:v>1153.4340015587456</c:v>
                </c:pt>
                <c:pt idx="12">
                  <c:v>1519.1559316658288</c:v>
                </c:pt>
                <c:pt idx="13">
                  <c:v>7093.006809314189</c:v>
                </c:pt>
                <c:pt idx="14">
                  <c:v>3838.7994962189441</c:v>
                </c:pt>
                <c:pt idx="15">
                  <c:v>1776.2948050256036</c:v>
                </c:pt>
                <c:pt idx="16">
                  <c:v>3140.9873365581866</c:v>
                </c:pt>
                <c:pt idx="17">
                  <c:v>3320.9214637593045</c:v>
                </c:pt>
                <c:pt idx="18">
                  <c:v>3529.0449405866093</c:v>
                </c:pt>
                <c:pt idx="19">
                  <c:v>1394.5903715376362</c:v>
                </c:pt>
                <c:pt idx="20">
                  <c:v>3579.9500647929945</c:v>
                </c:pt>
                <c:pt idx="21">
                  <c:v>6002.3479421092707</c:v>
                </c:pt>
                <c:pt idx="22">
                  <c:v>3592.3555109284894</c:v>
                </c:pt>
                <c:pt idx="23">
                  <c:v>4181.7054447608243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9F-4EA4-AF81-64D4B15BBCC2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harvest'!$AB$128:$AB$151</c:f>
                <c:numCache>
                  <c:formatCode>General</c:formatCode>
                  <c:ptCount val="24"/>
                  <c:pt idx="0">
                    <c:v>413.95411043243831</c:v>
                  </c:pt>
                  <c:pt idx="1">
                    <c:v>564.78499755374162</c:v>
                  </c:pt>
                  <c:pt idx="2">
                    <c:v>404.99564445687355</c:v>
                  </c:pt>
                  <c:pt idx="3">
                    <c:v>1160.438298289733</c:v>
                  </c:pt>
                  <c:pt idx="4">
                    <c:v>449.82138806844222</c:v>
                  </c:pt>
                  <c:pt idx="5">
                    <c:v>592.42038182218005</c:v>
                  </c:pt>
                  <c:pt idx="6">
                    <c:v>854.98675916613627</c:v>
                  </c:pt>
                  <c:pt idx="7">
                    <c:v>885.70286244318231</c:v>
                  </c:pt>
                  <c:pt idx="8">
                    <c:v>980.71009566892747</c:v>
                  </c:pt>
                  <c:pt idx="9">
                    <c:v>874.48131152601195</c:v>
                  </c:pt>
                  <c:pt idx="10">
                    <c:v>958.97076227424793</c:v>
                  </c:pt>
                  <c:pt idx="11">
                    <c:v>616.42595153042134</c:v>
                  </c:pt>
                  <c:pt idx="12">
                    <c:v>806.83725386888432</c:v>
                  </c:pt>
                  <c:pt idx="13">
                    <c:v>2089.2587943524977</c:v>
                  </c:pt>
                  <c:pt idx="14">
                    <c:v>1041.3479183095476</c:v>
                  </c:pt>
                  <c:pt idx="15">
                    <c:v>573.6939047352206</c:v>
                  </c:pt>
                  <c:pt idx="16">
                    <c:v>985.3387323858517</c:v>
                  </c:pt>
                  <c:pt idx="17">
                    <c:v>1023.0982497114733</c:v>
                  </c:pt>
                  <c:pt idx="18">
                    <c:v>1101.2533646060629</c:v>
                  </c:pt>
                  <c:pt idx="19">
                    <c:v>691.84910908231996</c:v>
                  </c:pt>
                  <c:pt idx="20">
                    <c:v>1185.6860416428651</c:v>
                  </c:pt>
                  <c:pt idx="21">
                    <c:v>1939.8148690467981</c:v>
                  </c:pt>
                  <c:pt idx="22">
                    <c:v>1216.6728653881128</c:v>
                  </c:pt>
                  <c:pt idx="23">
                    <c:v>1788.4943925466569</c:v>
                  </c:pt>
                </c:numCache>
              </c:numRef>
            </c:plus>
            <c:minus>
              <c:numRef>
                <c:f>'YE harvest'!$AB$128:$AB$151</c:f>
                <c:numCache>
                  <c:formatCode>General</c:formatCode>
                  <c:ptCount val="24"/>
                  <c:pt idx="0">
                    <c:v>413.95411043243831</c:v>
                  </c:pt>
                  <c:pt idx="1">
                    <c:v>564.78499755374162</c:v>
                  </c:pt>
                  <c:pt idx="2">
                    <c:v>404.99564445687355</c:v>
                  </c:pt>
                  <c:pt idx="3">
                    <c:v>1160.438298289733</c:v>
                  </c:pt>
                  <c:pt idx="4">
                    <c:v>449.82138806844222</c:v>
                  </c:pt>
                  <c:pt idx="5">
                    <c:v>592.42038182218005</c:v>
                  </c:pt>
                  <c:pt idx="6">
                    <c:v>854.98675916613627</c:v>
                  </c:pt>
                  <c:pt idx="7">
                    <c:v>885.70286244318231</c:v>
                  </c:pt>
                  <c:pt idx="8">
                    <c:v>980.71009566892747</c:v>
                  </c:pt>
                  <c:pt idx="9">
                    <c:v>874.48131152601195</c:v>
                  </c:pt>
                  <c:pt idx="10">
                    <c:v>958.97076227424793</c:v>
                  </c:pt>
                  <c:pt idx="11">
                    <c:v>616.42595153042134</c:v>
                  </c:pt>
                  <c:pt idx="12">
                    <c:v>806.83725386888432</c:v>
                  </c:pt>
                  <c:pt idx="13">
                    <c:v>2089.2587943524977</c:v>
                  </c:pt>
                  <c:pt idx="14">
                    <c:v>1041.3479183095476</c:v>
                  </c:pt>
                  <c:pt idx="15">
                    <c:v>573.6939047352206</c:v>
                  </c:pt>
                  <c:pt idx="16">
                    <c:v>985.3387323858517</c:v>
                  </c:pt>
                  <c:pt idx="17">
                    <c:v>1023.0982497114733</c:v>
                  </c:pt>
                  <c:pt idx="18">
                    <c:v>1101.2533646060629</c:v>
                  </c:pt>
                  <c:pt idx="19">
                    <c:v>691.84910908231996</c:v>
                  </c:pt>
                  <c:pt idx="20">
                    <c:v>1185.6860416428651</c:v>
                  </c:pt>
                  <c:pt idx="21">
                    <c:v>1939.8148690467981</c:v>
                  </c:pt>
                  <c:pt idx="22">
                    <c:v>1216.6728653881128</c:v>
                  </c:pt>
                  <c:pt idx="23">
                    <c:v>1788.4943925466569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'YE harvest'!$Y$128:$Y$151</c:f>
              <c:numCache>
                <c:formatCode>_(* #,##0_);_(* \(#,##0\);_(* "-"??_);_(@_)</c:formatCode>
                <c:ptCount val="24"/>
                <c:pt idx="0">
                  <c:v>1010.8472744741673</c:v>
                </c:pt>
                <c:pt idx="1">
                  <c:v>1972.8827593606434</c:v>
                </c:pt>
                <c:pt idx="2">
                  <c:v>2251.7961901175809</c:v>
                </c:pt>
                <c:pt idx="3">
                  <c:v>3630.8895239532312</c:v>
                </c:pt>
                <c:pt idx="4">
                  <c:v>2277.5040950429998</c:v>
                </c:pt>
                <c:pt idx="5">
                  <c:v>3741.5840380937025</c:v>
                </c:pt>
                <c:pt idx="6">
                  <c:v>4547.3562745164036</c:v>
                </c:pt>
                <c:pt idx="7">
                  <c:v>4442.565926288662</c:v>
                </c:pt>
                <c:pt idx="8">
                  <c:v>4727.1493236848582</c:v>
                </c:pt>
                <c:pt idx="9">
                  <c:v>4495.907789828324</c:v>
                </c:pt>
                <c:pt idx="10">
                  <c:v>4994.3702105900184</c:v>
                </c:pt>
                <c:pt idx="11">
                  <c:v>3701.4340015587459</c:v>
                </c:pt>
                <c:pt idx="12">
                  <c:v>4968.1559316658286</c:v>
                </c:pt>
                <c:pt idx="13">
                  <c:v>10669.006809314189</c:v>
                </c:pt>
                <c:pt idx="14">
                  <c:v>7206.7994962189441</c:v>
                </c:pt>
                <c:pt idx="15">
                  <c:v>5204.2948050256036</c:v>
                </c:pt>
                <c:pt idx="16">
                  <c:v>6051.9873365581861</c:v>
                </c:pt>
                <c:pt idx="17">
                  <c:v>6603.921463759305</c:v>
                </c:pt>
                <c:pt idx="18">
                  <c:v>7593.0449405866093</c:v>
                </c:pt>
                <c:pt idx="19">
                  <c:v>4799.5903715376362</c:v>
                </c:pt>
                <c:pt idx="20">
                  <c:v>7839.9500647929945</c:v>
                </c:pt>
                <c:pt idx="21">
                  <c:v>11737.347942109271</c:v>
                </c:pt>
                <c:pt idx="22">
                  <c:v>7241.3555109284898</c:v>
                </c:pt>
                <c:pt idx="23">
                  <c:v>9648.7054447608243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9F-4EA4-AF81-64D4B15BB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NORTHEAST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harvest'!$L$153:$L$175</c:f>
                <c:numCache>
                  <c:formatCode>General</c:formatCode>
                  <c:ptCount val="23"/>
                  <c:pt idx="0">
                    <c:v>180.53238487671049</c:v>
                  </c:pt>
                  <c:pt idx="1">
                    <c:v>62.532743880974088</c:v>
                  </c:pt>
                  <c:pt idx="2">
                    <c:v>88.323084577647023</c:v>
                  </c:pt>
                  <c:pt idx="3">
                    <c:v>80.197360796503489</c:v>
                  </c:pt>
                  <c:pt idx="4">
                    <c:v>74.191391045223497</c:v>
                  </c:pt>
                  <c:pt idx="5">
                    <c:v>93.975761990616434</c:v>
                  </c:pt>
                  <c:pt idx="6">
                    <c:v>78.784191443261136</c:v>
                  </c:pt>
                  <c:pt idx="7">
                    <c:v>111.64037890614583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</c:numCache>
              </c:numRef>
            </c:plus>
            <c:minus>
              <c:numRef>
                <c:f>'YE harvest'!$L$153:$L$175</c:f>
                <c:numCache>
                  <c:formatCode>General</c:formatCode>
                  <c:ptCount val="23"/>
                  <c:pt idx="0">
                    <c:v>180.53238487671049</c:v>
                  </c:pt>
                  <c:pt idx="1">
                    <c:v>62.532743880974088</c:v>
                  </c:pt>
                  <c:pt idx="2">
                    <c:v>88.323084577647023</c:v>
                  </c:pt>
                  <c:pt idx="3">
                    <c:v>80.197360796503489</c:v>
                  </c:pt>
                  <c:pt idx="4">
                    <c:v>74.191391045223497</c:v>
                  </c:pt>
                  <c:pt idx="5">
                    <c:v>93.975761990616434</c:v>
                  </c:pt>
                  <c:pt idx="6">
                    <c:v>78.784191443261136</c:v>
                  </c:pt>
                  <c:pt idx="7">
                    <c:v>111.64037890614583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'YE harvest'!$I$153:$I$176</c:f>
              <c:numCache>
                <c:formatCode>_(* #,##0_);_(* \(#,##0\);_(* "-"??_);_(@_)</c:formatCode>
                <c:ptCount val="24"/>
                <c:pt idx="0">
                  <c:v>266.56216391660593</c:v>
                </c:pt>
                <c:pt idx="1">
                  <c:v>92.331708440781313</c:v>
                </c:pt>
                <c:pt idx="2">
                  <c:v>130.41201757172502</c:v>
                </c:pt>
                <c:pt idx="3">
                  <c:v>118.41411195512632</c:v>
                </c:pt>
                <c:pt idx="4">
                  <c:v>109.54609476024902</c:v>
                </c:pt>
                <c:pt idx="5">
                  <c:v>138.75838669631543</c:v>
                </c:pt>
                <c:pt idx="6">
                  <c:v>116.32751967397871</c:v>
                </c:pt>
                <c:pt idx="7">
                  <c:v>164.84079021066043</c:v>
                </c:pt>
                <c:pt idx="8">
                  <c:v>96</c:v>
                </c:pt>
                <c:pt idx="9">
                  <c:v>156</c:v>
                </c:pt>
                <c:pt idx="10">
                  <c:v>268</c:v>
                </c:pt>
                <c:pt idx="11">
                  <c:v>190</c:v>
                </c:pt>
                <c:pt idx="12">
                  <c:v>288</c:v>
                </c:pt>
                <c:pt idx="13">
                  <c:v>140</c:v>
                </c:pt>
                <c:pt idx="14">
                  <c:v>205</c:v>
                </c:pt>
                <c:pt idx="15">
                  <c:v>361</c:v>
                </c:pt>
                <c:pt idx="16">
                  <c:v>392</c:v>
                </c:pt>
                <c:pt idx="17">
                  <c:v>394</c:v>
                </c:pt>
                <c:pt idx="18">
                  <c:v>425</c:v>
                </c:pt>
                <c:pt idx="19">
                  <c:v>176</c:v>
                </c:pt>
                <c:pt idx="20">
                  <c:v>209</c:v>
                </c:pt>
                <c:pt idx="21">
                  <c:v>277</c:v>
                </c:pt>
                <c:pt idx="22">
                  <c:v>227</c:v>
                </c:pt>
                <c:pt idx="23">
                  <c:v>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8-454E-905F-1CC0694319CB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harvest'!$W$153:$W$176</c:f>
                <c:numCache>
                  <c:formatCode>General</c:formatCode>
                  <c:ptCount val="24"/>
                  <c:pt idx="0">
                    <c:v>51.061522464183312</c:v>
                  </c:pt>
                  <c:pt idx="1">
                    <c:v>40.267934827703122</c:v>
                  </c:pt>
                  <c:pt idx="2">
                    <c:v>18.094695676987154</c:v>
                  </c:pt>
                  <c:pt idx="3">
                    <c:v>0</c:v>
                  </c:pt>
                  <c:pt idx="4">
                    <c:v>100.00407584109303</c:v>
                  </c:pt>
                  <c:pt idx="5">
                    <c:v>24.471463032037228</c:v>
                  </c:pt>
                  <c:pt idx="6">
                    <c:v>118.37694034987396</c:v>
                  </c:pt>
                  <c:pt idx="7">
                    <c:v>44.497742334096507</c:v>
                  </c:pt>
                  <c:pt idx="8">
                    <c:v>130.74483489222192</c:v>
                  </c:pt>
                  <c:pt idx="9">
                    <c:v>99.705652460754152</c:v>
                  </c:pt>
                  <c:pt idx="10">
                    <c:v>139.24793066278906</c:v>
                  </c:pt>
                  <c:pt idx="11">
                    <c:v>490.32618496851524</c:v>
                  </c:pt>
                  <c:pt idx="12">
                    <c:v>372.03361188459968</c:v>
                  </c:pt>
                  <c:pt idx="13">
                    <c:v>315.02535940497808</c:v>
                  </c:pt>
                  <c:pt idx="14">
                    <c:v>99.698465140899543</c:v>
                  </c:pt>
                  <c:pt idx="15">
                    <c:v>302.22939760134227</c:v>
                  </c:pt>
                  <c:pt idx="16">
                    <c:v>330.04880130274637</c:v>
                  </c:pt>
                  <c:pt idx="17">
                    <c:v>261.75429676850581</c:v>
                  </c:pt>
                  <c:pt idx="18">
                    <c:v>249.88924453226895</c:v>
                  </c:pt>
                  <c:pt idx="19">
                    <c:v>66.899374861677515</c:v>
                  </c:pt>
                  <c:pt idx="20">
                    <c:v>173.53017605977575</c:v>
                  </c:pt>
                  <c:pt idx="21">
                    <c:v>302.79424637674094</c:v>
                  </c:pt>
                  <c:pt idx="22">
                    <c:v>367.02864638230585</c:v>
                  </c:pt>
                  <c:pt idx="23">
                    <c:v>70.116099808013644</c:v>
                  </c:pt>
                </c:numCache>
              </c:numRef>
            </c:plus>
            <c:minus>
              <c:numRef>
                <c:f>'YE harvest'!$W$153:$W$176</c:f>
                <c:numCache>
                  <c:formatCode>General</c:formatCode>
                  <c:ptCount val="24"/>
                  <c:pt idx="0">
                    <c:v>51.061522464183312</c:v>
                  </c:pt>
                  <c:pt idx="1">
                    <c:v>40.267934827703122</c:v>
                  </c:pt>
                  <c:pt idx="2">
                    <c:v>18.094695676987154</c:v>
                  </c:pt>
                  <c:pt idx="3">
                    <c:v>0</c:v>
                  </c:pt>
                  <c:pt idx="4">
                    <c:v>100.00407584109303</c:v>
                  </c:pt>
                  <c:pt idx="5">
                    <c:v>24.471463032037228</c:v>
                  </c:pt>
                  <c:pt idx="6">
                    <c:v>118.37694034987396</c:v>
                  </c:pt>
                  <c:pt idx="7">
                    <c:v>44.497742334096507</c:v>
                  </c:pt>
                  <c:pt idx="8">
                    <c:v>130.74483489222192</c:v>
                  </c:pt>
                  <c:pt idx="9">
                    <c:v>99.705652460754152</c:v>
                  </c:pt>
                  <c:pt idx="10">
                    <c:v>139.24793066278906</c:v>
                  </c:pt>
                  <c:pt idx="11">
                    <c:v>490.32618496851524</c:v>
                  </c:pt>
                  <c:pt idx="12">
                    <c:v>372.03361188459968</c:v>
                  </c:pt>
                  <c:pt idx="13">
                    <c:v>315.02535940497808</c:v>
                  </c:pt>
                  <c:pt idx="14">
                    <c:v>99.698465140899543</c:v>
                  </c:pt>
                  <c:pt idx="15">
                    <c:v>302.22939760134227</c:v>
                  </c:pt>
                  <c:pt idx="16">
                    <c:v>330.04880130274637</c:v>
                  </c:pt>
                  <c:pt idx="17">
                    <c:v>261.75429676850581</c:v>
                  </c:pt>
                  <c:pt idx="18">
                    <c:v>249.88924453226895</c:v>
                  </c:pt>
                  <c:pt idx="19">
                    <c:v>66.899374861677515</c:v>
                  </c:pt>
                  <c:pt idx="20">
                    <c:v>173.53017605977575</c:v>
                  </c:pt>
                  <c:pt idx="21">
                    <c:v>302.79424637674094</c:v>
                  </c:pt>
                  <c:pt idx="22">
                    <c:v>367.02864638230585</c:v>
                  </c:pt>
                  <c:pt idx="23">
                    <c:v>70.116099808013644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'YE harvest'!$T$153:$T$176</c:f>
              <c:numCache>
                <c:formatCode>_(* #,##0_);_(* \(#,##0\);_(* "-"??_);_(@_)</c:formatCode>
                <c:ptCount val="24"/>
                <c:pt idx="0">
                  <c:v>38.625049873858401</c:v>
                </c:pt>
                <c:pt idx="1">
                  <c:v>39.097178251018931</c:v>
                </c:pt>
                <c:pt idx="2">
                  <c:v>8.4462344145813493</c:v>
                </c:pt>
                <c:pt idx="3">
                  <c:v>0</c:v>
                </c:pt>
                <c:pt idx="4">
                  <c:v>116.7251866834963</c:v>
                </c:pt>
                <c:pt idx="5">
                  <c:v>11.422774832614143</c:v>
                </c:pt>
                <c:pt idx="6">
                  <c:v>108.59335646037117</c:v>
                </c:pt>
                <c:pt idx="7">
                  <c:v>20.770629939920767</c:v>
                </c:pt>
                <c:pt idx="8">
                  <c:v>110.60973084590142</c:v>
                </c:pt>
                <c:pt idx="9">
                  <c:v>46.540620797795484</c:v>
                </c:pt>
                <c:pt idx="10">
                  <c:v>64.99806682351111</c:v>
                </c:pt>
                <c:pt idx="11">
                  <c:v>510.56113848266756</c:v>
                </c:pt>
                <c:pt idx="12">
                  <c:v>192.06666277847208</c:v>
                </c:pt>
                <c:pt idx="13">
                  <c:v>253.54321341162193</c:v>
                </c:pt>
                <c:pt idx="14">
                  <c:v>64.55528331037938</c:v>
                </c:pt>
                <c:pt idx="15">
                  <c:v>317.51521660221346</c:v>
                </c:pt>
                <c:pt idx="16">
                  <c:v>429.4450297784154</c:v>
                </c:pt>
                <c:pt idx="17">
                  <c:v>311.95065724130149</c:v>
                </c:pt>
                <c:pt idx="18">
                  <c:v>221.05259874518748</c:v>
                </c:pt>
                <c:pt idx="19">
                  <c:v>68.332409697262321</c:v>
                </c:pt>
                <c:pt idx="20">
                  <c:v>174.39690436954672</c:v>
                </c:pt>
                <c:pt idx="21">
                  <c:v>386.38725270685728</c:v>
                </c:pt>
                <c:pt idx="22">
                  <c:v>401.92367293109135</c:v>
                </c:pt>
                <c:pt idx="23">
                  <c:v>33.935034927569518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48-454E-905F-1CC0694319CB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harvest'!$AB$153:$AB$176</c:f>
                <c:numCache>
                  <c:formatCode>General</c:formatCode>
                  <c:ptCount val="24"/>
                  <c:pt idx="0">
                    <c:v>187.61455451439002</c:v>
                  </c:pt>
                  <c:pt idx="1">
                    <c:v>74.376411802208153</c:v>
                  </c:pt>
                  <c:pt idx="2">
                    <c:v>90.157558091116059</c:v>
                  </c:pt>
                  <c:pt idx="3">
                    <c:v>80.197360796503489</c:v>
                  </c:pt>
                  <c:pt idx="4">
                    <c:v>124.51978834729987</c:v>
                  </c:pt>
                  <c:pt idx="5">
                    <c:v>97.109712926387303</c:v>
                  </c:pt>
                  <c:pt idx="6">
                    <c:v>142.19721807393435</c:v>
                  </c:pt>
                  <c:pt idx="7">
                    <c:v>120.18162619610143</c:v>
                  </c:pt>
                  <c:pt idx="8">
                    <c:v>130.74483489222192</c:v>
                  </c:pt>
                  <c:pt idx="9">
                    <c:v>99.705652460754152</c:v>
                  </c:pt>
                  <c:pt idx="10">
                    <c:v>139.24793066278906</c:v>
                  </c:pt>
                  <c:pt idx="11">
                    <c:v>490.32618496851524</c:v>
                  </c:pt>
                  <c:pt idx="12">
                    <c:v>372.03361188459968</c:v>
                  </c:pt>
                  <c:pt idx="13">
                    <c:v>315.02535940497808</c:v>
                  </c:pt>
                  <c:pt idx="14">
                    <c:v>99.698465140899543</c:v>
                  </c:pt>
                  <c:pt idx="15">
                    <c:v>302.22939760134227</c:v>
                  </c:pt>
                  <c:pt idx="16">
                    <c:v>330.04880130274637</c:v>
                  </c:pt>
                  <c:pt idx="17">
                    <c:v>261.75429676850581</c:v>
                  </c:pt>
                  <c:pt idx="18">
                    <c:v>249.88924453226895</c:v>
                  </c:pt>
                  <c:pt idx="19">
                    <c:v>66.899374861677515</c:v>
                  </c:pt>
                  <c:pt idx="20">
                    <c:v>173.53017605977575</c:v>
                  </c:pt>
                  <c:pt idx="21">
                    <c:v>302.79424637674094</c:v>
                  </c:pt>
                  <c:pt idx="22">
                    <c:v>367.02864638230585</c:v>
                  </c:pt>
                  <c:pt idx="23">
                    <c:v>70.116099808013644</c:v>
                  </c:pt>
                </c:numCache>
              </c:numRef>
            </c:plus>
            <c:minus>
              <c:numRef>
                <c:f>'YE harvest'!$AB$153:$AB$176</c:f>
                <c:numCache>
                  <c:formatCode>General</c:formatCode>
                  <c:ptCount val="24"/>
                  <c:pt idx="0">
                    <c:v>187.61455451439002</c:v>
                  </c:pt>
                  <c:pt idx="1">
                    <c:v>74.376411802208153</c:v>
                  </c:pt>
                  <c:pt idx="2">
                    <c:v>90.157558091116059</c:v>
                  </c:pt>
                  <c:pt idx="3">
                    <c:v>80.197360796503489</c:v>
                  </c:pt>
                  <c:pt idx="4">
                    <c:v>124.51978834729987</c:v>
                  </c:pt>
                  <c:pt idx="5">
                    <c:v>97.109712926387303</c:v>
                  </c:pt>
                  <c:pt idx="6">
                    <c:v>142.19721807393435</c:v>
                  </c:pt>
                  <c:pt idx="7">
                    <c:v>120.18162619610143</c:v>
                  </c:pt>
                  <c:pt idx="8">
                    <c:v>130.74483489222192</c:v>
                  </c:pt>
                  <c:pt idx="9">
                    <c:v>99.705652460754152</c:v>
                  </c:pt>
                  <c:pt idx="10">
                    <c:v>139.24793066278906</c:v>
                  </c:pt>
                  <c:pt idx="11">
                    <c:v>490.32618496851524</c:v>
                  </c:pt>
                  <c:pt idx="12">
                    <c:v>372.03361188459968</c:v>
                  </c:pt>
                  <c:pt idx="13">
                    <c:v>315.02535940497808</c:v>
                  </c:pt>
                  <c:pt idx="14">
                    <c:v>99.698465140899543</c:v>
                  </c:pt>
                  <c:pt idx="15">
                    <c:v>302.22939760134227</c:v>
                  </c:pt>
                  <c:pt idx="16">
                    <c:v>330.04880130274637</c:v>
                  </c:pt>
                  <c:pt idx="17">
                    <c:v>261.75429676850581</c:v>
                  </c:pt>
                  <c:pt idx="18">
                    <c:v>249.88924453226895</c:v>
                  </c:pt>
                  <c:pt idx="19">
                    <c:v>66.899374861677515</c:v>
                  </c:pt>
                  <c:pt idx="20">
                    <c:v>173.53017605977575</c:v>
                  </c:pt>
                  <c:pt idx="21">
                    <c:v>302.79424637674094</c:v>
                  </c:pt>
                  <c:pt idx="22">
                    <c:v>367.02864638230585</c:v>
                  </c:pt>
                  <c:pt idx="23">
                    <c:v>70.116099808013644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'YE harvest'!$Y$153:$Y$176</c:f>
              <c:numCache>
                <c:formatCode>_(* #,##0_);_(* \(#,##0\);_(* "-"??_);_(@_)</c:formatCode>
                <c:ptCount val="24"/>
                <c:pt idx="0">
                  <c:v>305.18721379046434</c:v>
                </c:pt>
                <c:pt idx="1">
                  <c:v>131.42888669180024</c:v>
                </c:pt>
                <c:pt idx="2">
                  <c:v>138.85825198630636</c:v>
                </c:pt>
                <c:pt idx="3">
                  <c:v>118.41411195512632</c:v>
                </c:pt>
                <c:pt idx="4">
                  <c:v>226.27128144374532</c:v>
                </c:pt>
                <c:pt idx="5">
                  <c:v>150.18116152892958</c:v>
                </c:pt>
                <c:pt idx="6">
                  <c:v>224.9208761343499</c:v>
                </c:pt>
                <c:pt idx="7">
                  <c:v>185.61142015058118</c:v>
                </c:pt>
                <c:pt idx="8">
                  <c:v>206.60973084590142</c:v>
                </c:pt>
                <c:pt idx="9">
                  <c:v>202.5406207977955</c:v>
                </c:pt>
                <c:pt idx="10">
                  <c:v>332.99806682351112</c:v>
                </c:pt>
                <c:pt idx="11">
                  <c:v>700.5611384826675</c:v>
                </c:pt>
                <c:pt idx="12">
                  <c:v>480.06666277847205</c:v>
                </c:pt>
                <c:pt idx="13">
                  <c:v>393.54321341162193</c:v>
                </c:pt>
                <c:pt idx="14">
                  <c:v>269.55528331037937</c:v>
                </c:pt>
                <c:pt idx="15">
                  <c:v>678.51521660221351</c:v>
                </c:pt>
                <c:pt idx="16">
                  <c:v>821.44502977841535</c:v>
                </c:pt>
                <c:pt idx="17">
                  <c:v>705.95065724130154</c:v>
                </c:pt>
                <c:pt idx="18">
                  <c:v>646.05259874518742</c:v>
                </c:pt>
                <c:pt idx="19">
                  <c:v>244.33240969726234</c:v>
                </c:pt>
                <c:pt idx="20">
                  <c:v>383.39690436954675</c:v>
                </c:pt>
                <c:pt idx="21">
                  <c:v>663.38725270685723</c:v>
                </c:pt>
                <c:pt idx="22">
                  <c:v>628.92367293109135</c:v>
                </c:pt>
                <c:pt idx="23">
                  <c:v>454.93503492756952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48-454E-905F-1CC069431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PWSI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harvest'!$L$178:$L$198</c:f>
                <c:numCache>
                  <c:formatCode>General</c:formatCode>
                  <c:ptCount val="21"/>
                  <c:pt idx="0">
                    <c:v>127.718602850968</c:v>
                  </c:pt>
                  <c:pt idx="1">
                    <c:v>106.98884492780731</c:v>
                  </c:pt>
                  <c:pt idx="2">
                    <c:v>156.1967124618871</c:v>
                  </c:pt>
                  <c:pt idx="3">
                    <c:v>192.88841048148899</c:v>
                  </c:pt>
                  <c:pt idx="4">
                    <c:v>173.65033580051829</c:v>
                  </c:pt>
                  <c:pt idx="5">
                    <c:v>168.14374135521493</c:v>
                  </c:pt>
                  <c:pt idx="6">
                    <c:v>152.00427296279921</c:v>
                  </c:pt>
                  <c:pt idx="7">
                    <c:v>186.72212309952354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plus>
            <c:minus>
              <c:numRef>
                <c:f>'YE harvest'!$L$178:$L$198</c:f>
                <c:numCache>
                  <c:formatCode>General</c:formatCode>
                  <c:ptCount val="21"/>
                  <c:pt idx="0">
                    <c:v>127.718602850968</c:v>
                  </c:pt>
                  <c:pt idx="1">
                    <c:v>106.98884492780731</c:v>
                  </c:pt>
                  <c:pt idx="2">
                    <c:v>156.1967124618871</c:v>
                  </c:pt>
                  <c:pt idx="3">
                    <c:v>192.88841048148899</c:v>
                  </c:pt>
                  <c:pt idx="4">
                    <c:v>173.65033580051829</c:v>
                  </c:pt>
                  <c:pt idx="5">
                    <c:v>168.14374135521493</c:v>
                  </c:pt>
                  <c:pt idx="6">
                    <c:v>152.00427296279921</c:v>
                  </c:pt>
                  <c:pt idx="7">
                    <c:v>186.72212309952354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'YE harvest'!$I$178:$I$201</c:f>
              <c:numCache>
                <c:formatCode>_(* #,##0_);_(* \(#,##0\);_(* "-"??_);_(@_)</c:formatCode>
                <c:ptCount val="24"/>
                <c:pt idx="0">
                  <c:v>1409.7534826900001</c:v>
                </c:pt>
                <c:pt idx="1">
                  <c:v>1344.1696287750001</c:v>
                </c:pt>
                <c:pt idx="2">
                  <c:v>1272.9804899200001</c:v>
                </c:pt>
                <c:pt idx="3">
                  <c:v>1467.0700979769999</c:v>
                </c:pt>
                <c:pt idx="4">
                  <c:v>1727.2704254559999</c:v>
                </c:pt>
                <c:pt idx="5">
                  <c:v>2188.0297922310001</c:v>
                </c:pt>
                <c:pt idx="6">
                  <c:v>1966.8529611040001</c:v>
                </c:pt>
                <c:pt idx="7">
                  <c:v>1947.99557772</c:v>
                </c:pt>
                <c:pt idx="8">
                  <c:v>1907</c:v>
                </c:pt>
                <c:pt idx="9">
                  <c:v>1944</c:v>
                </c:pt>
                <c:pt idx="10">
                  <c:v>1495</c:v>
                </c:pt>
                <c:pt idx="11">
                  <c:v>1306</c:v>
                </c:pt>
                <c:pt idx="12">
                  <c:v>1880</c:v>
                </c:pt>
                <c:pt idx="13">
                  <c:v>1443</c:v>
                </c:pt>
                <c:pt idx="14">
                  <c:v>1727</c:v>
                </c:pt>
                <c:pt idx="15">
                  <c:v>1384</c:v>
                </c:pt>
                <c:pt idx="16">
                  <c:v>1470</c:v>
                </c:pt>
                <c:pt idx="17">
                  <c:v>1742</c:v>
                </c:pt>
                <c:pt idx="18">
                  <c:v>2486</c:v>
                </c:pt>
                <c:pt idx="19">
                  <c:v>1833</c:v>
                </c:pt>
                <c:pt idx="20">
                  <c:v>1314</c:v>
                </c:pt>
                <c:pt idx="21">
                  <c:v>1633</c:v>
                </c:pt>
                <c:pt idx="22">
                  <c:v>925</c:v>
                </c:pt>
                <c:pt idx="23">
                  <c:v>1380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1-4EF2-B5B4-470E7E75D687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harvest'!$W$178:$W$201</c:f>
                <c:numCache>
                  <c:formatCode>General</c:formatCode>
                  <c:ptCount val="24"/>
                  <c:pt idx="0">
                    <c:v>3910.8797812861344</c:v>
                  </c:pt>
                  <c:pt idx="1">
                    <c:v>3021.5830200181595</c:v>
                  </c:pt>
                  <c:pt idx="2">
                    <c:v>1968.0167402869115</c:v>
                  </c:pt>
                  <c:pt idx="3">
                    <c:v>8682.40741492696</c:v>
                  </c:pt>
                  <c:pt idx="4">
                    <c:v>6696.4497730620624</c:v>
                  </c:pt>
                  <c:pt idx="5">
                    <c:v>3411.7616158060191</c:v>
                  </c:pt>
                  <c:pt idx="6">
                    <c:v>5467.6847879177622</c:v>
                  </c:pt>
                  <c:pt idx="7">
                    <c:v>8176.9621036372428</c:v>
                  </c:pt>
                  <c:pt idx="8">
                    <c:v>3205.3428797789925</c:v>
                  </c:pt>
                  <c:pt idx="9">
                    <c:v>3175.5746473110289</c:v>
                  </c:pt>
                  <c:pt idx="10">
                    <c:v>2815.3048822940405</c:v>
                  </c:pt>
                  <c:pt idx="11">
                    <c:v>3289.9435844786958</c:v>
                  </c:pt>
                  <c:pt idx="12">
                    <c:v>2574.1069503923818</c:v>
                  </c:pt>
                  <c:pt idx="13">
                    <c:v>3409.6829622841096</c:v>
                  </c:pt>
                  <c:pt idx="14">
                    <c:v>3533.0257374029875</c:v>
                  </c:pt>
                  <c:pt idx="15">
                    <c:v>2502.9991681619331</c:v>
                  </c:pt>
                  <c:pt idx="16">
                    <c:v>5023.6391539006008</c:v>
                  </c:pt>
                  <c:pt idx="17">
                    <c:v>6838.3954198835509</c:v>
                  </c:pt>
                  <c:pt idx="18">
                    <c:v>5112.3735688279949</c:v>
                  </c:pt>
                  <c:pt idx="19">
                    <c:v>3971.6992847524916</c:v>
                  </c:pt>
                  <c:pt idx="20">
                    <c:v>1832.5271812963097</c:v>
                  </c:pt>
                  <c:pt idx="21">
                    <c:v>3671.6725973323914</c:v>
                  </c:pt>
                  <c:pt idx="22">
                    <c:v>1930.9451343654514</c:v>
                  </c:pt>
                  <c:pt idx="23">
                    <c:v>2775.2518270933706</c:v>
                  </c:pt>
                </c:numCache>
              </c:numRef>
            </c:plus>
            <c:minus>
              <c:numRef>
                <c:f>'YE harvest'!$W$178:$W$201</c:f>
                <c:numCache>
                  <c:formatCode>General</c:formatCode>
                  <c:ptCount val="24"/>
                  <c:pt idx="0">
                    <c:v>3910.8797812861344</c:v>
                  </c:pt>
                  <c:pt idx="1">
                    <c:v>3021.5830200181595</c:v>
                  </c:pt>
                  <c:pt idx="2">
                    <c:v>1968.0167402869115</c:v>
                  </c:pt>
                  <c:pt idx="3">
                    <c:v>8682.40741492696</c:v>
                  </c:pt>
                  <c:pt idx="4">
                    <c:v>6696.4497730620624</c:v>
                  </c:pt>
                  <c:pt idx="5">
                    <c:v>3411.7616158060191</c:v>
                  </c:pt>
                  <c:pt idx="6">
                    <c:v>5467.6847879177622</c:v>
                  </c:pt>
                  <c:pt idx="7">
                    <c:v>8176.9621036372428</c:v>
                  </c:pt>
                  <c:pt idx="8">
                    <c:v>3205.3428797789925</c:v>
                  </c:pt>
                  <c:pt idx="9">
                    <c:v>3175.5746473110289</c:v>
                  </c:pt>
                  <c:pt idx="10">
                    <c:v>2815.3048822940405</c:v>
                  </c:pt>
                  <c:pt idx="11">
                    <c:v>3289.9435844786958</c:v>
                  </c:pt>
                  <c:pt idx="12">
                    <c:v>2574.1069503923818</c:v>
                  </c:pt>
                  <c:pt idx="13">
                    <c:v>3409.6829622841096</c:v>
                  </c:pt>
                  <c:pt idx="14">
                    <c:v>3533.0257374029875</c:v>
                  </c:pt>
                  <c:pt idx="15">
                    <c:v>2502.9991681619331</c:v>
                  </c:pt>
                  <c:pt idx="16">
                    <c:v>5023.6391539006008</c:v>
                  </c:pt>
                  <c:pt idx="17">
                    <c:v>6838.3954198835509</c:v>
                  </c:pt>
                  <c:pt idx="18">
                    <c:v>5112.3735688279949</c:v>
                  </c:pt>
                  <c:pt idx="19">
                    <c:v>3971.6992847524916</c:v>
                  </c:pt>
                  <c:pt idx="20">
                    <c:v>1832.5271812963097</c:v>
                  </c:pt>
                  <c:pt idx="21">
                    <c:v>3671.6725973323914</c:v>
                  </c:pt>
                  <c:pt idx="22">
                    <c:v>1930.9451343654514</c:v>
                  </c:pt>
                  <c:pt idx="23">
                    <c:v>2775.2518270933706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'YE harvest'!$T$178:$T$201</c:f>
              <c:numCache>
                <c:formatCode>_(* #,##0_);_(* \(#,##0\);_(* "-"??_);_(@_)</c:formatCode>
                <c:ptCount val="24"/>
                <c:pt idx="0">
                  <c:v>2913.5557125168589</c:v>
                </c:pt>
                <c:pt idx="1">
                  <c:v>4888.3243301137445</c:v>
                </c:pt>
                <c:pt idx="2">
                  <c:v>2920.6002851339726</c:v>
                </c:pt>
                <c:pt idx="3">
                  <c:v>14539.181256042302</c:v>
                </c:pt>
                <c:pt idx="4">
                  <c:v>11037.393504111156</c:v>
                </c:pt>
                <c:pt idx="5">
                  <c:v>5365.3409433173529</c:v>
                </c:pt>
                <c:pt idx="6">
                  <c:v>8787.3789914991394</c:v>
                </c:pt>
                <c:pt idx="7">
                  <c:v>13464.969764932121</c:v>
                </c:pt>
                <c:pt idx="8">
                  <c:v>5150.6247000212579</c:v>
                </c:pt>
                <c:pt idx="9">
                  <c:v>4868.5266224150455</c:v>
                </c:pt>
                <c:pt idx="10">
                  <c:v>4525.3625949699981</c:v>
                </c:pt>
                <c:pt idx="11">
                  <c:v>5350.4104345946271</c:v>
                </c:pt>
                <c:pt idx="12">
                  <c:v>4010.5222992868262</c:v>
                </c:pt>
                <c:pt idx="13">
                  <c:v>8570.1492817260678</c:v>
                </c:pt>
                <c:pt idx="14">
                  <c:v>9566.9703631396951</c:v>
                </c:pt>
                <c:pt idx="15">
                  <c:v>7163.6810594375947</c:v>
                </c:pt>
                <c:pt idx="16">
                  <c:v>13411.883454497516</c:v>
                </c:pt>
                <c:pt idx="17">
                  <c:v>22143.877389538386</c:v>
                </c:pt>
                <c:pt idx="18">
                  <c:v>9573.1258592419326</c:v>
                </c:pt>
                <c:pt idx="19">
                  <c:v>8920.7207659911419</c:v>
                </c:pt>
                <c:pt idx="20">
                  <c:v>3906.3968911926117</c:v>
                </c:pt>
                <c:pt idx="21">
                  <c:v>10457.512924557934</c:v>
                </c:pt>
                <c:pt idx="22">
                  <c:v>4971.8659756685465</c:v>
                </c:pt>
                <c:pt idx="23">
                  <c:v>6857.8394221007584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A1-4EF2-B5B4-470E7E75D687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harvest'!$AB$178:$AB$201</c:f>
                <c:numCache>
                  <c:formatCode>General</c:formatCode>
                  <c:ptCount val="24"/>
                  <c:pt idx="0">
                    <c:v>3912.964695111225</c:v>
                  </c:pt>
                  <c:pt idx="1">
                    <c:v>3023.4765684226904</c:v>
                  </c:pt>
                  <c:pt idx="2">
                    <c:v>1974.2054865270288</c:v>
                  </c:pt>
                  <c:pt idx="3">
                    <c:v>8684.5497556106347</c:v>
                  </c:pt>
                  <c:pt idx="4">
                    <c:v>6698.7009190041153</c:v>
                  </c:pt>
                  <c:pt idx="5">
                    <c:v>3415.9024636022946</c:v>
                  </c:pt>
                  <c:pt idx="6">
                    <c:v>5469.7972758618989</c:v>
                  </c:pt>
                  <c:pt idx="7">
                    <c:v>8179.0937392583046</c:v>
                  </c:pt>
                  <c:pt idx="8">
                    <c:v>3205.3428797789925</c:v>
                  </c:pt>
                  <c:pt idx="9">
                    <c:v>3175.5746473110289</c:v>
                  </c:pt>
                  <c:pt idx="10">
                    <c:v>2815.3048822940405</c:v>
                  </c:pt>
                  <c:pt idx="11">
                    <c:v>3289.9435844786958</c:v>
                  </c:pt>
                  <c:pt idx="12">
                    <c:v>2574.1069503923818</c:v>
                  </c:pt>
                  <c:pt idx="13">
                    <c:v>3409.6829622841096</c:v>
                  </c:pt>
                  <c:pt idx="14">
                    <c:v>3533.0257374029875</c:v>
                  </c:pt>
                  <c:pt idx="15">
                    <c:v>2502.9991681619331</c:v>
                  </c:pt>
                  <c:pt idx="16">
                    <c:v>5023.6391539006008</c:v>
                  </c:pt>
                  <c:pt idx="17">
                    <c:v>6838.3954198835509</c:v>
                  </c:pt>
                  <c:pt idx="18">
                    <c:v>5112.3735688279949</c:v>
                  </c:pt>
                  <c:pt idx="19">
                    <c:v>3971.6992847524916</c:v>
                  </c:pt>
                  <c:pt idx="20">
                    <c:v>1832.5271812963097</c:v>
                  </c:pt>
                  <c:pt idx="21">
                    <c:v>3671.6725973323914</c:v>
                  </c:pt>
                  <c:pt idx="22">
                    <c:v>1930.9451343654514</c:v>
                  </c:pt>
                  <c:pt idx="23">
                    <c:v>2775.2518270933706</c:v>
                  </c:pt>
                </c:numCache>
              </c:numRef>
            </c:plus>
            <c:minus>
              <c:numRef>
                <c:f>'YE harvest'!$AB$178:$AB$201</c:f>
                <c:numCache>
                  <c:formatCode>General</c:formatCode>
                  <c:ptCount val="24"/>
                  <c:pt idx="0">
                    <c:v>3912.964695111225</c:v>
                  </c:pt>
                  <c:pt idx="1">
                    <c:v>3023.4765684226904</c:v>
                  </c:pt>
                  <c:pt idx="2">
                    <c:v>1974.2054865270288</c:v>
                  </c:pt>
                  <c:pt idx="3">
                    <c:v>8684.5497556106347</c:v>
                  </c:pt>
                  <c:pt idx="4">
                    <c:v>6698.7009190041153</c:v>
                  </c:pt>
                  <c:pt idx="5">
                    <c:v>3415.9024636022946</c:v>
                  </c:pt>
                  <c:pt idx="6">
                    <c:v>5469.7972758618989</c:v>
                  </c:pt>
                  <c:pt idx="7">
                    <c:v>8179.0937392583046</c:v>
                  </c:pt>
                  <c:pt idx="8">
                    <c:v>3205.3428797789925</c:v>
                  </c:pt>
                  <c:pt idx="9">
                    <c:v>3175.5746473110289</c:v>
                  </c:pt>
                  <c:pt idx="10">
                    <c:v>2815.3048822940405</c:v>
                  </c:pt>
                  <c:pt idx="11">
                    <c:v>3289.9435844786958</c:v>
                  </c:pt>
                  <c:pt idx="12">
                    <c:v>2574.1069503923818</c:v>
                  </c:pt>
                  <c:pt idx="13">
                    <c:v>3409.6829622841096</c:v>
                  </c:pt>
                  <c:pt idx="14">
                    <c:v>3533.0257374029875</c:v>
                  </c:pt>
                  <c:pt idx="15">
                    <c:v>2502.9991681619331</c:v>
                  </c:pt>
                  <c:pt idx="16">
                    <c:v>5023.6391539006008</c:v>
                  </c:pt>
                  <c:pt idx="17">
                    <c:v>6838.3954198835509</c:v>
                  </c:pt>
                  <c:pt idx="18">
                    <c:v>5112.3735688279949</c:v>
                  </c:pt>
                  <c:pt idx="19">
                    <c:v>3971.6992847524916</c:v>
                  </c:pt>
                  <c:pt idx="20">
                    <c:v>1832.5271812963097</c:v>
                  </c:pt>
                  <c:pt idx="21">
                    <c:v>3671.6725973323914</c:v>
                  </c:pt>
                  <c:pt idx="22">
                    <c:v>1930.9451343654514</c:v>
                  </c:pt>
                  <c:pt idx="23">
                    <c:v>2775.2518270933706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'YE harvest'!$Y$178:$Y$201</c:f>
              <c:numCache>
                <c:formatCode>_(* #,##0_);_(* \(#,##0\);_(* "-"??_);_(@_)</c:formatCode>
                <c:ptCount val="24"/>
                <c:pt idx="0">
                  <c:v>4323.3091952068589</c:v>
                </c:pt>
                <c:pt idx="1">
                  <c:v>6232.4939588887446</c:v>
                </c:pt>
                <c:pt idx="2">
                  <c:v>4193.5807750539725</c:v>
                </c:pt>
                <c:pt idx="3">
                  <c:v>16006.251354019303</c:v>
                </c:pt>
                <c:pt idx="4">
                  <c:v>12764.663929567156</c:v>
                </c:pt>
                <c:pt idx="5">
                  <c:v>7553.370735548353</c:v>
                </c:pt>
                <c:pt idx="6">
                  <c:v>10754.231952603139</c:v>
                </c:pt>
                <c:pt idx="7">
                  <c:v>15412.96534265212</c:v>
                </c:pt>
                <c:pt idx="8">
                  <c:v>7057.6247000212579</c:v>
                </c:pt>
                <c:pt idx="9">
                  <c:v>6812.5266224150455</c:v>
                </c:pt>
                <c:pt idx="10">
                  <c:v>6020.3625949699981</c:v>
                </c:pt>
                <c:pt idx="11">
                  <c:v>6656.4104345946271</c:v>
                </c:pt>
                <c:pt idx="12">
                  <c:v>5890.5222992868257</c:v>
                </c:pt>
                <c:pt idx="13">
                  <c:v>10013.149281726068</c:v>
                </c:pt>
                <c:pt idx="14">
                  <c:v>11293.970363139695</c:v>
                </c:pt>
                <c:pt idx="15">
                  <c:v>8547.6810594375947</c:v>
                </c:pt>
                <c:pt idx="16">
                  <c:v>14881.883454497516</c:v>
                </c:pt>
                <c:pt idx="17">
                  <c:v>23885.877389538386</c:v>
                </c:pt>
                <c:pt idx="18">
                  <c:v>12059.125859241933</c:v>
                </c:pt>
                <c:pt idx="19">
                  <c:v>10753.720765991142</c:v>
                </c:pt>
                <c:pt idx="20">
                  <c:v>5220.3968911926113</c:v>
                </c:pt>
                <c:pt idx="21">
                  <c:v>12090.512924557934</c:v>
                </c:pt>
                <c:pt idx="22">
                  <c:v>5896.8659756685465</c:v>
                </c:pt>
                <c:pt idx="23">
                  <c:v>8237.8394221007584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A1-4EF2-B5B4-470E7E75D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PWSO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harvest'!$L$203:$L$223</c:f>
                <c:numCache>
                  <c:formatCode>General</c:formatCode>
                  <c:ptCount val="21"/>
                  <c:pt idx="0">
                    <c:v>127.37583851006069</c:v>
                  </c:pt>
                  <c:pt idx="1">
                    <c:v>56.491705350096915</c:v>
                  </c:pt>
                  <c:pt idx="2">
                    <c:v>83.937534963830316</c:v>
                  </c:pt>
                  <c:pt idx="3">
                    <c:v>139.18678920760127</c:v>
                  </c:pt>
                  <c:pt idx="4">
                    <c:v>88.928818659813871</c:v>
                  </c:pt>
                  <c:pt idx="5">
                    <c:v>101.80661978514715</c:v>
                  </c:pt>
                  <c:pt idx="6">
                    <c:v>111.61746564231852</c:v>
                  </c:pt>
                  <c:pt idx="7">
                    <c:v>189.14477171440473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plus>
            <c:minus>
              <c:numRef>
                <c:f>'YE harvest'!$L$203:$L$223</c:f>
                <c:numCache>
                  <c:formatCode>General</c:formatCode>
                  <c:ptCount val="21"/>
                  <c:pt idx="0">
                    <c:v>127.37583851006069</c:v>
                  </c:pt>
                  <c:pt idx="1">
                    <c:v>56.491705350096915</c:v>
                  </c:pt>
                  <c:pt idx="2">
                    <c:v>83.937534963830316</c:v>
                  </c:pt>
                  <c:pt idx="3">
                    <c:v>139.18678920760127</c:v>
                  </c:pt>
                  <c:pt idx="4">
                    <c:v>88.928818659813871</c:v>
                  </c:pt>
                  <c:pt idx="5">
                    <c:v>101.80661978514715</c:v>
                  </c:pt>
                  <c:pt idx="6">
                    <c:v>111.61746564231852</c:v>
                  </c:pt>
                  <c:pt idx="7">
                    <c:v>189.14477171440473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'YE harvest'!$I$203:$I$226</c:f>
              <c:numCache>
                <c:formatCode>_(* #,##0_);_(* \(#,##0\);_(* "-"??_);_(@_)</c:formatCode>
                <c:ptCount val="24"/>
                <c:pt idx="0">
                  <c:v>1292.5859008719999</c:v>
                </c:pt>
                <c:pt idx="1">
                  <c:v>1222.0372710270001</c:v>
                </c:pt>
                <c:pt idx="2">
                  <c:v>1930.4948329099998</c:v>
                </c:pt>
                <c:pt idx="3">
                  <c:v>2460.3332614559999</c:v>
                </c:pt>
                <c:pt idx="4">
                  <c:v>2109.877639928</c:v>
                </c:pt>
                <c:pt idx="5">
                  <c:v>2074.7963656800002</c:v>
                </c:pt>
                <c:pt idx="6">
                  <c:v>2591.8712881920001</c:v>
                </c:pt>
                <c:pt idx="7">
                  <c:v>1563.4971133880001</c:v>
                </c:pt>
                <c:pt idx="8">
                  <c:v>2437</c:v>
                </c:pt>
                <c:pt idx="9">
                  <c:v>3287</c:v>
                </c:pt>
                <c:pt idx="10">
                  <c:v>2906</c:v>
                </c:pt>
                <c:pt idx="11">
                  <c:v>2889</c:v>
                </c:pt>
                <c:pt idx="12">
                  <c:v>3537</c:v>
                </c:pt>
                <c:pt idx="13">
                  <c:v>3189</c:v>
                </c:pt>
                <c:pt idx="14">
                  <c:v>3484</c:v>
                </c:pt>
                <c:pt idx="15">
                  <c:v>3409</c:v>
                </c:pt>
                <c:pt idx="16">
                  <c:v>3473</c:v>
                </c:pt>
                <c:pt idx="17">
                  <c:v>4084</c:v>
                </c:pt>
                <c:pt idx="18">
                  <c:v>5233</c:v>
                </c:pt>
                <c:pt idx="19">
                  <c:v>5242</c:v>
                </c:pt>
                <c:pt idx="20">
                  <c:v>3304</c:v>
                </c:pt>
                <c:pt idx="21">
                  <c:v>5092</c:v>
                </c:pt>
                <c:pt idx="22">
                  <c:v>3259</c:v>
                </c:pt>
                <c:pt idx="23">
                  <c:v>3753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1-46E8-9162-C55784E17C65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harvest'!$W$203:$W$226</c:f>
                <c:numCache>
                  <c:formatCode>General</c:formatCode>
                  <c:ptCount val="24"/>
                  <c:pt idx="0">
                    <c:v>329.62276009822432</c:v>
                  </c:pt>
                  <c:pt idx="1">
                    <c:v>213.55055138784979</c:v>
                  </c:pt>
                  <c:pt idx="2">
                    <c:v>429.70424402030557</c:v>
                  </c:pt>
                  <c:pt idx="3">
                    <c:v>833.23314251154773</c:v>
                  </c:pt>
                  <c:pt idx="4">
                    <c:v>419.19870971171736</c:v>
                  </c:pt>
                  <c:pt idx="5">
                    <c:v>196.71966642781265</c:v>
                  </c:pt>
                  <c:pt idx="6">
                    <c:v>269.00689642452028</c:v>
                  </c:pt>
                  <c:pt idx="7">
                    <c:v>211.25466055669614</c:v>
                  </c:pt>
                  <c:pt idx="8">
                    <c:v>424.35850753584702</c:v>
                  </c:pt>
                  <c:pt idx="9">
                    <c:v>567.01994467326779</c:v>
                  </c:pt>
                  <c:pt idx="10">
                    <c:v>622.29021145606134</c:v>
                  </c:pt>
                  <c:pt idx="11">
                    <c:v>571.80419192459294</c:v>
                  </c:pt>
                  <c:pt idx="12">
                    <c:v>355.90143653566622</c:v>
                  </c:pt>
                  <c:pt idx="13">
                    <c:v>343.47069240242826</c:v>
                  </c:pt>
                  <c:pt idx="14">
                    <c:v>267.79277458280353</c:v>
                  </c:pt>
                  <c:pt idx="15">
                    <c:v>403.60228058469932</c:v>
                  </c:pt>
                  <c:pt idx="16">
                    <c:v>752.9049542899952</c:v>
                  </c:pt>
                  <c:pt idx="17">
                    <c:v>244.43670273651938</c:v>
                  </c:pt>
                  <c:pt idx="18">
                    <c:v>418.72234597114198</c:v>
                  </c:pt>
                  <c:pt idx="19">
                    <c:v>897.55127126089508</c:v>
                  </c:pt>
                  <c:pt idx="20">
                    <c:v>715.07988462616709</c:v>
                  </c:pt>
                  <c:pt idx="21">
                    <c:v>769.72392350154371</c:v>
                  </c:pt>
                  <c:pt idx="22">
                    <c:v>589.44546187408991</c:v>
                  </c:pt>
                  <c:pt idx="23">
                    <c:v>1393.4572038751398</c:v>
                  </c:pt>
                </c:numCache>
              </c:numRef>
            </c:plus>
            <c:minus>
              <c:numRef>
                <c:f>'YE harvest'!$W$203:$W$226</c:f>
                <c:numCache>
                  <c:formatCode>General</c:formatCode>
                  <c:ptCount val="24"/>
                  <c:pt idx="0">
                    <c:v>329.62276009822432</c:v>
                  </c:pt>
                  <c:pt idx="1">
                    <c:v>213.55055138784979</c:v>
                  </c:pt>
                  <c:pt idx="2">
                    <c:v>429.70424402030557</c:v>
                  </c:pt>
                  <c:pt idx="3">
                    <c:v>833.23314251154773</c:v>
                  </c:pt>
                  <c:pt idx="4">
                    <c:v>419.19870971171736</c:v>
                  </c:pt>
                  <c:pt idx="5">
                    <c:v>196.71966642781265</c:v>
                  </c:pt>
                  <c:pt idx="6">
                    <c:v>269.00689642452028</c:v>
                  </c:pt>
                  <c:pt idx="7">
                    <c:v>211.25466055669614</c:v>
                  </c:pt>
                  <c:pt idx="8">
                    <c:v>424.35850753584702</c:v>
                  </c:pt>
                  <c:pt idx="9">
                    <c:v>567.01994467326779</c:v>
                  </c:pt>
                  <c:pt idx="10">
                    <c:v>622.29021145606134</c:v>
                  </c:pt>
                  <c:pt idx="11">
                    <c:v>571.80419192459294</c:v>
                  </c:pt>
                  <c:pt idx="12">
                    <c:v>355.90143653566622</c:v>
                  </c:pt>
                  <c:pt idx="13">
                    <c:v>343.47069240242826</c:v>
                  </c:pt>
                  <c:pt idx="14">
                    <c:v>267.79277458280353</c:v>
                  </c:pt>
                  <c:pt idx="15">
                    <c:v>403.60228058469932</c:v>
                  </c:pt>
                  <c:pt idx="16">
                    <c:v>752.9049542899952</c:v>
                  </c:pt>
                  <c:pt idx="17">
                    <c:v>244.43670273651938</c:v>
                  </c:pt>
                  <c:pt idx="18">
                    <c:v>418.72234597114198</c:v>
                  </c:pt>
                  <c:pt idx="19">
                    <c:v>897.55127126089508</c:v>
                  </c:pt>
                  <c:pt idx="20">
                    <c:v>715.07988462616709</c:v>
                  </c:pt>
                  <c:pt idx="21">
                    <c:v>769.72392350154371</c:v>
                  </c:pt>
                  <c:pt idx="22">
                    <c:v>589.44546187408991</c:v>
                  </c:pt>
                  <c:pt idx="23">
                    <c:v>1393.4572038751398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'YE harvest'!$T$203:$T$226</c:f>
              <c:numCache>
                <c:formatCode>_(* #,##0_);_(* \(#,##0\);_(* "-"??_);_(@_)</c:formatCode>
                <c:ptCount val="24"/>
                <c:pt idx="0">
                  <c:v>232.12721421788498</c:v>
                </c:pt>
                <c:pt idx="1">
                  <c:v>150.38674687871443</c:v>
                </c:pt>
                <c:pt idx="2">
                  <c:v>302.60668004937673</c:v>
                </c:pt>
                <c:pt idx="3">
                  <c:v>813.25735663541172</c:v>
                </c:pt>
                <c:pt idx="4">
                  <c:v>295.20846394258746</c:v>
                </c:pt>
                <c:pt idx="5">
                  <c:v>142.34781173153203</c:v>
                </c:pt>
                <c:pt idx="6">
                  <c:v>193.39091390695697</c:v>
                </c:pt>
                <c:pt idx="7">
                  <c:v>155.55531687074389</c:v>
                </c:pt>
                <c:pt idx="8">
                  <c:v>298.84210105698401</c:v>
                </c:pt>
                <c:pt idx="9">
                  <c:v>399.30725694962115</c:v>
                </c:pt>
                <c:pt idx="10">
                  <c:v>438.22973018401194</c:v>
                </c:pt>
                <c:pt idx="11">
                  <c:v>551.35711539355316</c:v>
                </c:pt>
                <c:pt idx="12">
                  <c:v>322.34873136108013</c:v>
                </c:pt>
                <c:pt idx="13">
                  <c:v>442.43468675706418</c:v>
                </c:pt>
                <c:pt idx="14">
                  <c:v>414.82816060478376</c:v>
                </c:pt>
                <c:pt idx="15">
                  <c:v>574.71989366113291</c:v>
                </c:pt>
                <c:pt idx="16">
                  <c:v>1277.0547256455109</c:v>
                </c:pt>
                <c:pt idx="17">
                  <c:v>385.95773837717155</c:v>
                </c:pt>
                <c:pt idx="18">
                  <c:v>830.53221091107446</c:v>
                </c:pt>
                <c:pt idx="19">
                  <c:v>1170.5704511017502</c:v>
                </c:pt>
                <c:pt idx="20">
                  <c:v>984.021274198269</c:v>
                </c:pt>
                <c:pt idx="21">
                  <c:v>1073.5368305679594</c:v>
                </c:pt>
                <c:pt idx="22">
                  <c:v>914.7521858856494</c:v>
                </c:pt>
                <c:pt idx="23">
                  <c:v>2141.1105598690137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C1-46E8-9162-C55784E17C65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harvest'!$AB$203:$AB$226</c:f>
                <c:numCache>
                  <c:formatCode>General</c:formatCode>
                  <c:ptCount val="24"/>
                  <c:pt idx="0">
                    <c:v>353.37765663792698</c:v>
                  </c:pt>
                  <c:pt idx="1">
                    <c:v>220.89624435788139</c:v>
                  </c:pt>
                  <c:pt idx="2">
                    <c:v>437.82558982415196</c:v>
                  </c:pt>
                  <c:pt idx="3">
                    <c:v>844.77833309667119</c:v>
                  </c:pt>
                  <c:pt idx="4">
                    <c:v>428.52758722420515</c:v>
                  </c:pt>
                  <c:pt idx="5">
                    <c:v>221.5021782997797</c:v>
                  </c:pt>
                  <c:pt idx="6">
                    <c:v>291.24417412261954</c:v>
                  </c:pt>
                  <c:pt idx="7">
                    <c:v>283.55647810236889</c:v>
                  </c:pt>
                  <c:pt idx="8">
                    <c:v>424.35850753584702</c:v>
                  </c:pt>
                  <c:pt idx="9">
                    <c:v>567.01994467326779</c:v>
                  </c:pt>
                  <c:pt idx="10">
                    <c:v>622.29021145606134</c:v>
                  </c:pt>
                  <c:pt idx="11">
                    <c:v>571.80419192459294</c:v>
                  </c:pt>
                  <c:pt idx="12">
                    <c:v>355.90143653566622</c:v>
                  </c:pt>
                  <c:pt idx="13">
                    <c:v>343.47069240242826</c:v>
                  </c:pt>
                  <c:pt idx="14">
                    <c:v>267.79277458280353</c:v>
                  </c:pt>
                  <c:pt idx="15">
                    <c:v>403.60228058469932</c:v>
                  </c:pt>
                  <c:pt idx="16">
                    <c:v>752.9049542899952</c:v>
                  </c:pt>
                  <c:pt idx="17">
                    <c:v>244.43670273651938</c:v>
                  </c:pt>
                  <c:pt idx="18">
                    <c:v>418.72234597114198</c:v>
                  </c:pt>
                  <c:pt idx="19">
                    <c:v>897.55127126089508</c:v>
                  </c:pt>
                  <c:pt idx="20">
                    <c:v>715.07988462616709</c:v>
                  </c:pt>
                  <c:pt idx="21">
                    <c:v>769.72392350154371</c:v>
                  </c:pt>
                  <c:pt idx="22">
                    <c:v>589.44546187408991</c:v>
                  </c:pt>
                  <c:pt idx="23">
                    <c:v>1393.4572038751398</c:v>
                  </c:pt>
                </c:numCache>
              </c:numRef>
            </c:plus>
            <c:minus>
              <c:numRef>
                <c:f>'YE harvest'!$AB$203:$AB$226</c:f>
                <c:numCache>
                  <c:formatCode>General</c:formatCode>
                  <c:ptCount val="24"/>
                  <c:pt idx="0">
                    <c:v>353.37765663792698</c:v>
                  </c:pt>
                  <c:pt idx="1">
                    <c:v>220.89624435788139</c:v>
                  </c:pt>
                  <c:pt idx="2">
                    <c:v>437.82558982415196</c:v>
                  </c:pt>
                  <c:pt idx="3">
                    <c:v>844.77833309667119</c:v>
                  </c:pt>
                  <c:pt idx="4">
                    <c:v>428.52758722420515</c:v>
                  </c:pt>
                  <c:pt idx="5">
                    <c:v>221.5021782997797</c:v>
                  </c:pt>
                  <c:pt idx="6">
                    <c:v>291.24417412261954</c:v>
                  </c:pt>
                  <c:pt idx="7">
                    <c:v>283.55647810236889</c:v>
                  </c:pt>
                  <c:pt idx="8">
                    <c:v>424.35850753584702</c:v>
                  </c:pt>
                  <c:pt idx="9">
                    <c:v>567.01994467326779</c:v>
                  </c:pt>
                  <c:pt idx="10">
                    <c:v>622.29021145606134</c:v>
                  </c:pt>
                  <c:pt idx="11">
                    <c:v>571.80419192459294</c:v>
                  </c:pt>
                  <c:pt idx="12">
                    <c:v>355.90143653566622</c:v>
                  </c:pt>
                  <c:pt idx="13">
                    <c:v>343.47069240242826</c:v>
                  </c:pt>
                  <c:pt idx="14">
                    <c:v>267.79277458280353</c:v>
                  </c:pt>
                  <c:pt idx="15">
                    <c:v>403.60228058469932</c:v>
                  </c:pt>
                  <c:pt idx="16">
                    <c:v>752.9049542899952</c:v>
                  </c:pt>
                  <c:pt idx="17">
                    <c:v>244.43670273651938</c:v>
                  </c:pt>
                  <c:pt idx="18">
                    <c:v>418.72234597114198</c:v>
                  </c:pt>
                  <c:pt idx="19">
                    <c:v>897.55127126089508</c:v>
                  </c:pt>
                  <c:pt idx="20">
                    <c:v>715.07988462616709</c:v>
                  </c:pt>
                  <c:pt idx="21">
                    <c:v>769.72392350154371</c:v>
                  </c:pt>
                  <c:pt idx="22">
                    <c:v>589.44546187408991</c:v>
                  </c:pt>
                  <c:pt idx="23">
                    <c:v>1393.4572038751398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'YE harvest'!$Y$203:$Y$226</c:f>
              <c:numCache>
                <c:formatCode>_(* #,##0_);_(* \(#,##0\);_(* "-"??_);_(@_)</c:formatCode>
                <c:ptCount val="24"/>
                <c:pt idx="0">
                  <c:v>1524.7131150898849</c:v>
                </c:pt>
                <c:pt idx="1">
                  <c:v>1372.4240179057144</c:v>
                </c:pt>
                <c:pt idx="2">
                  <c:v>2233.1015129593766</c:v>
                </c:pt>
                <c:pt idx="3">
                  <c:v>3273.5906180914117</c:v>
                </c:pt>
                <c:pt idx="4">
                  <c:v>2405.0861038705875</c:v>
                </c:pt>
                <c:pt idx="5">
                  <c:v>2217.1441774115324</c:v>
                </c:pt>
                <c:pt idx="6">
                  <c:v>2785.262202098957</c:v>
                </c:pt>
                <c:pt idx="7">
                  <c:v>1719.0524302587439</c:v>
                </c:pt>
                <c:pt idx="8">
                  <c:v>2735.8421010569841</c:v>
                </c:pt>
                <c:pt idx="9">
                  <c:v>3686.3072569496212</c:v>
                </c:pt>
                <c:pt idx="10">
                  <c:v>3344.2297301840117</c:v>
                </c:pt>
                <c:pt idx="11">
                  <c:v>3440.3571153935532</c:v>
                </c:pt>
                <c:pt idx="12">
                  <c:v>3859.3487313610804</c:v>
                </c:pt>
                <c:pt idx="13">
                  <c:v>3631.4346867570644</c:v>
                </c:pt>
                <c:pt idx="14">
                  <c:v>3898.828160604784</c:v>
                </c:pt>
                <c:pt idx="15">
                  <c:v>3983.719893661133</c:v>
                </c:pt>
                <c:pt idx="16">
                  <c:v>4750.0547256455111</c:v>
                </c:pt>
                <c:pt idx="17">
                  <c:v>4469.9577383771712</c:v>
                </c:pt>
                <c:pt idx="18">
                  <c:v>6063.5322109110748</c:v>
                </c:pt>
                <c:pt idx="19">
                  <c:v>6412.5704511017502</c:v>
                </c:pt>
                <c:pt idx="20">
                  <c:v>4288.0212741982687</c:v>
                </c:pt>
                <c:pt idx="21">
                  <c:v>6165.5368305679594</c:v>
                </c:pt>
                <c:pt idx="22">
                  <c:v>4173.7521858856489</c:v>
                </c:pt>
                <c:pt idx="23">
                  <c:v>5894.1105598690137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C1-46E8-9162-C55784E17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CSEO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harvest'!$L$228:$L$248</c:f>
                <c:numCache>
                  <c:formatCode>General</c:formatCode>
                  <c:ptCount val="21"/>
                  <c:pt idx="0">
                    <c:v>1499.1546106332517</c:v>
                  </c:pt>
                  <c:pt idx="1">
                    <c:v>1773.7855450169031</c:v>
                  </c:pt>
                  <c:pt idx="2">
                    <c:v>3387.9303909822847</c:v>
                  </c:pt>
                  <c:pt idx="3">
                    <c:v>3378.1439879752952</c:v>
                  </c:pt>
                  <c:pt idx="4">
                    <c:v>2690.6491767342609</c:v>
                  </c:pt>
                  <c:pt idx="5">
                    <c:v>2618.1686294637425</c:v>
                  </c:pt>
                  <c:pt idx="6">
                    <c:v>3672.0419032789578</c:v>
                  </c:pt>
                  <c:pt idx="7">
                    <c:v>4409.3862048368464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plus>
            <c:minus>
              <c:numRef>
                <c:f>'YE harvest'!$L$228:$L$248</c:f>
                <c:numCache>
                  <c:formatCode>General</c:formatCode>
                  <c:ptCount val="21"/>
                  <c:pt idx="0">
                    <c:v>1499.1546106332517</c:v>
                  </c:pt>
                  <c:pt idx="1">
                    <c:v>1773.7855450169031</c:v>
                  </c:pt>
                  <c:pt idx="2">
                    <c:v>3387.9303909822847</c:v>
                  </c:pt>
                  <c:pt idx="3">
                    <c:v>3378.1439879752952</c:v>
                  </c:pt>
                  <c:pt idx="4">
                    <c:v>2690.6491767342609</c:v>
                  </c:pt>
                  <c:pt idx="5">
                    <c:v>2618.1686294637425</c:v>
                  </c:pt>
                  <c:pt idx="6">
                    <c:v>3672.0419032789578</c:v>
                  </c:pt>
                  <c:pt idx="7">
                    <c:v>4409.3862048368464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'YE harvest'!$I$228:$I$251</c:f>
              <c:numCache>
                <c:formatCode>_(* #,##0_);_(* \(#,##0\);_(* "-"??_);_(@_)</c:formatCode>
                <c:ptCount val="24"/>
                <c:pt idx="0">
                  <c:v>2311.8284895780002</c:v>
                </c:pt>
                <c:pt idx="1">
                  <c:v>2735.3335861999999</c:v>
                </c:pt>
                <c:pt idx="2">
                  <c:v>5224.4871496420001</c:v>
                </c:pt>
                <c:pt idx="3">
                  <c:v>5209.395653994</c:v>
                </c:pt>
                <c:pt idx="4">
                  <c:v>4149.2180847219997</c:v>
                </c:pt>
                <c:pt idx="5">
                  <c:v>4037.4466950790002</c:v>
                </c:pt>
                <c:pt idx="6">
                  <c:v>5662.6121326729999</c:v>
                </c:pt>
                <c:pt idx="7">
                  <c:v>6799.6620079020004</c:v>
                </c:pt>
                <c:pt idx="8">
                  <c:v>9779</c:v>
                </c:pt>
                <c:pt idx="9">
                  <c:v>9950</c:v>
                </c:pt>
                <c:pt idx="10">
                  <c:v>8863</c:v>
                </c:pt>
                <c:pt idx="11">
                  <c:v>6423</c:v>
                </c:pt>
                <c:pt idx="12">
                  <c:v>7150</c:v>
                </c:pt>
                <c:pt idx="13">
                  <c:v>4215</c:v>
                </c:pt>
                <c:pt idx="14">
                  <c:v>4550</c:v>
                </c:pt>
                <c:pt idx="15">
                  <c:v>4216</c:v>
                </c:pt>
                <c:pt idx="16">
                  <c:v>4240</c:v>
                </c:pt>
                <c:pt idx="17">
                  <c:v>5352</c:v>
                </c:pt>
                <c:pt idx="18">
                  <c:v>5433</c:v>
                </c:pt>
                <c:pt idx="19">
                  <c:v>4871</c:v>
                </c:pt>
                <c:pt idx="20">
                  <c:v>4329</c:v>
                </c:pt>
                <c:pt idx="21">
                  <c:v>3968</c:v>
                </c:pt>
                <c:pt idx="22">
                  <c:v>9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2C-4FE8-9EDD-3DF1DFACEEAB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harvest'!$W$228:$W$251</c:f>
                <c:numCache>
                  <c:formatCode>General</c:formatCode>
                  <c:ptCount val="24"/>
                  <c:pt idx="0">
                    <c:v>180.35495875645304</c:v>
                  </c:pt>
                  <c:pt idx="1">
                    <c:v>185.55417281413426</c:v>
                  </c:pt>
                  <c:pt idx="2">
                    <c:v>324.56575163784072</c:v>
                  </c:pt>
                  <c:pt idx="3">
                    <c:v>290.44350234076245</c:v>
                  </c:pt>
                  <c:pt idx="4">
                    <c:v>269.66590245839939</c:v>
                  </c:pt>
                  <c:pt idx="5">
                    <c:v>294.08295218113938</c:v>
                  </c:pt>
                  <c:pt idx="6">
                    <c:v>419.71136889340715</c:v>
                  </c:pt>
                  <c:pt idx="7">
                    <c:v>525.77533567010403</c:v>
                  </c:pt>
                  <c:pt idx="8">
                    <c:v>613.57099518667144</c:v>
                  </c:pt>
                  <c:pt idx="9">
                    <c:v>759.23404547835867</c:v>
                  </c:pt>
                  <c:pt idx="10">
                    <c:v>610.93211648948204</c:v>
                  </c:pt>
                  <c:pt idx="11">
                    <c:v>348.73392886405514</c:v>
                  </c:pt>
                  <c:pt idx="12">
                    <c:v>455.63531118558632</c:v>
                  </c:pt>
                  <c:pt idx="13">
                    <c:v>958.48919502887975</c:v>
                  </c:pt>
                  <c:pt idx="14">
                    <c:v>332.71601459913995</c:v>
                  </c:pt>
                  <c:pt idx="15">
                    <c:v>425.27193238057288</c:v>
                  </c:pt>
                  <c:pt idx="16">
                    <c:v>630.54740116920743</c:v>
                  </c:pt>
                  <c:pt idx="17">
                    <c:v>453.63202485264077</c:v>
                  </c:pt>
                  <c:pt idx="18">
                    <c:v>410.71020924762979</c:v>
                  </c:pt>
                  <c:pt idx="19">
                    <c:v>1546.358080567069</c:v>
                  </c:pt>
                  <c:pt idx="20">
                    <c:v>422.29100987272682</c:v>
                  </c:pt>
                  <c:pt idx="21">
                    <c:v>787.15611632673335</c:v>
                  </c:pt>
                  <c:pt idx="22">
                    <c:v>32.408586087241467</c:v>
                  </c:pt>
                  <c:pt idx="23">
                    <c:v>0</c:v>
                  </c:pt>
                </c:numCache>
              </c:numRef>
            </c:plus>
            <c:minus>
              <c:numRef>
                <c:f>'YE harvest'!$W$228:$W$251</c:f>
                <c:numCache>
                  <c:formatCode>General</c:formatCode>
                  <c:ptCount val="24"/>
                  <c:pt idx="0">
                    <c:v>180.35495875645304</c:v>
                  </c:pt>
                  <c:pt idx="1">
                    <c:v>185.55417281413426</c:v>
                  </c:pt>
                  <c:pt idx="2">
                    <c:v>324.56575163784072</c:v>
                  </c:pt>
                  <c:pt idx="3">
                    <c:v>290.44350234076245</c:v>
                  </c:pt>
                  <c:pt idx="4">
                    <c:v>269.66590245839939</c:v>
                  </c:pt>
                  <c:pt idx="5">
                    <c:v>294.08295218113938</c:v>
                  </c:pt>
                  <c:pt idx="6">
                    <c:v>419.71136889340715</c:v>
                  </c:pt>
                  <c:pt idx="7">
                    <c:v>525.77533567010403</c:v>
                  </c:pt>
                  <c:pt idx="8">
                    <c:v>613.57099518667144</c:v>
                  </c:pt>
                  <c:pt idx="9">
                    <c:v>759.23404547835867</c:v>
                  </c:pt>
                  <c:pt idx="10">
                    <c:v>610.93211648948204</c:v>
                  </c:pt>
                  <c:pt idx="11">
                    <c:v>348.73392886405514</c:v>
                  </c:pt>
                  <c:pt idx="12">
                    <c:v>455.63531118558632</c:v>
                  </c:pt>
                  <c:pt idx="13">
                    <c:v>958.48919502887975</c:v>
                  </c:pt>
                  <c:pt idx="14">
                    <c:v>332.71601459913995</c:v>
                  </c:pt>
                  <c:pt idx="15">
                    <c:v>425.27193238057288</c:v>
                  </c:pt>
                  <c:pt idx="16">
                    <c:v>630.54740116920743</c:v>
                  </c:pt>
                  <c:pt idx="17">
                    <c:v>453.63202485264077</c:v>
                  </c:pt>
                  <c:pt idx="18">
                    <c:v>410.71020924762979</c:v>
                  </c:pt>
                  <c:pt idx="19">
                    <c:v>1546.358080567069</c:v>
                  </c:pt>
                  <c:pt idx="20">
                    <c:v>422.29100987272682</c:v>
                  </c:pt>
                  <c:pt idx="21">
                    <c:v>787.15611632673335</c:v>
                  </c:pt>
                  <c:pt idx="22">
                    <c:v>32.408586087241467</c:v>
                  </c:pt>
                  <c:pt idx="23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'YE harvest'!$T$228:$T$251</c:f>
              <c:numCache>
                <c:formatCode>_(* #,##0_);_(* \(#,##0\);_(* "-"??_);_(@_)</c:formatCode>
                <c:ptCount val="24"/>
                <c:pt idx="0">
                  <c:v>203.71031942693546</c:v>
                </c:pt>
                <c:pt idx="1">
                  <c:v>209.58281422143384</c:v>
                </c:pt>
                <c:pt idx="2">
                  <c:v>366.59592504174634</c:v>
                </c:pt>
                <c:pt idx="3">
                  <c:v>328.05495920526005</c:v>
                </c:pt>
                <c:pt idx="4">
                  <c:v>304.58673000798683</c:v>
                </c:pt>
                <c:pt idx="5">
                  <c:v>332.1657055614092</c:v>
                </c:pt>
                <c:pt idx="6">
                  <c:v>474.06257978106834</c:v>
                </c:pt>
                <c:pt idx="7">
                  <c:v>593.86147358883682</c:v>
                </c:pt>
                <c:pt idx="8">
                  <c:v>898.58310906264887</c:v>
                </c:pt>
                <c:pt idx="9">
                  <c:v>1096.5808386395877</c:v>
                </c:pt>
                <c:pt idx="10">
                  <c:v>868.86353349129433</c:v>
                </c:pt>
                <c:pt idx="11">
                  <c:v>480.71832653257519</c:v>
                </c:pt>
                <c:pt idx="12">
                  <c:v>664.78173346799599</c:v>
                </c:pt>
                <c:pt idx="13">
                  <c:v>1687.3193343444468</c:v>
                </c:pt>
                <c:pt idx="14">
                  <c:v>892.07922331621342</c:v>
                </c:pt>
                <c:pt idx="15">
                  <c:v>954.60656776764029</c:v>
                </c:pt>
                <c:pt idx="16">
                  <c:v>1226.3257496092942</c:v>
                </c:pt>
                <c:pt idx="17">
                  <c:v>993.52481638521226</c:v>
                </c:pt>
                <c:pt idx="18">
                  <c:v>1044.1697656842371</c:v>
                </c:pt>
                <c:pt idx="19">
                  <c:v>3028.5093964802527</c:v>
                </c:pt>
                <c:pt idx="20">
                  <c:v>1079.5298174190741</c:v>
                </c:pt>
                <c:pt idx="21">
                  <c:v>1861.2473730417257</c:v>
                </c:pt>
                <c:pt idx="22">
                  <c:v>15.079952737653379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2C-4FE8-9EDD-3DF1DFACEEAB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harvest'!$AB$228:$AB$251</c:f>
                <c:numCache>
                  <c:formatCode>General</c:formatCode>
                  <c:ptCount val="24"/>
                  <c:pt idx="0">
                    <c:v>1509.9643895572431</c:v>
                  </c:pt>
                  <c:pt idx="1">
                    <c:v>1783.4644686002716</c:v>
                  </c:pt>
                  <c:pt idx="2">
                    <c:v>3403.4416788418184</c:v>
                  </c:pt>
                  <c:pt idx="3">
                    <c:v>3390.6067645106823</c:v>
                  </c:pt>
                  <c:pt idx="4">
                    <c:v>2704.1288229685838</c:v>
                  </c:pt>
                  <c:pt idx="5">
                    <c:v>2634.6331348162362</c:v>
                  </c:pt>
                  <c:pt idx="6">
                    <c:v>3695.9504018066759</c:v>
                  </c:pt>
                  <c:pt idx="7">
                    <c:v>4440.6222995211483</c:v>
                  </c:pt>
                  <c:pt idx="8">
                    <c:v>613.57099518667144</c:v>
                  </c:pt>
                  <c:pt idx="9">
                    <c:v>759.23404547835867</c:v>
                  </c:pt>
                  <c:pt idx="10">
                    <c:v>610.93211648948204</c:v>
                  </c:pt>
                  <c:pt idx="11">
                    <c:v>348.73392886405514</c:v>
                  </c:pt>
                  <c:pt idx="12">
                    <c:v>455.63531118558632</c:v>
                  </c:pt>
                  <c:pt idx="13">
                    <c:v>958.48919502887975</c:v>
                  </c:pt>
                  <c:pt idx="14">
                    <c:v>332.71601459913995</c:v>
                  </c:pt>
                  <c:pt idx="15">
                    <c:v>425.27193238057288</c:v>
                  </c:pt>
                  <c:pt idx="16">
                    <c:v>630.54740116920743</c:v>
                  </c:pt>
                  <c:pt idx="17">
                    <c:v>453.63202485264077</c:v>
                  </c:pt>
                  <c:pt idx="18">
                    <c:v>410.71020924762979</c:v>
                  </c:pt>
                  <c:pt idx="19">
                    <c:v>1546.358080567069</c:v>
                  </c:pt>
                  <c:pt idx="20">
                    <c:v>422.29100987272682</c:v>
                  </c:pt>
                  <c:pt idx="21">
                    <c:v>787.15611632673335</c:v>
                  </c:pt>
                  <c:pt idx="22">
                    <c:v>32.408586087241467</c:v>
                  </c:pt>
                  <c:pt idx="23">
                    <c:v>0</c:v>
                  </c:pt>
                </c:numCache>
              </c:numRef>
            </c:plus>
            <c:minus>
              <c:numRef>
                <c:f>'YE harvest'!$AB$228:$AB$251</c:f>
                <c:numCache>
                  <c:formatCode>General</c:formatCode>
                  <c:ptCount val="24"/>
                  <c:pt idx="0">
                    <c:v>1509.9643895572431</c:v>
                  </c:pt>
                  <c:pt idx="1">
                    <c:v>1783.4644686002716</c:v>
                  </c:pt>
                  <c:pt idx="2">
                    <c:v>3403.4416788418184</c:v>
                  </c:pt>
                  <c:pt idx="3">
                    <c:v>3390.6067645106823</c:v>
                  </c:pt>
                  <c:pt idx="4">
                    <c:v>2704.1288229685838</c:v>
                  </c:pt>
                  <c:pt idx="5">
                    <c:v>2634.6331348162362</c:v>
                  </c:pt>
                  <c:pt idx="6">
                    <c:v>3695.9504018066759</c:v>
                  </c:pt>
                  <c:pt idx="7">
                    <c:v>4440.6222995211483</c:v>
                  </c:pt>
                  <c:pt idx="8">
                    <c:v>613.57099518667144</c:v>
                  </c:pt>
                  <c:pt idx="9">
                    <c:v>759.23404547835867</c:v>
                  </c:pt>
                  <c:pt idx="10">
                    <c:v>610.93211648948204</c:v>
                  </c:pt>
                  <c:pt idx="11">
                    <c:v>348.73392886405514</c:v>
                  </c:pt>
                  <c:pt idx="12">
                    <c:v>455.63531118558632</c:v>
                  </c:pt>
                  <c:pt idx="13">
                    <c:v>958.48919502887975</c:v>
                  </c:pt>
                  <c:pt idx="14">
                    <c:v>332.71601459913995</c:v>
                  </c:pt>
                  <c:pt idx="15">
                    <c:v>425.27193238057288</c:v>
                  </c:pt>
                  <c:pt idx="16">
                    <c:v>630.54740116920743</c:v>
                  </c:pt>
                  <c:pt idx="17">
                    <c:v>453.63202485264077</c:v>
                  </c:pt>
                  <c:pt idx="18">
                    <c:v>410.71020924762979</c:v>
                  </c:pt>
                  <c:pt idx="19">
                    <c:v>1546.358080567069</c:v>
                  </c:pt>
                  <c:pt idx="20">
                    <c:v>422.29100987272682</c:v>
                  </c:pt>
                  <c:pt idx="21">
                    <c:v>787.15611632673335</c:v>
                  </c:pt>
                  <c:pt idx="22">
                    <c:v>32.408586087241467</c:v>
                  </c:pt>
                  <c:pt idx="23">
                    <c:v>0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'YE harvest'!$Y$228:$Y$251</c:f>
              <c:numCache>
                <c:formatCode>_(* #,##0_);_(* \(#,##0\);_(* "-"??_);_(@_)</c:formatCode>
                <c:ptCount val="24"/>
                <c:pt idx="0">
                  <c:v>2515.5388090049355</c:v>
                </c:pt>
                <c:pt idx="1">
                  <c:v>2944.9164004214335</c:v>
                </c:pt>
                <c:pt idx="2">
                  <c:v>5591.0830746837464</c:v>
                </c:pt>
                <c:pt idx="3">
                  <c:v>5537.4506131992603</c:v>
                </c:pt>
                <c:pt idx="4">
                  <c:v>4453.8048147299869</c:v>
                </c:pt>
                <c:pt idx="5">
                  <c:v>4369.6124006404098</c:v>
                </c:pt>
                <c:pt idx="6">
                  <c:v>6136.674712454068</c:v>
                </c:pt>
                <c:pt idx="7">
                  <c:v>7393.5234814908372</c:v>
                </c:pt>
                <c:pt idx="8">
                  <c:v>10677.583109062649</c:v>
                </c:pt>
                <c:pt idx="9">
                  <c:v>11046.580838639587</c:v>
                </c:pt>
                <c:pt idx="10">
                  <c:v>9731.8635334912942</c:v>
                </c:pt>
                <c:pt idx="11">
                  <c:v>6903.7183265325748</c:v>
                </c:pt>
                <c:pt idx="12">
                  <c:v>7814.7817334679958</c:v>
                </c:pt>
                <c:pt idx="13">
                  <c:v>5902.3193343444473</c:v>
                </c:pt>
                <c:pt idx="14">
                  <c:v>5442.0792233162138</c:v>
                </c:pt>
                <c:pt idx="15">
                  <c:v>5170.6065677676406</c:v>
                </c:pt>
                <c:pt idx="16">
                  <c:v>5466.3257496092938</c:v>
                </c:pt>
                <c:pt idx="17">
                  <c:v>6345.524816385212</c:v>
                </c:pt>
                <c:pt idx="18">
                  <c:v>6477.1697656842371</c:v>
                </c:pt>
                <c:pt idx="19">
                  <c:v>7899.5093964802527</c:v>
                </c:pt>
                <c:pt idx="20">
                  <c:v>5408.5298174190739</c:v>
                </c:pt>
                <c:pt idx="21">
                  <c:v>5829.247373041726</c:v>
                </c:pt>
                <c:pt idx="22">
                  <c:v>24.079952737653379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2C-4FE8-9EDD-3DF1DFACE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EWYKT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harvest'!$L$253:$L$273</c:f>
                <c:numCache>
                  <c:formatCode>General</c:formatCode>
                  <c:ptCount val="21"/>
                  <c:pt idx="0">
                    <c:v>52.432575164272833</c:v>
                  </c:pt>
                  <c:pt idx="1">
                    <c:v>10.03659854629645</c:v>
                  </c:pt>
                  <c:pt idx="2">
                    <c:v>12.286180979087034</c:v>
                  </c:pt>
                  <c:pt idx="3">
                    <c:v>13.151404991698797</c:v>
                  </c:pt>
                  <c:pt idx="4">
                    <c:v>8.8252849286399808</c:v>
                  </c:pt>
                  <c:pt idx="5">
                    <c:v>38.329423758701097</c:v>
                  </c:pt>
                  <c:pt idx="6">
                    <c:v>32.705467676724631</c:v>
                  </c:pt>
                  <c:pt idx="7">
                    <c:v>24.572361958174067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plus>
            <c:minus>
              <c:numRef>
                <c:f>'YE harvest'!$L$253:$L$273</c:f>
                <c:numCache>
                  <c:formatCode>General</c:formatCode>
                  <c:ptCount val="21"/>
                  <c:pt idx="0">
                    <c:v>52.432575164272833</c:v>
                  </c:pt>
                  <c:pt idx="1">
                    <c:v>10.03659854629645</c:v>
                  </c:pt>
                  <c:pt idx="2">
                    <c:v>12.286180979087034</c:v>
                  </c:pt>
                  <c:pt idx="3">
                    <c:v>13.151404991698797</c:v>
                  </c:pt>
                  <c:pt idx="4">
                    <c:v>8.8252849286399808</c:v>
                  </c:pt>
                  <c:pt idx="5">
                    <c:v>38.329423758701097</c:v>
                  </c:pt>
                  <c:pt idx="6">
                    <c:v>32.705467676724631</c:v>
                  </c:pt>
                  <c:pt idx="7">
                    <c:v>24.572361958174067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'YE harvest'!$I$253:$I$276</c:f>
              <c:numCache>
                <c:formatCode>_(* #,##0_);_(* \(#,##0\);_(* "-"??_);_(@_)</c:formatCode>
                <c:ptCount val="24"/>
                <c:pt idx="0">
                  <c:v>116.144431668</c:v>
                </c:pt>
                <c:pt idx="1">
                  <c:v>22.232267447999998</c:v>
                </c:pt>
                <c:pt idx="2">
                  <c:v>27.215361875999999</c:v>
                </c:pt>
                <c:pt idx="3">
                  <c:v>29.131936656000001</c:v>
                </c:pt>
                <c:pt idx="4">
                  <c:v>19.549062755999998</c:v>
                </c:pt>
                <c:pt idx="5">
                  <c:v>84.904262754000001</c:v>
                </c:pt>
                <c:pt idx="6">
                  <c:v>72.446526683999991</c:v>
                </c:pt>
                <c:pt idx="7">
                  <c:v>54.430723751999999</c:v>
                </c:pt>
                <c:pt idx="8">
                  <c:v>167</c:v>
                </c:pt>
                <c:pt idx="9">
                  <c:v>108</c:v>
                </c:pt>
                <c:pt idx="10">
                  <c:v>161</c:v>
                </c:pt>
                <c:pt idx="11">
                  <c:v>79</c:v>
                </c:pt>
                <c:pt idx="12">
                  <c:v>119</c:v>
                </c:pt>
                <c:pt idx="13">
                  <c:v>111</c:v>
                </c:pt>
                <c:pt idx="14">
                  <c:v>147</c:v>
                </c:pt>
                <c:pt idx="15">
                  <c:v>56</c:v>
                </c:pt>
                <c:pt idx="16">
                  <c:v>125</c:v>
                </c:pt>
                <c:pt idx="17">
                  <c:v>215</c:v>
                </c:pt>
                <c:pt idx="18">
                  <c:v>314</c:v>
                </c:pt>
                <c:pt idx="19">
                  <c:v>230</c:v>
                </c:pt>
                <c:pt idx="20">
                  <c:v>286</c:v>
                </c:pt>
                <c:pt idx="21">
                  <c:v>154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BC-4732-8E69-FB22F07FF96D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harvest'!$W$253:$W$276</c:f>
                <c:numCache>
                  <c:formatCode>General</c:formatCode>
                  <c:ptCount val="24"/>
                  <c:pt idx="0">
                    <c:v>12.389470715400734</c:v>
                  </c:pt>
                  <c:pt idx="1">
                    <c:v>6.2944207542610631</c:v>
                  </c:pt>
                  <c:pt idx="2">
                    <c:v>11.383122902502281</c:v>
                  </c:pt>
                  <c:pt idx="3">
                    <c:v>9.9020827250290928</c:v>
                  </c:pt>
                  <c:pt idx="4">
                    <c:v>8.4780056313048675</c:v>
                  </c:pt>
                  <c:pt idx="5">
                    <c:v>15.446489543262071</c:v>
                  </c:pt>
                  <c:pt idx="6">
                    <c:v>14.250264784533714</c:v>
                  </c:pt>
                  <c:pt idx="7">
                    <c:v>15.911688060545309</c:v>
                  </c:pt>
                  <c:pt idx="8">
                    <c:v>0</c:v>
                  </c:pt>
                  <c:pt idx="9">
                    <c:v>9.0274170230745394</c:v>
                  </c:pt>
                  <c:pt idx="10">
                    <c:v>51.990799650832905</c:v>
                  </c:pt>
                  <c:pt idx="11">
                    <c:v>15.939191888279817</c:v>
                  </c:pt>
                  <c:pt idx="12">
                    <c:v>14.867552411270482</c:v>
                  </c:pt>
                  <c:pt idx="13">
                    <c:v>33.518352831395369</c:v>
                  </c:pt>
                  <c:pt idx="14">
                    <c:v>17.323673572250819</c:v>
                  </c:pt>
                  <c:pt idx="15">
                    <c:v>21.758010716292713</c:v>
                  </c:pt>
                  <c:pt idx="16">
                    <c:v>37.005479996128365</c:v>
                  </c:pt>
                  <c:pt idx="17">
                    <c:v>0</c:v>
                  </c:pt>
                  <c:pt idx="18">
                    <c:v>107.39326064969768</c:v>
                  </c:pt>
                  <c:pt idx="19">
                    <c:v>0</c:v>
                  </c:pt>
                  <c:pt idx="20">
                    <c:v>47.138705724820504</c:v>
                  </c:pt>
                  <c:pt idx="21">
                    <c:v>14.652489037197508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plus>
            <c:minus>
              <c:numRef>
                <c:f>'YE harvest'!$W$253:$W$276</c:f>
                <c:numCache>
                  <c:formatCode>General</c:formatCode>
                  <c:ptCount val="24"/>
                  <c:pt idx="0">
                    <c:v>12.389470715400734</c:v>
                  </c:pt>
                  <c:pt idx="1">
                    <c:v>6.2944207542610631</c:v>
                  </c:pt>
                  <c:pt idx="2">
                    <c:v>11.383122902502281</c:v>
                  </c:pt>
                  <c:pt idx="3">
                    <c:v>9.9020827250290928</c:v>
                  </c:pt>
                  <c:pt idx="4">
                    <c:v>8.4780056313048675</c:v>
                  </c:pt>
                  <c:pt idx="5">
                    <c:v>15.446489543262071</c:v>
                  </c:pt>
                  <c:pt idx="6">
                    <c:v>14.250264784533714</c:v>
                  </c:pt>
                  <c:pt idx="7">
                    <c:v>15.911688060545309</c:v>
                  </c:pt>
                  <c:pt idx="8">
                    <c:v>0</c:v>
                  </c:pt>
                  <c:pt idx="9">
                    <c:v>9.0274170230745394</c:v>
                  </c:pt>
                  <c:pt idx="10">
                    <c:v>51.990799650832905</c:v>
                  </c:pt>
                  <c:pt idx="11">
                    <c:v>15.939191888279817</c:v>
                  </c:pt>
                  <c:pt idx="12">
                    <c:v>14.867552411270482</c:v>
                  </c:pt>
                  <c:pt idx="13">
                    <c:v>33.518352831395369</c:v>
                  </c:pt>
                  <c:pt idx="14">
                    <c:v>17.323673572250819</c:v>
                  </c:pt>
                  <c:pt idx="15">
                    <c:v>21.758010716292713</c:v>
                  </c:pt>
                  <c:pt idx="16">
                    <c:v>37.005479996128365</c:v>
                  </c:pt>
                  <c:pt idx="17">
                    <c:v>0</c:v>
                  </c:pt>
                  <c:pt idx="18">
                    <c:v>107.39326064969768</c:v>
                  </c:pt>
                  <c:pt idx="19">
                    <c:v>0</c:v>
                  </c:pt>
                  <c:pt idx="20">
                    <c:v>47.138705724820504</c:v>
                  </c:pt>
                  <c:pt idx="21">
                    <c:v>14.652489037197508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'YE harvest'!$T$253:$T$276</c:f>
              <c:numCache>
                <c:formatCode>_(* #,##0_);_(* \(#,##0\);_(* "-"??_);_(@_)</c:formatCode>
                <c:ptCount val="24"/>
                <c:pt idx="0">
                  <c:v>5.2024412672157769</c:v>
                </c:pt>
                <c:pt idx="1">
                  <c:v>2.6430793564475561</c:v>
                </c:pt>
                <c:pt idx="2">
                  <c:v>4.7798674937867549</c:v>
                </c:pt>
                <c:pt idx="3">
                  <c:v>4.1579664687402715</c:v>
                </c:pt>
                <c:pt idx="4">
                  <c:v>3.5599847138878831</c:v>
                </c:pt>
                <c:pt idx="5">
                  <c:v>6.4861087676322402</c:v>
                </c:pt>
                <c:pt idx="6">
                  <c:v>5.9838040935562296</c:v>
                </c:pt>
                <c:pt idx="7">
                  <c:v>6.6814494742173505</c:v>
                </c:pt>
                <c:pt idx="8">
                  <c:v>0</c:v>
                </c:pt>
                <c:pt idx="9">
                  <c:v>3.800616118034438</c:v>
                </c:pt>
                <c:pt idx="10">
                  <c:v>33.333034164758445</c:v>
                </c:pt>
                <c:pt idx="11">
                  <c:v>10.153940965522828</c:v>
                </c:pt>
                <c:pt idx="12">
                  <c:v>9.4698329472858216</c:v>
                </c:pt>
                <c:pt idx="13">
                  <c:v>26.022403603703051</c:v>
                </c:pt>
                <c:pt idx="14">
                  <c:v>11.892094925787113</c:v>
                </c:pt>
                <c:pt idx="15">
                  <c:v>9.0476381968018345</c:v>
                </c:pt>
                <c:pt idx="16">
                  <c:v>15.653573181075267</c:v>
                </c:pt>
                <c:pt idx="17">
                  <c:v>0</c:v>
                </c:pt>
                <c:pt idx="18">
                  <c:v>79.045028656865156</c:v>
                </c:pt>
                <c:pt idx="19">
                  <c:v>0</c:v>
                </c:pt>
                <c:pt idx="20">
                  <c:v>40.563364943813902</c:v>
                </c:pt>
                <c:pt idx="21">
                  <c:v>6.6280231203777564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BC-4732-8E69-FB22F07FF96D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harvest'!$AB$253:$AB$276</c:f>
                <c:numCache>
                  <c:formatCode>General</c:formatCode>
                  <c:ptCount val="24"/>
                  <c:pt idx="0">
                    <c:v>53.876469102613733</c:v>
                  </c:pt>
                  <c:pt idx="1">
                    <c:v>11.847068962878218</c:v>
                  </c:pt>
                  <c:pt idx="2">
                    <c:v>16.74890235401568</c:v>
                  </c:pt>
                  <c:pt idx="3">
                    <c:v>16.462402484115117</c:v>
                  </c:pt>
                  <c:pt idx="4">
                    <c:v>12.237738089864363</c:v>
                  </c:pt>
                  <c:pt idx="5">
                    <c:v>41.324796005354763</c:v>
                  </c:pt>
                  <c:pt idx="6">
                    <c:v>35.675168708537335</c:v>
                  </c:pt>
                  <c:pt idx="7">
                    <c:v>29.274268379237427</c:v>
                  </c:pt>
                  <c:pt idx="8">
                    <c:v>0</c:v>
                  </c:pt>
                  <c:pt idx="9">
                    <c:v>9.0274170230745394</c:v>
                  </c:pt>
                  <c:pt idx="10">
                    <c:v>51.990799650832905</c:v>
                  </c:pt>
                  <c:pt idx="11">
                    <c:v>15.939191888279817</c:v>
                  </c:pt>
                  <c:pt idx="12">
                    <c:v>14.867552411270482</c:v>
                  </c:pt>
                  <c:pt idx="13">
                    <c:v>33.518352831395369</c:v>
                  </c:pt>
                  <c:pt idx="14">
                    <c:v>17.323673572250819</c:v>
                  </c:pt>
                  <c:pt idx="15">
                    <c:v>21.758010716292713</c:v>
                  </c:pt>
                  <c:pt idx="16">
                    <c:v>37.005479996128365</c:v>
                  </c:pt>
                  <c:pt idx="17">
                    <c:v>0</c:v>
                  </c:pt>
                  <c:pt idx="18">
                    <c:v>107.39326064969768</c:v>
                  </c:pt>
                  <c:pt idx="19">
                    <c:v>0</c:v>
                  </c:pt>
                  <c:pt idx="20">
                    <c:v>47.138705724820504</c:v>
                  </c:pt>
                  <c:pt idx="21">
                    <c:v>14.652489037197508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plus>
            <c:minus>
              <c:numRef>
                <c:f>'YE harvest'!$AB$253:$AB$276</c:f>
                <c:numCache>
                  <c:formatCode>General</c:formatCode>
                  <c:ptCount val="24"/>
                  <c:pt idx="0">
                    <c:v>53.876469102613733</c:v>
                  </c:pt>
                  <c:pt idx="1">
                    <c:v>11.847068962878218</c:v>
                  </c:pt>
                  <c:pt idx="2">
                    <c:v>16.74890235401568</c:v>
                  </c:pt>
                  <c:pt idx="3">
                    <c:v>16.462402484115117</c:v>
                  </c:pt>
                  <c:pt idx="4">
                    <c:v>12.237738089864363</c:v>
                  </c:pt>
                  <c:pt idx="5">
                    <c:v>41.324796005354763</c:v>
                  </c:pt>
                  <c:pt idx="6">
                    <c:v>35.675168708537335</c:v>
                  </c:pt>
                  <c:pt idx="7">
                    <c:v>29.274268379237427</c:v>
                  </c:pt>
                  <c:pt idx="8">
                    <c:v>0</c:v>
                  </c:pt>
                  <c:pt idx="9">
                    <c:v>9.0274170230745394</c:v>
                  </c:pt>
                  <c:pt idx="10">
                    <c:v>51.990799650832905</c:v>
                  </c:pt>
                  <c:pt idx="11">
                    <c:v>15.939191888279817</c:v>
                  </c:pt>
                  <c:pt idx="12">
                    <c:v>14.867552411270482</c:v>
                  </c:pt>
                  <c:pt idx="13">
                    <c:v>33.518352831395369</c:v>
                  </c:pt>
                  <c:pt idx="14">
                    <c:v>17.323673572250819</c:v>
                  </c:pt>
                  <c:pt idx="15">
                    <c:v>21.758010716292713</c:v>
                  </c:pt>
                  <c:pt idx="16">
                    <c:v>37.005479996128365</c:v>
                  </c:pt>
                  <c:pt idx="17">
                    <c:v>0</c:v>
                  </c:pt>
                  <c:pt idx="18">
                    <c:v>107.39326064969768</c:v>
                  </c:pt>
                  <c:pt idx="19">
                    <c:v>0</c:v>
                  </c:pt>
                  <c:pt idx="20">
                    <c:v>47.138705724820504</c:v>
                  </c:pt>
                  <c:pt idx="21">
                    <c:v>14.652489037197508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'YE harvest'!$Y$253:$Y$276</c:f>
              <c:numCache>
                <c:formatCode>_(* #,##0_);_(* \(#,##0\);_(* "-"??_);_(@_)</c:formatCode>
                <c:ptCount val="24"/>
                <c:pt idx="0">
                  <c:v>121.34687293521577</c:v>
                </c:pt>
                <c:pt idx="1">
                  <c:v>24.875346804447553</c:v>
                </c:pt>
                <c:pt idx="2">
                  <c:v>31.995229369786756</c:v>
                </c:pt>
                <c:pt idx="3">
                  <c:v>33.28990312474027</c:v>
                </c:pt>
                <c:pt idx="4">
                  <c:v>23.10904746988788</c:v>
                </c:pt>
                <c:pt idx="5">
                  <c:v>91.390371521632247</c:v>
                </c:pt>
                <c:pt idx="6">
                  <c:v>78.430330777556222</c:v>
                </c:pt>
                <c:pt idx="7">
                  <c:v>61.112173226217351</c:v>
                </c:pt>
                <c:pt idx="8">
                  <c:v>167</c:v>
                </c:pt>
                <c:pt idx="9">
                  <c:v>111.80061611803444</c:v>
                </c:pt>
                <c:pt idx="10">
                  <c:v>194.33303416475843</c:v>
                </c:pt>
                <c:pt idx="11">
                  <c:v>89.153940965522821</c:v>
                </c:pt>
                <c:pt idx="12">
                  <c:v>128.46983294728582</c:v>
                </c:pt>
                <c:pt idx="13">
                  <c:v>137.02240360370305</c:v>
                </c:pt>
                <c:pt idx="14">
                  <c:v>158.89209492578712</c:v>
                </c:pt>
                <c:pt idx="15">
                  <c:v>65.047638196801842</c:v>
                </c:pt>
                <c:pt idx="16">
                  <c:v>140.65357318107527</c:v>
                </c:pt>
                <c:pt idx="17">
                  <c:v>215</c:v>
                </c:pt>
                <c:pt idx="18">
                  <c:v>393.04502865686516</c:v>
                </c:pt>
                <c:pt idx="19">
                  <c:v>230</c:v>
                </c:pt>
                <c:pt idx="20">
                  <c:v>326.56336494381389</c:v>
                </c:pt>
                <c:pt idx="21">
                  <c:v>160.62802312037775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BC-4732-8E69-FB22F07FF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NSEI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harvest'!$L$278:$L$298</c:f>
                <c:numCache>
                  <c:formatCode>General</c:formatCode>
                  <c:ptCount val="21"/>
                  <c:pt idx="0">
                    <c:v>688.38084511440377</c:v>
                  </c:pt>
                  <c:pt idx="1">
                    <c:v>629.36242169160721</c:v>
                  </c:pt>
                  <c:pt idx="2">
                    <c:v>1045.7562346064856</c:v>
                  </c:pt>
                  <c:pt idx="3">
                    <c:v>837.05704369438433</c:v>
                  </c:pt>
                  <c:pt idx="4">
                    <c:v>461.59941383446699</c:v>
                  </c:pt>
                  <c:pt idx="5">
                    <c:v>632.37612841957991</c:v>
                  </c:pt>
                  <c:pt idx="6">
                    <c:v>684.11142724977594</c:v>
                  </c:pt>
                  <c:pt idx="7">
                    <c:v>806.91997641465855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plus>
            <c:minus>
              <c:numRef>
                <c:f>'YE harvest'!$L$278:$L$298</c:f>
                <c:numCache>
                  <c:formatCode>General</c:formatCode>
                  <c:ptCount val="21"/>
                  <c:pt idx="0">
                    <c:v>688.38084511440377</c:v>
                  </c:pt>
                  <c:pt idx="1">
                    <c:v>629.36242169160721</c:v>
                  </c:pt>
                  <c:pt idx="2">
                    <c:v>1045.7562346064856</c:v>
                  </c:pt>
                  <c:pt idx="3">
                    <c:v>837.05704369438433</c:v>
                  </c:pt>
                  <c:pt idx="4">
                    <c:v>461.59941383446699</c:v>
                  </c:pt>
                  <c:pt idx="5">
                    <c:v>632.37612841957991</c:v>
                  </c:pt>
                  <c:pt idx="6">
                    <c:v>684.11142724977594</c:v>
                  </c:pt>
                  <c:pt idx="7">
                    <c:v>806.91997641465855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'YE harvest'!$I$278:$I$301</c:f>
              <c:numCache>
                <c:formatCode>_(* #,##0_);_(* \(#,##0\);_(* "-"??_);_(@_)</c:formatCode>
                <c:ptCount val="24"/>
                <c:pt idx="0">
                  <c:v>832.48267794999992</c:v>
                </c:pt>
                <c:pt idx="1">
                  <c:v>761.10966469999994</c:v>
                </c:pt>
                <c:pt idx="2">
                  <c:v>1264.6690518</c:v>
                </c:pt>
                <c:pt idx="3">
                  <c:v>1012.2819283499999</c:v>
                </c:pt>
                <c:pt idx="4">
                  <c:v>558.22807809999995</c:v>
                </c:pt>
                <c:pt idx="5">
                  <c:v>764.75424409999994</c:v>
                </c:pt>
                <c:pt idx="6">
                  <c:v>827.31952379999996</c:v>
                </c:pt>
                <c:pt idx="7">
                  <c:v>975.83613434999995</c:v>
                </c:pt>
                <c:pt idx="8">
                  <c:v>1422</c:v>
                </c:pt>
                <c:pt idx="9">
                  <c:v>1191</c:v>
                </c:pt>
                <c:pt idx="10">
                  <c:v>1308</c:v>
                </c:pt>
                <c:pt idx="11">
                  <c:v>955</c:v>
                </c:pt>
                <c:pt idx="12">
                  <c:v>1377</c:v>
                </c:pt>
                <c:pt idx="13">
                  <c:v>1146</c:v>
                </c:pt>
                <c:pt idx="14">
                  <c:v>1252</c:v>
                </c:pt>
                <c:pt idx="15">
                  <c:v>1159</c:v>
                </c:pt>
                <c:pt idx="16">
                  <c:v>1206</c:v>
                </c:pt>
                <c:pt idx="17">
                  <c:v>1555</c:v>
                </c:pt>
                <c:pt idx="18">
                  <c:v>1642</c:v>
                </c:pt>
                <c:pt idx="19">
                  <c:v>1254</c:v>
                </c:pt>
                <c:pt idx="20">
                  <c:v>1370</c:v>
                </c:pt>
                <c:pt idx="21">
                  <c:v>1413</c:v>
                </c:pt>
                <c:pt idx="22">
                  <c:v>21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8-44FB-8F67-916CBA6E4BA2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harvest'!$W$278:$W$301</c:f>
                <c:numCache>
                  <c:formatCode>General</c:formatCode>
                  <c:ptCount val="24"/>
                  <c:pt idx="0">
                    <c:v>470.24846392613688</c:v>
                  </c:pt>
                  <c:pt idx="1">
                    <c:v>566.16669365411724</c:v>
                  </c:pt>
                  <c:pt idx="2">
                    <c:v>867.17909733663794</c:v>
                  </c:pt>
                  <c:pt idx="3">
                    <c:v>644.37831140077276</c:v>
                  </c:pt>
                  <c:pt idx="4">
                    <c:v>441.1526743889853</c:v>
                  </c:pt>
                  <c:pt idx="5">
                    <c:v>540.00717645557734</c:v>
                  </c:pt>
                  <c:pt idx="6">
                    <c:v>538.49455131144384</c:v>
                  </c:pt>
                  <c:pt idx="7">
                    <c:v>683.17269745030831</c:v>
                  </c:pt>
                  <c:pt idx="8">
                    <c:v>381.28851056136739</c:v>
                  </c:pt>
                  <c:pt idx="9">
                    <c:v>635.22586567063888</c:v>
                  </c:pt>
                  <c:pt idx="10">
                    <c:v>855.18863887578937</c:v>
                  </c:pt>
                  <c:pt idx="11">
                    <c:v>734.57473734615132</c:v>
                  </c:pt>
                  <c:pt idx="12">
                    <c:v>684.57726561782351</c:v>
                  </c:pt>
                  <c:pt idx="13">
                    <c:v>694.2104239488807</c:v>
                  </c:pt>
                  <c:pt idx="14">
                    <c:v>558.10801721451935</c:v>
                  </c:pt>
                  <c:pt idx="15">
                    <c:v>299.93912672017348</c:v>
                  </c:pt>
                  <c:pt idx="16">
                    <c:v>434.46078278660559</c:v>
                  </c:pt>
                  <c:pt idx="17">
                    <c:v>330.99076470979963</c:v>
                  </c:pt>
                  <c:pt idx="18">
                    <c:v>378.48338305888029</c:v>
                  </c:pt>
                  <c:pt idx="19">
                    <c:v>636.32142307511742</c:v>
                  </c:pt>
                  <c:pt idx="20">
                    <c:v>512.80635632795804</c:v>
                  </c:pt>
                  <c:pt idx="21">
                    <c:v>656.38038777564736</c:v>
                  </c:pt>
                  <c:pt idx="22">
                    <c:v>58.605047561847698</c:v>
                  </c:pt>
                  <c:pt idx="23">
                    <c:v>96.419013401694968</c:v>
                  </c:pt>
                </c:numCache>
              </c:numRef>
            </c:plus>
            <c:minus>
              <c:numRef>
                <c:f>'YE harvest'!$W$278:$W$301</c:f>
                <c:numCache>
                  <c:formatCode>General</c:formatCode>
                  <c:ptCount val="24"/>
                  <c:pt idx="0">
                    <c:v>470.24846392613688</c:v>
                  </c:pt>
                  <c:pt idx="1">
                    <c:v>566.16669365411724</c:v>
                  </c:pt>
                  <c:pt idx="2">
                    <c:v>867.17909733663794</c:v>
                  </c:pt>
                  <c:pt idx="3">
                    <c:v>644.37831140077276</c:v>
                  </c:pt>
                  <c:pt idx="4">
                    <c:v>441.1526743889853</c:v>
                  </c:pt>
                  <c:pt idx="5">
                    <c:v>540.00717645557734</c:v>
                  </c:pt>
                  <c:pt idx="6">
                    <c:v>538.49455131144384</c:v>
                  </c:pt>
                  <c:pt idx="7">
                    <c:v>683.17269745030831</c:v>
                  </c:pt>
                  <c:pt idx="8">
                    <c:v>381.28851056136739</c:v>
                  </c:pt>
                  <c:pt idx="9">
                    <c:v>635.22586567063888</c:v>
                  </c:pt>
                  <c:pt idx="10">
                    <c:v>855.18863887578937</c:v>
                  </c:pt>
                  <c:pt idx="11">
                    <c:v>734.57473734615132</c:v>
                  </c:pt>
                  <c:pt idx="12">
                    <c:v>684.57726561782351</c:v>
                  </c:pt>
                  <c:pt idx="13">
                    <c:v>694.2104239488807</c:v>
                  </c:pt>
                  <c:pt idx="14">
                    <c:v>558.10801721451935</c:v>
                  </c:pt>
                  <c:pt idx="15">
                    <c:v>299.93912672017348</c:v>
                  </c:pt>
                  <c:pt idx="16">
                    <c:v>434.46078278660559</c:v>
                  </c:pt>
                  <c:pt idx="17">
                    <c:v>330.99076470979963</c:v>
                  </c:pt>
                  <c:pt idx="18">
                    <c:v>378.48338305888029</c:v>
                  </c:pt>
                  <c:pt idx="19">
                    <c:v>636.32142307511742</c:v>
                  </c:pt>
                  <c:pt idx="20">
                    <c:v>512.80635632795804</c:v>
                  </c:pt>
                  <c:pt idx="21">
                    <c:v>656.38038777564736</c:v>
                  </c:pt>
                  <c:pt idx="22">
                    <c:v>58.605047561847698</c:v>
                  </c:pt>
                  <c:pt idx="23">
                    <c:v>96.419013401694968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'YE harvest'!$T$278:$T$300</c:f>
              <c:numCache>
                <c:formatCode>_(* #,##0_);_(* \(#,##0\);_(* "-"??_);_(@_)</c:formatCode>
                <c:ptCount val="23"/>
                <c:pt idx="0">
                  <c:v>391.41029270896144</c:v>
                </c:pt>
                <c:pt idx="1">
                  <c:v>471.24762393701457</c:v>
                </c:pt>
                <c:pt idx="2">
                  <c:v>721.79464763321448</c:v>
                </c:pt>
                <c:pt idx="3">
                  <c:v>536.34689494764427</c:v>
                </c:pt>
                <c:pt idx="4">
                  <c:v>367.19247516575808</c:v>
                </c:pt>
                <c:pt idx="5">
                  <c:v>449.47380632936381</c:v>
                </c:pt>
                <c:pt idx="6">
                  <c:v>448.21477605953356</c:v>
                </c:pt>
                <c:pt idx="7">
                  <c:v>568.63731833858208</c:v>
                </c:pt>
                <c:pt idx="8">
                  <c:v>584.54898578852635</c:v>
                </c:pt>
                <c:pt idx="9">
                  <c:v>1046.0348480921978</c:v>
                </c:pt>
                <c:pt idx="10">
                  <c:v>1360.2194903680272</c:v>
                </c:pt>
                <c:pt idx="11">
                  <c:v>1205.0104384189569</c:v>
                </c:pt>
                <c:pt idx="12">
                  <c:v>1146.5439290308943</c:v>
                </c:pt>
                <c:pt idx="13">
                  <c:v>1444.2563911614645</c:v>
                </c:pt>
                <c:pt idx="14">
                  <c:v>1027.4500443035918</c:v>
                </c:pt>
                <c:pt idx="15">
                  <c:v>656.77199080656703</c:v>
                </c:pt>
                <c:pt idx="16">
                  <c:v>807.29808499173839</c:v>
                </c:pt>
                <c:pt idx="17">
                  <c:v>707.6733731446817</c:v>
                </c:pt>
                <c:pt idx="18">
                  <c:v>909.15371566889576</c:v>
                </c:pt>
                <c:pt idx="19">
                  <c:v>1298.4618918452031</c:v>
                </c:pt>
                <c:pt idx="20">
                  <c:v>1245.5254131869192</c:v>
                </c:pt>
                <c:pt idx="21">
                  <c:v>1452.0364244024122</c:v>
                </c:pt>
                <c:pt idx="22">
                  <c:v>52.381648414501136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8-44FB-8F67-916CBA6E4BA2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harvest'!$AB$278:$AB$301</c:f>
                <c:numCache>
                  <c:formatCode>General</c:formatCode>
                  <c:ptCount val="24"/>
                  <c:pt idx="0">
                    <c:v>833.66768304001801</c:v>
                  </c:pt>
                  <c:pt idx="1">
                    <c:v>846.54697615711768</c:v>
                  </c:pt>
                  <c:pt idx="2">
                    <c:v>1358.5307096550748</c:v>
                  </c:pt>
                  <c:pt idx="3">
                    <c:v>1056.3559544973909</c:v>
                  </c:pt>
                  <c:pt idx="4">
                    <c:v>638.50583472109122</c:v>
                  </c:pt>
                  <c:pt idx="5">
                    <c:v>831.56919039756519</c:v>
                  </c:pt>
                  <c:pt idx="6">
                    <c:v>870.62324037774147</c:v>
                  </c:pt>
                  <c:pt idx="7">
                    <c:v>1057.2817897223822</c:v>
                  </c:pt>
                  <c:pt idx="8">
                    <c:v>381.28851056136739</c:v>
                  </c:pt>
                  <c:pt idx="9">
                    <c:v>635.22586567063888</c:v>
                  </c:pt>
                  <c:pt idx="10">
                    <c:v>855.18863887578937</c:v>
                  </c:pt>
                  <c:pt idx="11">
                    <c:v>734.57473734615132</c:v>
                  </c:pt>
                  <c:pt idx="12">
                    <c:v>684.57726561782351</c:v>
                  </c:pt>
                  <c:pt idx="13">
                    <c:v>694.2104239488807</c:v>
                  </c:pt>
                  <c:pt idx="14">
                    <c:v>558.10801721451935</c:v>
                  </c:pt>
                  <c:pt idx="15">
                    <c:v>299.93912672017348</c:v>
                  </c:pt>
                  <c:pt idx="16">
                    <c:v>434.46078278660559</c:v>
                  </c:pt>
                  <c:pt idx="17">
                    <c:v>330.99076470979963</c:v>
                  </c:pt>
                  <c:pt idx="18">
                    <c:v>378.48338305888029</c:v>
                  </c:pt>
                  <c:pt idx="19">
                    <c:v>636.32142307511742</c:v>
                  </c:pt>
                  <c:pt idx="20">
                    <c:v>512.80635632795804</c:v>
                  </c:pt>
                  <c:pt idx="21">
                    <c:v>656.38038777564736</c:v>
                  </c:pt>
                  <c:pt idx="22">
                    <c:v>58.605047561847698</c:v>
                  </c:pt>
                  <c:pt idx="23">
                    <c:v>96.419013401694968</c:v>
                  </c:pt>
                </c:numCache>
              </c:numRef>
            </c:plus>
            <c:minus>
              <c:numRef>
                <c:f>'YE harvest'!$AB$278:$AB$301</c:f>
                <c:numCache>
                  <c:formatCode>General</c:formatCode>
                  <c:ptCount val="24"/>
                  <c:pt idx="0">
                    <c:v>833.66768304001801</c:v>
                  </c:pt>
                  <c:pt idx="1">
                    <c:v>846.54697615711768</c:v>
                  </c:pt>
                  <c:pt idx="2">
                    <c:v>1358.5307096550748</c:v>
                  </c:pt>
                  <c:pt idx="3">
                    <c:v>1056.3559544973909</c:v>
                  </c:pt>
                  <c:pt idx="4">
                    <c:v>638.50583472109122</c:v>
                  </c:pt>
                  <c:pt idx="5">
                    <c:v>831.56919039756519</c:v>
                  </c:pt>
                  <c:pt idx="6">
                    <c:v>870.62324037774147</c:v>
                  </c:pt>
                  <c:pt idx="7">
                    <c:v>1057.2817897223822</c:v>
                  </c:pt>
                  <c:pt idx="8">
                    <c:v>381.28851056136739</c:v>
                  </c:pt>
                  <c:pt idx="9">
                    <c:v>635.22586567063888</c:v>
                  </c:pt>
                  <c:pt idx="10">
                    <c:v>855.18863887578937</c:v>
                  </c:pt>
                  <c:pt idx="11">
                    <c:v>734.57473734615132</c:v>
                  </c:pt>
                  <c:pt idx="12">
                    <c:v>684.57726561782351</c:v>
                  </c:pt>
                  <c:pt idx="13">
                    <c:v>694.2104239488807</c:v>
                  </c:pt>
                  <c:pt idx="14">
                    <c:v>558.10801721451935</c:v>
                  </c:pt>
                  <c:pt idx="15">
                    <c:v>299.93912672017348</c:v>
                  </c:pt>
                  <c:pt idx="16">
                    <c:v>434.46078278660559</c:v>
                  </c:pt>
                  <c:pt idx="17">
                    <c:v>330.99076470979963</c:v>
                  </c:pt>
                  <c:pt idx="18">
                    <c:v>378.48338305888029</c:v>
                  </c:pt>
                  <c:pt idx="19">
                    <c:v>636.32142307511742</c:v>
                  </c:pt>
                  <c:pt idx="20">
                    <c:v>512.80635632795804</c:v>
                  </c:pt>
                  <c:pt idx="21">
                    <c:v>656.38038777564736</c:v>
                  </c:pt>
                  <c:pt idx="22">
                    <c:v>58.605047561847698</c:v>
                  </c:pt>
                  <c:pt idx="23">
                    <c:v>96.419013401694968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'YE harvest'!$Y$278:$Y$301</c:f>
              <c:numCache>
                <c:formatCode>_(* #,##0_);_(* \(#,##0\);_(* "-"??_);_(@_)</c:formatCode>
                <c:ptCount val="24"/>
                <c:pt idx="0">
                  <c:v>1223.8929706589613</c:v>
                </c:pt>
                <c:pt idx="1">
                  <c:v>1232.3572886370146</c:v>
                </c:pt>
                <c:pt idx="2">
                  <c:v>1986.4636994332145</c:v>
                </c:pt>
                <c:pt idx="3">
                  <c:v>1548.6288232976442</c:v>
                </c:pt>
                <c:pt idx="4">
                  <c:v>925.42055326575803</c:v>
                </c:pt>
                <c:pt idx="5">
                  <c:v>1214.2280504293637</c:v>
                </c:pt>
                <c:pt idx="6">
                  <c:v>1275.5342998595336</c:v>
                </c:pt>
                <c:pt idx="7">
                  <c:v>1544.473452688582</c:v>
                </c:pt>
                <c:pt idx="8">
                  <c:v>2006.5489857885264</c:v>
                </c:pt>
                <c:pt idx="9">
                  <c:v>2237.0348480921975</c:v>
                </c:pt>
                <c:pt idx="10">
                  <c:v>2668.2194903680274</c:v>
                </c:pt>
                <c:pt idx="11">
                  <c:v>2160.0104384189572</c:v>
                </c:pt>
                <c:pt idx="12">
                  <c:v>2523.5439290308941</c:v>
                </c:pt>
                <c:pt idx="13">
                  <c:v>2590.2563911614643</c:v>
                </c:pt>
                <c:pt idx="14">
                  <c:v>2279.4500443035918</c:v>
                </c:pt>
                <c:pt idx="15">
                  <c:v>1815.7719908065669</c:v>
                </c:pt>
                <c:pt idx="16">
                  <c:v>2013.2980849917385</c:v>
                </c:pt>
                <c:pt idx="17">
                  <c:v>2262.6733731446816</c:v>
                </c:pt>
                <c:pt idx="18">
                  <c:v>2551.1537156688955</c:v>
                </c:pt>
                <c:pt idx="19">
                  <c:v>2552.4618918452034</c:v>
                </c:pt>
                <c:pt idx="20">
                  <c:v>2615.5254131869192</c:v>
                </c:pt>
                <c:pt idx="21">
                  <c:v>2865.0364244024122</c:v>
                </c:pt>
                <c:pt idx="22">
                  <c:v>73.381648414501143</c:v>
                </c:pt>
                <c:pt idx="23">
                  <c:v>98.36297595929662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58-44FB-8F67-916CBA6E4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NSEO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harvest'!$L$303:$L$323</c:f>
                <c:numCache>
                  <c:formatCode>General</c:formatCode>
                  <c:ptCount val="21"/>
                  <c:pt idx="0">
                    <c:v>94.925021771315869</c:v>
                  </c:pt>
                  <c:pt idx="1">
                    <c:v>106.74518731755252</c:v>
                  </c:pt>
                  <c:pt idx="2">
                    <c:v>259.316247214361</c:v>
                  </c:pt>
                  <c:pt idx="3">
                    <c:v>291.68531594097828</c:v>
                  </c:pt>
                  <c:pt idx="4">
                    <c:v>244.04095635460902</c:v>
                  </c:pt>
                  <c:pt idx="5">
                    <c:v>301.68699448010165</c:v>
                  </c:pt>
                  <c:pt idx="6">
                    <c:v>349.87690016860483</c:v>
                  </c:pt>
                  <c:pt idx="7">
                    <c:v>292.4127107438236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plus>
            <c:minus>
              <c:numRef>
                <c:f>'YE harvest'!$L$303:$L$323</c:f>
                <c:numCache>
                  <c:formatCode>General</c:formatCode>
                  <c:ptCount val="21"/>
                  <c:pt idx="0">
                    <c:v>94.925021771315869</c:v>
                  </c:pt>
                  <c:pt idx="1">
                    <c:v>106.74518731755252</c:v>
                  </c:pt>
                  <c:pt idx="2">
                    <c:v>259.316247214361</c:v>
                  </c:pt>
                  <c:pt idx="3">
                    <c:v>291.68531594097828</c:v>
                  </c:pt>
                  <c:pt idx="4">
                    <c:v>244.04095635460902</c:v>
                  </c:pt>
                  <c:pt idx="5">
                    <c:v>301.68699448010165</c:v>
                  </c:pt>
                  <c:pt idx="6">
                    <c:v>349.87690016860483</c:v>
                  </c:pt>
                  <c:pt idx="7">
                    <c:v>292.4127107438236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'YE harvest'!$I$303:$I$326</c:f>
              <c:numCache>
                <c:formatCode>_(* #,##0_);_(* \(#,##0\);_(* "-"??_);_(@_)</c:formatCode>
                <c:ptCount val="24"/>
                <c:pt idx="0">
                  <c:v>229.67076843000001</c:v>
                </c:pt>
                <c:pt idx="1">
                  <c:v>258.26961890500002</c:v>
                </c:pt>
                <c:pt idx="2">
                  <c:v>627.41478118999999</c:v>
                </c:pt>
                <c:pt idx="3">
                  <c:v>705.73163325999997</c:v>
                </c:pt>
                <c:pt idx="4">
                  <c:v>590.45626673000004</c:v>
                </c:pt>
                <c:pt idx="5">
                  <c:v>729.93066058500006</c:v>
                </c:pt>
                <c:pt idx="6">
                  <c:v>846.52597406000007</c:v>
                </c:pt>
                <c:pt idx="7">
                  <c:v>707.49156252</c:v>
                </c:pt>
                <c:pt idx="8">
                  <c:v>931</c:v>
                </c:pt>
                <c:pt idx="9">
                  <c:v>1014</c:v>
                </c:pt>
                <c:pt idx="10">
                  <c:v>1009</c:v>
                </c:pt>
                <c:pt idx="11">
                  <c:v>580</c:v>
                </c:pt>
                <c:pt idx="12">
                  <c:v>737</c:v>
                </c:pt>
                <c:pt idx="13">
                  <c:v>831</c:v>
                </c:pt>
                <c:pt idx="14">
                  <c:v>737</c:v>
                </c:pt>
                <c:pt idx="15">
                  <c:v>713</c:v>
                </c:pt>
                <c:pt idx="16">
                  <c:v>820</c:v>
                </c:pt>
                <c:pt idx="17">
                  <c:v>911</c:v>
                </c:pt>
                <c:pt idx="18">
                  <c:v>698</c:v>
                </c:pt>
                <c:pt idx="19">
                  <c:v>756</c:v>
                </c:pt>
                <c:pt idx="20">
                  <c:v>858</c:v>
                </c:pt>
                <c:pt idx="21">
                  <c:v>769</c:v>
                </c:pt>
                <c:pt idx="22">
                  <c:v>3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2-4F8B-8342-7A0D0F8BF369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harvest'!$W$303:$W$326</c:f>
                <c:numCache>
                  <c:formatCode>General</c:formatCode>
                  <c:ptCount val="24"/>
                  <c:pt idx="0">
                    <c:v>188.37394252823589</c:v>
                  </c:pt>
                  <c:pt idx="1">
                    <c:v>179.65137350644756</c:v>
                  </c:pt>
                  <c:pt idx="2">
                    <c:v>483.59935557337838</c:v>
                  </c:pt>
                  <c:pt idx="3">
                    <c:v>476.21872024724991</c:v>
                  </c:pt>
                  <c:pt idx="4">
                    <c:v>340.34793356170138</c:v>
                  </c:pt>
                  <c:pt idx="5">
                    <c:v>517.14769796487201</c:v>
                  </c:pt>
                  <c:pt idx="6">
                    <c:v>490.30902405167717</c:v>
                  </c:pt>
                  <c:pt idx="7">
                    <c:v>469.00582663307881</c:v>
                  </c:pt>
                  <c:pt idx="8">
                    <c:v>677.94219615937754</c:v>
                  </c:pt>
                  <c:pt idx="9">
                    <c:v>1056.4682041451133</c:v>
                  </c:pt>
                  <c:pt idx="10">
                    <c:v>578.20471071196232</c:v>
                  </c:pt>
                  <c:pt idx="11">
                    <c:v>381.13210889618335</c:v>
                  </c:pt>
                  <c:pt idx="12">
                    <c:v>694.35686572689428</c:v>
                  </c:pt>
                  <c:pt idx="13">
                    <c:v>384.29075948709641</c:v>
                  </c:pt>
                  <c:pt idx="14">
                    <c:v>454.03521242423773</c:v>
                  </c:pt>
                  <c:pt idx="15">
                    <c:v>388.90426943608003</c:v>
                  </c:pt>
                  <c:pt idx="16">
                    <c:v>498.5245506480905</c:v>
                  </c:pt>
                  <c:pt idx="17">
                    <c:v>707.03830210906494</c:v>
                  </c:pt>
                  <c:pt idx="18">
                    <c:v>145.07551731288626</c:v>
                  </c:pt>
                  <c:pt idx="19">
                    <c:v>476.65628750755712</c:v>
                  </c:pt>
                  <c:pt idx="20">
                    <c:v>589.5996294264985</c:v>
                  </c:pt>
                  <c:pt idx="21">
                    <c:v>280.78757194782753</c:v>
                  </c:pt>
                  <c:pt idx="22">
                    <c:v>6.2653149175601595</c:v>
                  </c:pt>
                  <c:pt idx="23">
                    <c:v>0</c:v>
                  </c:pt>
                </c:numCache>
              </c:numRef>
            </c:plus>
            <c:minus>
              <c:numRef>
                <c:f>'YE harvest'!$W$303:$W$326</c:f>
                <c:numCache>
                  <c:formatCode>General</c:formatCode>
                  <c:ptCount val="24"/>
                  <c:pt idx="0">
                    <c:v>188.37394252823589</c:v>
                  </c:pt>
                  <c:pt idx="1">
                    <c:v>179.65137350644756</c:v>
                  </c:pt>
                  <c:pt idx="2">
                    <c:v>483.59935557337838</c:v>
                  </c:pt>
                  <c:pt idx="3">
                    <c:v>476.21872024724991</c:v>
                  </c:pt>
                  <c:pt idx="4">
                    <c:v>340.34793356170138</c:v>
                  </c:pt>
                  <c:pt idx="5">
                    <c:v>517.14769796487201</c:v>
                  </c:pt>
                  <c:pt idx="6">
                    <c:v>490.30902405167717</c:v>
                  </c:pt>
                  <c:pt idx="7">
                    <c:v>469.00582663307881</c:v>
                  </c:pt>
                  <c:pt idx="8">
                    <c:v>677.94219615937754</c:v>
                  </c:pt>
                  <c:pt idx="9">
                    <c:v>1056.4682041451133</c:v>
                  </c:pt>
                  <c:pt idx="10">
                    <c:v>578.20471071196232</c:v>
                  </c:pt>
                  <c:pt idx="11">
                    <c:v>381.13210889618335</c:v>
                  </c:pt>
                  <c:pt idx="12">
                    <c:v>694.35686572689428</c:v>
                  </c:pt>
                  <c:pt idx="13">
                    <c:v>384.29075948709641</c:v>
                  </c:pt>
                  <c:pt idx="14">
                    <c:v>454.03521242423773</c:v>
                  </c:pt>
                  <c:pt idx="15">
                    <c:v>388.90426943608003</c:v>
                  </c:pt>
                  <c:pt idx="16">
                    <c:v>498.5245506480905</c:v>
                  </c:pt>
                  <c:pt idx="17">
                    <c:v>707.03830210906494</c:v>
                  </c:pt>
                  <c:pt idx="18">
                    <c:v>145.07551731288626</c:v>
                  </c:pt>
                  <c:pt idx="19">
                    <c:v>476.65628750755712</c:v>
                  </c:pt>
                  <c:pt idx="20">
                    <c:v>589.5996294264985</c:v>
                  </c:pt>
                  <c:pt idx="21">
                    <c:v>280.78757194782753</c:v>
                  </c:pt>
                  <c:pt idx="22">
                    <c:v>6.2653149175601595</c:v>
                  </c:pt>
                  <c:pt idx="23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'YE harvest'!$T$303:$T$326</c:f>
              <c:numCache>
                <c:formatCode>_(* #,##0_);_(* \(#,##0\);_(* "-"??_);_(@_)</c:formatCode>
                <c:ptCount val="24"/>
                <c:pt idx="0">
                  <c:v>113.32655602552302</c:v>
                </c:pt>
                <c:pt idx="1">
                  <c:v>108.07902181953263</c:v>
                </c:pt>
                <c:pt idx="2">
                  <c:v>290.93540607442804</c:v>
                </c:pt>
                <c:pt idx="3">
                  <c:v>286.49518482320553</c:v>
                </c:pt>
                <c:pt idx="4">
                  <c:v>204.75474815297079</c:v>
                </c:pt>
                <c:pt idx="5">
                  <c:v>311.118229943622</c:v>
                </c:pt>
                <c:pt idx="6">
                  <c:v>294.97197084826689</c:v>
                </c:pt>
                <c:pt idx="7">
                  <c:v>282.15587769132884</c:v>
                </c:pt>
                <c:pt idx="8">
                  <c:v>638.97251272614392</c:v>
                </c:pt>
                <c:pt idx="9">
                  <c:v>1001.5440678710887</c:v>
                </c:pt>
                <c:pt idx="10">
                  <c:v>526.21306940319107</c:v>
                </c:pt>
                <c:pt idx="11">
                  <c:v>344.9325461128285</c:v>
                </c:pt>
                <c:pt idx="12">
                  <c:v>664.56336829718032</c:v>
                </c:pt>
                <c:pt idx="13">
                  <c:v>447.5468817012532</c:v>
                </c:pt>
                <c:pt idx="14">
                  <c:v>552.39265305263154</c:v>
                </c:pt>
                <c:pt idx="15">
                  <c:v>465.81226097848275</c:v>
                </c:pt>
                <c:pt idx="16">
                  <c:v>687.8951098995143</c:v>
                </c:pt>
                <c:pt idx="17">
                  <c:v>810.38626158617774</c:v>
                </c:pt>
                <c:pt idx="18" formatCode="_(* #,##0.00_);_(* \(#,##0.00\);_(* &quot;-&quot;??_);_(@_)">
                  <c:v>181.94129841344036</c:v>
                </c:pt>
                <c:pt idx="19">
                  <c:v>709.45791082232461</c:v>
                </c:pt>
                <c:pt idx="20">
                  <c:v>798.66330076398742</c:v>
                </c:pt>
                <c:pt idx="21">
                  <c:v>381.64732480876324</c:v>
                </c:pt>
                <c:pt idx="22">
                  <c:v>2.9339781522880095</c:v>
                </c:pt>
                <c:pt idx="23" formatCode="_(* #,##0.00_);_(* \(#,##0.00\);_(* &quot;-&quot;??_);_(@_)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02-4F8B-8342-7A0D0F8BF369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harvest'!$AB$303:$AB$326</c:f>
                <c:numCache>
                  <c:formatCode>General</c:formatCode>
                  <c:ptCount val="24"/>
                  <c:pt idx="0">
                    <c:v>210.93956950253764</c:v>
                  </c:pt>
                  <c:pt idx="1">
                    <c:v>208.9716512310043</c:v>
                  </c:pt>
                  <c:pt idx="2">
                    <c:v>548.73787255877141</c:v>
                  </c:pt>
                  <c:pt idx="3">
                    <c:v>558.44837993275326</c:v>
                  </c:pt>
                  <c:pt idx="4">
                    <c:v>418.79912160628089</c:v>
                  </c:pt>
                  <c:pt idx="5">
                    <c:v>598.71260563713156</c:v>
                  </c:pt>
                  <c:pt idx="6">
                    <c:v>602.34274656386458</c:v>
                  </c:pt>
                  <c:pt idx="7">
                    <c:v>552.69490573039354</c:v>
                  </c:pt>
                  <c:pt idx="8">
                    <c:v>677.94219615937754</c:v>
                  </c:pt>
                  <c:pt idx="9">
                    <c:v>1056.4682041451133</c:v>
                  </c:pt>
                  <c:pt idx="10">
                    <c:v>578.20471071196232</c:v>
                  </c:pt>
                  <c:pt idx="11">
                    <c:v>381.13210889618335</c:v>
                  </c:pt>
                  <c:pt idx="12">
                    <c:v>694.35686572689428</c:v>
                  </c:pt>
                  <c:pt idx="13">
                    <c:v>384.29075948709641</c:v>
                  </c:pt>
                  <c:pt idx="14">
                    <c:v>454.03521242423773</c:v>
                  </c:pt>
                  <c:pt idx="15">
                    <c:v>388.90426943608003</c:v>
                  </c:pt>
                  <c:pt idx="16">
                    <c:v>498.5245506480905</c:v>
                  </c:pt>
                  <c:pt idx="17">
                    <c:v>707.03830210906494</c:v>
                  </c:pt>
                  <c:pt idx="18">
                    <c:v>145.07551731288626</c:v>
                  </c:pt>
                  <c:pt idx="19">
                    <c:v>476.65628750755712</c:v>
                  </c:pt>
                  <c:pt idx="20">
                    <c:v>589.5996294264985</c:v>
                  </c:pt>
                  <c:pt idx="21">
                    <c:v>280.78757194782753</c:v>
                  </c:pt>
                  <c:pt idx="22">
                    <c:v>6.2653149175601595</c:v>
                  </c:pt>
                  <c:pt idx="23">
                    <c:v>0</c:v>
                  </c:pt>
                </c:numCache>
              </c:numRef>
            </c:plus>
            <c:minus>
              <c:numRef>
                <c:f>'YE harvest'!$AB$303:$AB$326</c:f>
                <c:numCache>
                  <c:formatCode>General</c:formatCode>
                  <c:ptCount val="24"/>
                  <c:pt idx="0">
                    <c:v>210.93956950253764</c:v>
                  </c:pt>
                  <c:pt idx="1">
                    <c:v>208.9716512310043</c:v>
                  </c:pt>
                  <c:pt idx="2">
                    <c:v>548.73787255877141</c:v>
                  </c:pt>
                  <c:pt idx="3">
                    <c:v>558.44837993275326</c:v>
                  </c:pt>
                  <c:pt idx="4">
                    <c:v>418.79912160628089</c:v>
                  </c:pt>
                  <c:pt idx="5">
                    <c:v>598.71260563713156</c:v>
                  </c:pt>
                  <c:pt idx="6">
                    <c:v>602.34274656386458</c:v>
                  </c:pt>
                  <c:pt idx="7">
                    <c:v>552.69490573039354</c:v>
                  </c:pt>
                  <c:pt idx="8">
                    <c:v>677.94219615937754</c:v>
                  </c:pt>
                  <c:pt idx="9">
                    <c:v>1056.4682041451133</c:v>
                  </c:pt>
                  <c:pt idx="10">
                    <c:v>578.20471071196232</c:v>
                  </c:pt>
                  <c:pt idx="11">
                    <c:v>381.13210889618335</c:v>
                  </c:pt>
                  <c:pt idx="12">
                    <c:v>694.35686572689428</c:v>
                  </c:pt>
                  <c:pt idx="13">
                    <c:v>384.29075948709641</c:v>
                  </c:pt>
                  <c:pt idx="14">
                    <c:v>454.03521242423773</c:v>
                  </c:pt>
                  <c:pt idx="15">
                    <c:v>388.90426943608003</c:v>
                  </c:pt>
                  <c:pt idx="16">
                    <c:v>498.5245506480905</c:v>
                  </c:pt>
                  <c:pt idx="17">
                    <c:v>707.03830210906494</c:v>
                  </c:pt>
                  <c:pt idx="18">
                    <c:v>145.07551731288626</c:v>
                  </c:pt>
                  <c:pt idx="19">
                    <c:v>476.65628750755712</c:v>
                  </c:pt>
                  <c:pt idx="20">
                    <c:v>589.5996294264985</c:v>
                  </c:pt>
                  <c:pt idx="21">
                    <c:v>280.78757194782753</c:v>
                  </c:pt>
                  <c:pt idx="22">
                    <c:v>6.2653149175601595</c:v>
                  </c:pt>
                  <c:pt idx="23">
                    <c:v>0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'YE harvest'!$Y$303:$Y$326</c:f>
              <c:numCache>
                <c:formatCode>_(* #,##0_);_(* \(#,##0\);_(* "-"??_);_(@_)</c:formatCode>
                <c:ptCount val="24"/>
                <c:pt idx="0">
                  <c:v>342.99732445552303</c:v>
                </c:pt>
                <c:pt idx="1">
                  <c:v>366.34864072453263</c:v>
                </c:pt>
                <c:pt idx="2">
                  <c:v>918.35018726442809</c:v>
                </c:pt>
                <c:pt idx="3">
                  <c:v>992.22681808320544</c:v>
                </c:pt>
                <c:pt idx="4">
                  <c:v>795.21101488297086</c:v>
                </c:pt>
                <c:pt idx="5">
                  <c:v>1041.048890528622</c:v>
                </c:pt>
                <c:pt idx="6">
                  <c:v>1141.4979449082671</c:v>
                </c:pt>
                <c:pt idx="7">
                  <c:v>989.64744021132879</c:v>
                </c:pt>
                <c:pt idx="8">
                  <c:v>1569.972512726144</c:v>
                </c:pt>
                <c:pt idx="9">
                  <c:v>2015.5440678710888</c:v>
                </c:pt>
                <c:pt idx="10">
                  <c:v>1535.2130694031912</c:v>
                </c:pt>
                <c:pt idx="11">
                  <c:v>924.9325461128285</c:v>
                </c:pt>
                <c:pt idx="12">
                  <c:v>1401.5633682971802</c:v>
                </c:pt>
                <c:pt idx="13">
                  <c:v>1278.5468817012531</c:v>
                </c:pt>
                <c:pt idx="14">
                  <c:v>1289.3926530526314</c:v>
                </c:pt>
                <c:pt idx="15">
                  <c:v>1178.8122609784828</c:v>
                </c:pt>
                <c:pt idx="16">
                  <c:v>1507.8951098995144</c:v>
                </c:pt>
                <c:pt idx="17">
                  <c:v>1721.3862615861776</c:v>
                </c:pt>
                <c:pt idx="18">
                  <c:v>879.94129841344034</c:v>
                </c:pt>
                <c:pt idx="19">
                  <c:v>1465.4579108223247</c:v>
                </c:pt>
                <c:pt idx="20">
                  <c:v>1656.6633007639875</c:v>
                </c:pt>
                <c:pt idx="21">
                  <c:v>1150.6473248087632</c:v>
                </c:pt>
                <c:pt idx="22">
                  <c:v>5.9339781522880095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02-4F8B-8342-7A0D0F8BF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EASTSIDE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'rockfish harvests'!$B$2:$B$26</c:f>
            </c:multiLvlStrRef>
          </c:cat>
          <c:val>
            <c:numRef>
              <c:f>'rockfish harvests'!$D$102:$D$126</c:f>
            </c:numRef>
          </c:val>
          <c:smooth val="0"/>
          <c:extLst>
            <c:ext xmlns:c16="http://schemas.microsoft.com/office/drawing/2014/chart" uri="{C3380CC4-5D6E-409C-BE32-E72D297353CC}">
              <c16:uniqueId val="{00000000-BC22-4D69-A2CD-D0F37A805D15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harvests'!$N$102:$N$125</c:f>
              </c:numRef>
            </c:plus>
            <c:minus>
              <c:numRef>
                <c:f>'rockfish harvests'!$N$102:$N$125</c:f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'rockfish harvests'!$B$2:$B$26</c:f>
            </c:multiLvlStrRef>
          </c:cat>
          <c:val>
            <c:numRef>
              <c:f>'rockfish harvests'!$O$102:$O$126</c:f>
            </c:numRef>
          </c:val>
          <c:smooth val="0"/>
          <c:extLst>
            <c:ext xmlns:c16="http://schemas.microsoft.com/office/drawing/2014/chart" uri="{C3380CC4-5D6E-409C-BE32-E72D297353CC}">
              <c16:uniqueId val="{00000001-BC22-4D69-A2CD-D0F37A805D15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harvests'!$N$102:$N$125</c:f>
              </c:numRef>
            </c:plus>
            <c:minus>
              <c:numRef>
                <c:f>'rockfish harvests'!$N$102:$N$125</c:f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multiLvlStrRef>
              <c:f>'rockfish harvests'!$B$2:$B$26</c:f>
            </c:multiLvlStrRef>
          </c:cat>
          <c:val>
            <c:numRef>
              <c:f>'rockfish harvests'!$K$102:$K$126</c:f>
            </c:numRef>
          </c:val>
          <c:smooth val="0"/>
          <c:extLst>
            <c:ext xmlns:c16="http://schemas.microsoft.com/office/drawing/2014/chart" uri="{C3380CC4-5D6E-409C-BE32-E72D297353CC}">
              <c16:uniqueId val="{00000002-BC22-4D69-A2CD-D0F37A805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SSEI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harvest'!$L$328:$L$348</c:f>
                <c:numCache>
                  <c:formatCode>General</c:formatCode>
                  <c:ptCount val="21"/>
                  <c:pt idx="0">
                    <c:v>306.3048463505765</c:v>
                  </c:pt>
                  <c:pt idx="1">
                    <c:v>310.33978991647757</c:v>
                  </c:pt>
                  <c:pt idx="2">
                    <c:v>603.22406310220913</c:v>
                  </c:pt>
                  <c:pt idx="3">
                    <c:v>424.01993907751626</c:v>
                  </c:pt>
                  <c:pt idx="4">
                    <c:v>356.4784924309115</c:v>
                  </c:pt>
                  <c:pt idx="5">
                    <c:v>492.52626353335825</c:v>
                  </c:pt>
                  <c:pt idx="6">
                    <c:v>695.50146813107699</c:v>
                  </c:pt>
                  <c:pt idx="7">
                    <c:v>840.67172033903921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plus>
            <c:minus>
              <c:numRef>
                <c:f>'YE harvest'!$L$328:$L$348</c:f>
                <c:numCache>
                  <c:formatCode>General</c:formatCode>
                  <c:ptCount val="21"/>
                  <c:pt idx="0">
                    <c:v>306.3048463505765</c:v>
                  </c:pt>
                  <c:pt idx="1">
                    <c:v>310.33978991647757</c:v>
                  </c:pt>
                  <c:pt idx="2">
                    <c:v>603.22406310220913</c:v>
                  </c:pt>
                  <c:pt idx="3">
                    <c:v>424.01993907751626</c:v>
                  </c:pt>
                  <c:pt idx="4">
                    <c:v>356.4784924309115</c:v>
                  </c:pt>
                  <c:pt idx="5">
                    <c:v>492.52626353335825</c:v>
                  </c:pt>
                  <c:pt idx="6">
                    <c:v>695.50146813107699</c:v>
                  </c:pt>
                  <c:pt idx="7">
                    <c:v>840.67172033903921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'YE harvest'!$I$328:$I$351</c:f>
              <c:numCache>
                <c:formatCode>_(* #,##0_);_(* \(#,##0\);_(* "-"??_);_(@_)</c:formatCode>
                <c:ptCount val="24"/>
                <c:pt idx="0">
                  <c:v>922.09935329999996</c:v>
                </c:pt>
                <c:pt idx="1">
                  <c:v>934.24613744999999</c:v>
                </c:pt>
                <c:pt idx="2">
                  <c:v>1815.9442304249999</c:v>
                </c:pt>
                <c:pt idx="3">
                  <c:v>1276.46857785</c:v>
                </c:pt>
                <c:pt idx="4">
                  <c:v>1073.1419736</c:v>
                </c:pt>
                <c:pt idx="5">
                  <c:v>1482.6998478749999</c:v>
                </c:pt>
                <c:pt idx="6">
                  <c:v>2093.735902725</c:v>
                </c:pt>
                <c:pt idx="7">
                  <c:v>2530.7560715999998</c:v>
                </c:pt>
                <c:pt idx="8">
                  <c:v>4211</c:v>
                </c:pt>
                <c:pt idx="9">
                  <c:v>3637</c:v>
                </c:pt>
                <c:pt idx="10">
                  <c:v>3569</c:v>
                </c:pt>
                <c:pt idx="11">
                  <c:v>2902</c:v>
                </c:pt>
                <c:pt idx="12">
                  <c:v>3159</c:v>
                </c:pt>
                <c:pt idx="13">
                  <c:v>2407</c:v>
                </c:pt>
                <c:pt idx="14">
                  <c:v>3147</c:v>
                </c:pt>
                <c:pt idx="15">
                  <c:v>3164</c:v>
                </c:pt>
                <c:pt idx="16">
                  <c:v>2923</c:v>
                </c:pt>
                <c:pt idx="17">
                  <c:v>4271</c:v>
                </c:pt>
                <c:pt idx="18">
                  <c:v>4529</c:v>
                </c:pt>
                <c:pt idx="19">
                  <c:v>3574</c:v>
                </c:pt>
                <c:pt idx="20">
                  <c:v>3678</c:v>
                </c:pt>
                <c:pt idx="21">
                  <c:v>3091</c:v>
                </c:pt>
                <c:pt idx="22">
                  <c:v>8</c:v>
                </c:pt>
                <c:pt idx="2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1-4A10-B6F2-C898B50D98ED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harvest'!$W$328:$W$351</c:f>
                <c:numCache>
                  <c:formatCode>General</c:formatCode>
                  <c:ptCount val="24"/>
                  <c:pt idx="0">
                    <c:v>880.85131624999724</c:v>
                  </c:pt>
                  <c:pt idx="1">
                    <c:v>1036.8749721709758</c:v>
                  </c:pt>
                  <c:pt idx="2">
                    <c:v>1686.7156094108316</c:v>
                  </c:pt>
                  <c:pt idx="3">
                    <c:v>1315.1570203330098</c:v>
                  </c:pt>
                  <c:pt idx="4">
                    <c:v>1130.1515130867638</c:v>
                  </c:pt>
                  <c:pt idx="5">
                    <c:v>1584.5756867790637</c:v>
                  </c:pt>
                  <c:pt idx="6">
                    <c:v>1856.3860594024459</c:v>
                  </c:pt>
                  <c:pt idx="7">
                    <c:v>2156.6155289564299</c:v>
                  </c:pt>
                  <c:pt idx="8">
                    <c:v>2234.8595456771882</c:v>
                  </c:pt>
                  <c:pt idx="9">
                    <c:v>2425.5679538541053</c:v>
                  </c:pt>
                  <c:pt idx="10">
                    <c:v>1985.9796282914842</c:v>
                  </c:pt>
                  <c:pt idx="11">
                    <c:v>1602.2755668932055</c:v>
                  </c:pt>
                  <c:pt idx="12">
                    <c:v>2864.007673399894</c:v>
                  </c:pt>
                  <c:pt idx="13">
                    <c:v>2650.8731029090336</c:v>
                  </c:pt>
                  <c:pt idx="14">
                    <c:v>2628.0432527923663</c:v>
                  </c:pt>
                  <c:pt idx="15">
                    <c:v>2347.1863494376375</c:v>
                  </c:pt>
                  <c:pt idx="16">
                    <c:v>1555.2381143752964</c:v>
                  </c:pt>
                  <c:pt idx="17">
                    <c:v>1590.3209874521851</c:v>
                  </c:pt>
                  <c:pt idx="18">
                    <c:v>1802.9686958754237</c:v>
                  </c:pt>
                  <c:pt idx="19">
                    <c:v>2185.0446693045747</c:v>
                  </c:pt>
                  <c:pt idx="20">
                    <c:v>1905.6328873061366</c:v>
                  </c:pt>
                  <c:pt idx="21">
                    <c:v>4389.0564221992254</c:v>
                  </c:pt>
                  <c:pt idx="22">
                    <c:v>127.86653959911831</c:v>
                  </c:pt>
                  <c:pt idx="23">
                    <c:v>117.34528979247908</c:v>
                  </c:pt>
                </c:numCache>
              </c:numRef>
            </c:plus>
            <c:minus>
              <c:numRef>
                <c:f>'YE harvest'!$W$328:$W$351</c:f>
                <c:numCache>
                  <c:formatCode>General</c:formatCode>
                  <c:ptCount val="24"/>
                  <c:pt idx="0">
                    <c:v>880.85131624999724</c:v>
                  </c:pt>
                  <c:pt idx="1">
                    <c:v>1036.8749721709758</c:v>
                  </c:pt>
                  <c:pt idx="2">
                    <c:v>1686.7156094108316</c:v>
                  </c:pt>
                  <c:pt idx="3">
                    <c:v>1315.1570203330098</c:v>
                  </c:pt>
                  <c:pt idx="4">
                    <c:v>1130.1515130867638</c:v>
                  </c:pt>
                  <c:pt idx="5">
                    <c:v>1584.5756867790637</c:v>
                  </c:pt>
                  <c:pt idx="6">
                    <c:v>1856.3860594024459</c:v>
                  </c:pt>
                  <c:pt idx="7">
                    <c:v>2156.6155289564299</c:v>
                  </c:pt>
                  <c:pt idx="8">
                    <c:v>2234.8595456771882</c:v>
                  </c:pt>
                  <c:pt idx="9">
                    <c:v>2425.5679538541053</c:v>
                  </c:pt>
                  <c:pt idx="10">
                    <c:v>1985.9796282914842</c:v>
                  </c:pt>
                  <c:pt idx="11">
                    <c:v>1602.2755668932055</c:v>
                  </c:pt>
                  <c:pt idx="12">
                    <c:v>2864.007673399894</c:v>
                  </c:pt>
                  <c:pt idx="13">
                    <c:v>2650.8731029090336</c:v>
                  </c:pt>
                  <c:pt idx="14">
                    <c:v>2628.0432527923663</c:v>
                  </c:pt>
                  <c:pt idx="15">
                    <c:v>2347.1863494376375</c:v>
                  </c:pt>
                  <c:pt idx="16">
                    <c:v>1555.2381143752964</c:v>
                  </c:pt>
                  <c:pt idx="17">
                    <c:v>1590.3209874521851</c:v>
                  </c:pt>
                  <c:pt idx="18">
                    <c:v>1802.9686958754237</c:v>
                  </c:pt>
                  <c:pt idx="19">
                    <c:v>2185.0446693045747</c:v>
                  </c:pt>
                  <c:pt idx="20">
                    <c:v>1905.6328873061366</c:v>
                  </c:pt>
                  <c:pt idx="21">
                    <c:v>4389.0564221992254</c:v>
                  </c:pt>
                  <c:pt idx="22">
                    <c:v>127.86653959911831</c:v>
                  </c:pt>
                  <c:pt idx="23">
                    <c:v>117.34528979247908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'YE harvest'!$T$328:$T$351</c:f>
              <c:numCache>
                <c:formatCode>_(* #,##0_);_(* \(#,##0\);_(* "-"??_);_(@_)</c:formatCode>
                <c:ptCount val="24"/>
                <c:pt idx="0">
                  <c:v>1639.2137707817747</c:v>
                </c:pt>
                <c:pt idx="1">
                  <c:v>1929.5648443797602</c:v>
                </c:pt>
                <c:pt idx="2">
                  <c:v>3138.8809931165461</c:v>
                </c:pt>
                <c:pt idx="3">
                  <c:v>2447.4317727628222</c:v>
                </c:pt>
                <c:pt idx="4">
                  <c:v>2103.1471363504224</c:v>
                </c:pt>
                <c:pt idx="5">
                  <c:v>2948.8044562074952</c:v>
                </c:pt>
                <c:pt idx="6">
                  <c:v>3454.6279676514159</c:v>
                </c:pt>
                <c:pt idx="7">
                  <c:v>4013.3377882628693</c:v>
                </c:pt>
                <c:pt idx="8">
                  <c:v>5176.9338506472895</c:v>
                </c:pt>
                <c:pt idx="9">
                  <c:v>5645.8104111834882</c:v>
                </c:pt>
                <c:pt idx="10">
                  <c:v>4565.3774814509916</c:v>
                </c:pt>
                <c:pt idx="11">
                  <c:v>3666.5722189691242</c:v>
                </c:pt>
                <c:pt idx="12">
                  <c:v>6648.9321537632122</c:v>
                </c:pt>
                <c:pt idx="13">
                  <c:v>7169.4097096110918</c:v>
                </c:pt>
                <c:pt idx="14">
                  <c:v>8086.0638738359448</c:v>
                </c:pt>
                <c:pt idx="15">
                  <c:v>6412.9507179541833</c:v>
                </c:pt>
                <c:pt idx="16">
                  <c:v>5561.6414185115264</c:v>
                </c:pt>
                <c:pt idx="17">
                  <c:v>5648.0883221388831</c:v>
                </c:pt>
                <c:pt idx="18">
                  <c:v>6037.1204526798119</c:v>
                </c:pt>
                <c:pt idx="19">
                  <c:v>7477.3786229365887</c:v>
                </c:pt>
                <c:pt idx="20">
                  <c:v>7314.0162735439044</c:v>
                </c:pt>
                <c:pt idx="21">
                  <c:v>13455.1076110555</c:v>
                </c:pt>
                <c:pt idx="22">
                  <c:v>156.20637897805707</c:v>
                </c:pt>
                <c:pt idx="23">
                  <c:v>141.86636497865038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1-4A10-B6F2-C898B50D98ED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harvest'!$AB$328:$AB$351</c:f>
                <c:numCache>
                  <c:formatCode>General</c:formatCode>
                  <c:ptCount val="24"/>
                  <c:pt idx="0">
                    <c:v>932.58870904445484</c:v>
                  </c:pt>
                  <c:pt idx="1">
                    <c:v>1082.3218066360694</c:v>
                  </c:pt>
                  <c:pt idx="2">
                    <c:v>1791.3371590339132</c:v>
                  </c:pt>
                  <c:pt idx="3">
                    <c:v>1381.8215864815909</c:v>
                  </c:pt>
                  <c:pt idx="4">
                    <c:v>1185.0398128747054</c:v>
                  </c:pt>
                  <c:pt idx="5">
                    <c:v>1659.3559676577754</c:v>
                  </c:pt>
                  <c:pt idx="6">
                    <c:v>1982.3953928811034</c:v>
                  </c:pt>
                  <c:pt idx="7">
                    <c:v>2314.6748110941676</c:v>
                  </c:pt>
                  <c:pt idx="8">
                    <c:v>2234.8595456771882</c:v>
                  </c:pt>
                  <c:pt idx="9">
                    <c:v>2425.5679538541053</c:v>
                  </c:pt>
                  <c:pt idx="10">
                    <c:v>1985.9796282914842</c:v>
                  </c:pt>
                  <c:pt idx="11">
                    <c:v>1602.2755668932055</c:v>
                  </c:pt>
                  <c:pt idx="12">
                    <c:v>2864.007673399894</c:v>
                  </c:pt>
                  <c:pt idx="13">
                    <c:v>2650.8731029090336</c:v>
                  </c:pt>
                  <c:pt idx="14">
                    <c:v>2628.0432527923663</c:v>
                  </c:pt>
                  <c:pt idx="15">
                    <c:v>2347.1863494376375</c:v>
                  </c:pt>
                  <c:pt idx="16">
                    <c:v>1555.2381143752964</c:v>
                  </c:pt>
                  <c:pt idx="17">
                    <c:v>1590.3209874521851</c:v>
                  </c:pt>
                  <c:pt idx="18">
                    <c:v>1802.9686958754237</c:v>
                  </c:pt>
                  <c:pt idx="19">
                    <c:v>2185.0446693045747</c:v>
                  </c:pt>
                  <c:pt idx="20">
                    <c:v>1905.6328873061366</c:v>
                  </c:pt>
                  <c:pt idx="21">
                    <c:v>4389.0564221992254</c:v>
                  </c:pt>
                  <c:pt idx="22">
                    <c:v>127.86653959911831</c:v>
                  </c:pt>
                  <c:pt idx="23">
                    <c:v>117.34528979247908</c:v>
                  </c:pt>
                </c:numCache>
              </c:numRef>
            </c:plus>
            <c:minus>
              <c:numRef>
                <c:f>'YE harvest'!$AB$328:$AB$351</c:f>
                <c:numCache>
                  <c:formatCode>General</c:formatCode>
                  <c:ptCount val="24"/>
                  <c:pt idx="0">
                    <c:v>932.58870904445484</c:v>
                  </c:pt>
                  <c:pt idx="1">
                    <c:v>1082.3218066360694</c:v>
                  </c:pt>
                  <c:pt idx="2">
                    <c:v>1791.3371590339132</c:v>
                  </c:pt>
                  <c:pt idx="3">
                    <c:v>1381.8215864815909</c:v>
                  </c:pt>
                  <c:pt idx="4">
                    <c:v>1185.0398128747054</c:v>
                  </c:pt>
                  <c:pt idx="5">
                    <c:v>1659.3559676577754</c:v>
                  </c:pt>
                  <c:pt idx="6">
                    <c:v>1982.3953928811034</c:v>
                  </c:pt>
                  <c:pt idx="7">
                    <c:v>2314.6748110941676</c:v>
                  </c:pt>
                  <c:pt idx="8">
                    <c:v>2234.8595456771882</c:v>
                  </c:pt>
                  <c:pt idx="9">
                    <c:v>2425.5679538541053</c:v>
                  </c:pt>
                  <c:pt idx="10">
                    <c:v>1985.9796282914842</c:v>
                  </c:pt>
                  <c:pt idx="11">
                    <c:v>1602.2755668932055</c:v>
                  </c:pt>
                  <c:pt idx="12">
                    <c:v>2864.007673399894</c:v>
                  </c:pt>
                  <c:pt idx="13">
                    <c:v>2650.8731029090336</c:v>
                  </c:pt>
                  <c:pt idx="14">
                    <c:v>2628.0432527923663</c:v>
                  </c:pt>
                  <c:pt idx="15">
                    <c:v>2347.1863494376375</c:v>
                  </c:pt>
                  <c:pt idx="16">
                    <c:v>1555.2381143752964</c:v>
                  </c:pt>
                  <c:pt idx="17">
                    <c:v>1590.3209874521851</c:v>
                  </c:pt>
                  <c:pt idx="18">
                    <c:v>1802.9686958754237</c:v>
                  </c:pt>
                  <c:pt idx="19">
                    <c:v>2185.0446693045747</c:v>
                  </c:pt>
                  <c:pt idx="20">
                    <c:v>1905.6328873061366</c:v>
                  </c:pt>
                  <c:pt idx="21">
                    <c:v>4389.0564221992254</c:v>
                  </c:pt>
                  <c:pt idx="22">
                    <c:v>127.86653959911831</c:v>
                  </c:pt>
                  <c:pt idx="23">
                    <c:v>117.34528979247908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'YE harvest'!$Y$328:$Y$351</c:f>
              <c:numCache>
                <c:formatCode>_(* #,##0_);_(* \(#,##0\);_(* "-"??_);_(@_)</c:formatCode>
                <c:ptCount val="24"/>
                <c:pt idx="0">
                  <c:v>2561.3131240817747</c:v>
                </c:pt>
                <c:pt idx="1">
                  <c:v>2863.8109818297603</c:v>
                </c:pt>
                <c:pt idx="2">
                  <c:v>4954.8252235415457</c:v>
                </c:pt>
                <c:pt idx="3">
                  <c:v>3723.900350612822</c:v>
                </c:pt>
                <c:pt idx="4">
                  <c:v>3176.2891099504222</c:v>
                </c:pt>
                <c:pt idx="5">
                  <c:v>4431.5043040824949</c:v>
                </c:pt>
                <c:pt idx="6">
                  <c:v>5548.3638703764154</c:v>
                </c:pt>
                <c:pt idx="7">
                  <c:v>6544.0938598628691</c:v>
                </c:pt>
                <c:pt idx="8">
                  <c:v>9387.9338506472886</c:v>
                </c:pt>
                <c:pt idx="9">
                  <c:v>9282.8104111834873</c:v>
                </c:pt>
                <c:pt idx="10">
                  <c:v>8134.3774814509916</c:v>
                </c:pt>
                <c:pt idx="11">
                  <c:v>6568.5722189691242</c:v>
                </c:pt>
                <c:pt idx="12">
                  <c:v>9807.9321537632131</c:v>
                </c:pt>
                <c:pt idx="13">
                  <c:v>9576.4097096110927</c:v>
                </c:pt>
                <c:pt idx="14">
                  <c:v>11233.063873835945</c:v>
                </c:pt>
                <c:pt idx="15">
                  <c:v>9576.9507179541833</c:v>
                </c:pt>
                <c:pt idx="16">
                  <c:v>8484.6414185115264</c:v>
                </c:pt>
                <c:pt idx="17">
                  <c:v>9919.0883221388831</c:v>
                </c:pt>
                <c:pt idx="18">
                  <c:v>10566.120452679812</c:v>
                </c:pt>
                <c:pt idx="19">
                  <c:v>11051.378622936589</c:v>
                </c:pt>
                <c:pt idx="20">
                  <c:v>10992.016273543904</c:v>
                </c:pt>
                <c:pt idx="21">
                  <c:v>16546.1076110555</c:v>
                </c:pt>
                <c:pt idx="22">
                  <c:v>164.20637897805707</c:v>
                </c:pt>
                <c:pt idx="23">
                  <c:v>147.86636497865038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C1-4A10-B6F2-C898B50D9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SSEO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harvest'!$L$353:$L$373</c:f>
                <c:numCache>
                  <c:formatCode>General</c:formatCode>
                  <c:ptCount val="21"/>
                  <c:pt idx="0">
                    <c:v>364.37657213558413</c:v>
                  </c:pt>
                  <c:pt idx="1">
                    <c:v>644.58490532168332</c:v>
                  </c:pt>
                  <c:pt idx="2">
                    <c:v>1006.6352195968545</c:v>
                  </c:pt>
                  <c:pt idx="3">
                    <c:v>819.90015680189197</c:v>
                  </c:pt>
                  <c:pt idx="4">
                    <c:v>872.34669765483727</c:v>
                  </c:pt>
                  <c:pt idx="5">
                    <c:v>864.94496809897794</c:v>
                  </c:pt>
                  <c:pt idx="6">
                    <c:v>1251.5267289021399</c:v>
                  </c:pt>
                  <c:pt idx="7">
                    <c:v>1531.7350620882391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plus>
            <c:minus>
              <c:numRef>
                <c:f>'YE harvest'!$L$353:$L$373</c:f>
                <c:numCache>
                  <c:formatCode>General</c:formatCode>
                  <c:ptCount val="21"/>
                  <c:pt idx="0">
                    <c:v>364.37657213558413</c:v>
                  </c:pt>
                  <c:pt idx="1">
                    <c:v>644.58490532168332</c:v>
                  </c:pt>
                  <c:pt idx="2">
                    <c:v>1006.6352195968545</c:v>
                  </c:pt>
                  <c:pt idx="3">
                    <c:v>819.90015680189197</c:v>
                  </c:pt>
                  <c:pt idx="4">
                    <c:v>872.34669765483727</c:v>
                  </c:pt>
                  <c:pt idx="5">
                    <c:v>864.94496809897794</c:v>
                  </c:pt>
                  <c:pt idx="6">
                    <c:v>1251.5267289021399</c:v>
                  </c:pt>
                  <c:pt idx="7">
                    <c:v>1531.7350620882391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'YE harvest'!$I$353:$I$376</c:f>
              <c:numCache>
                <c:formatCode>_(* #,##0_);_(* \(#,##0\);_(* "-"??_);_(@_)</c:formatCode>
                <c:ptCount val="24"/>
                <c:pt idx="0">
                  <c:v>616.66460842399999</c:v>
                </c:pt>
                <c:pt idx="1">
                  <c:v>1090.8843450239999</c:v>
                </c:pt>
                <c:pt idx="2">
                  <c:v>1703.61203488</c:v>
                </c:pt>
                <c:pt idx="3">
                  <c:v>1387.5848443760001</c:v>
                </c:pt>
                <c:pt idx="4">
                  <c:v>1476.3444629999999</c:v>
                </c:pt>
                <c:pt idx="5">
                  <c:v>1463.8179039199999</c:v>
                </c:pt>
                <c:pt idx="6">
                  <c:v>2118.062189584</c:v>
                </c:pt>
                <c:pt idx="7">
                  <c:v>2592.281926184</c:v>
                </c:pt>
                <c:pt idx="8">
                  <c:v>4257</c:v>
                </c:pt>
                <c:pt idx="9">
                  <c:v>3554</c:v>
                </c:pt>
                <c:pt idx="10">
                  <c:v>3418</c:v>
                </c:pt>
                <c:pt idx="11">
                  <c:v>1788</c:v>
                </c:pt>
                <c:pt idx="12">
                  <c:v>2393</c:v>
                </c:pt>
                <c:pt idx="13">
                  <c:v>1424</c:v>
                </c:pt>
                <c:pt idx="14">
                  <c:v>1749</c:v>
                </c:pt>
                <c:pt idx="15">
                  <c:v>1811</c:v>
                </c:pt>
                <c:pt idx="16">
                  <c:v>1522</c:v>
                </c:pt>
                <c:pt idx="17">
                  <c:v>1419</c:v>
                </c:pt>
                <c:pt idx="18">
                  <c:v>1399</c:v>
                </c:pt>
                <c:pt idx="19">
                  <c:v>1924</c:v>
                </c:pt>
                <c:pt idx="20">
                  <c:v>1795</c:v>
                </c:pt>
                <c:pt idx="21">
                  <c:v>1727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5-42D0-AB7B-1E98B4CAD6D5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harvest'!$W$353:$W$376</c:f>
                <c:numCache>
                  <c:formatCode>General</c:formatCode>
                  <c:ptCount val="24"/>
                  <c:pt idx="0">
                    <c:v>197.3605360462104</c:v>
                  </c:pt>
                  <c:pt idx="1">
                    <c:v>286.03335459632876</c:v>
                  </c:pt>
                  <c:pt idx="2">
                    <c:v>428.18251305472961</c:v>
                  </c:pt>
                  <c:pt idx="3">
                    <c:v>356.67417440564736</c:v>
                  </c:pt>
                  <c:pt idx="4">
                    <c:v>471.99221446278943</c:v>
                  </c:pt>
                  <c:pt idx="5">
                    <c:v>427.31499421496602</c:v>
                  </c:pt>
                  <c:pt idx="6">
                    <c:v>623.43621763294266</c:v>
                  </c:pt>
                  <c:pt idx="7">
                    <c:v>784.85668746037686</c:v>
                  </c:pt>
                  <c:pt idx="8">
                    <c:v>904.63514664352408</c:v>
                  </c:pt>
                  <c:pt idx="9">
                    <c:v>629.58474223671965</c:v>
                  </c:pt>
                  <c:pt idx="10">
                    <c:v>769.05978051523948</c:v>
                  </c:pt>
                  <c:pt idx="11">
                    <c:v>397.4346601125651</c:v>
                  </c:pt>
                  <c:pt idx="12">
                    <c:v>765.30818912760014</c:v>
                  </c:pt>
                  <c:pt idx="13">
                    <c:v>470.42659933485373</c:v>
                  </c:pt>
                  <c:pt idx="14">
                    <c:v>549.55849198222438</c:v>
                  </c:pt>
                  <c:pt idx="15">
                    <c:v>591.00027947254841</c:v>
                  </c:pt>
                  <c:pt idx="16">
                    <c:v>514.02533645172525</c:v>
                  </c:pt>
                  <c:pt idx="17">
                    <c:v>950.84262892188758</c:v>
                  </c:pt>
                  <c:pt idx="18">
                    <c:v>1202.3434182424458</c:v>
                  </c:pt>
                  <c:pt idx="19">
                    <c:v>667.43061073325521</c:v>
                  </c:pt>
                  <c:pt idx="20">
                    <c:v>1117.5725797456384</c:v>
                  </c:pt>
                  <c:pt idx="21">
                    <c:v>2630.9813643911584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plus>
            <c:minus>
              <c:numRef>
                <c:f>'YE harvest'!$W$353:$W$376</c:f>
                <c:numCache>
                  <c:formatCode>General</c:formatCode>
                  <c:ptCount val="24"/>
                  <c:pt idx="0">
                    <c:v>197.3605360462104</c:v>
                  </c:pt>
                  <c:pt idx="1">
                    <c:v>286.03335459632876</c:v>
                  </c:pt>
                  <c:pt idx="2">
                    <c:v>428.18251305472961</c:v>
                  </c:pt>
                  <c:pt idx="3">
                    <c:v>356.67417440564736</c:v>
                  </c:pt>
                  <c:pt idx="4">
                    <c:v>471.99221446278943</c:v>
                  </c:pt>
                  <c:pt idx="5">
                    <c:v>427.31499421496602</c:v>
                  </c:pt>
                  <c:pt idx="6">
                    <c:v>623.43621763294266</c:v>
                  </c:pt>
                  <c:pt idx="7">
                    <c:v>784.85668746037686</c:v>
                  </c:pt>
                  <c:pt idx="8">
                    <c:v>904.63514664352408</c:v>
                  </c:pt>
                  <c:pt idx="9">
                    <c:v>629.58474223671965</c:v>
                  </c:pt>
                  <c:pt idx="10">
                    <c:v>769.05978051523948</c:v>
                  </c:pt>
                  <c:pt idx="11">
                    <c:v>397.4346601125651</c:v>
                  </c:pt>
                  <c:pt idx="12">
                    <c:v>765.30818912760014</c:v>
                  </c:pt>
                  <c:pt idx="13">
                    <c:v>470.42659933485373</c:v>
                  </c:pt>
                  <c:pt idx="14">
                    <c:v>549.55849198222438</c:v>
                  </c:pt>
                  <c:pt idx="15">
                    <c:v>591.00027947254841</c:v>
                  </c:pt>
                  <c:pt idx="16">
                    <c:v>514.02533645172525</c:v>
                  </c:pt>
                  <c:pt idx="17">
                    <c:v>950.84262892188758</c:v>
                  </c:pt>
                  <c:pt idx="18">
                    <c:v>1202.3434182424458</c:v>
                  </c:pt>
                  <c:pt idx="19">
                    <c:v>667.43061073325521</c:v>
                  </c:pt>
                  <c:pt idx="20">
                    <c:v>1117.5725797456384</c:v>
                  </c:pt>
                  <c:pt idx="21">
                    <c:v>2630.9813643911584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'YE harvest'!$T$353:$T$376</c:f>
              <c:numCache>
                <c:formatCode>_(* #,##0_);_(* \(#,##0\);_(* "-"??_);_(@_)</c:formatCode>
                <c:ptCount val="24"/>
                <c:pt idx="0">
                  <c:v>225.36098818495751</c:v>
                </c:pt>
                <c:pt idx="1">
                  <c:v>326.61422965832452</c:v>
                </c:pt>
                <c:pt idx="2">
                  <c:v>488.93074673722333</c:v>
                </c:pt>
                <c:pt idx="3">
                  <c:v>407.27718932264213</c:v>
                </c:pt>
                <c:pt idx="4">
                  <c:v>538.9559331255324</c:v>
                </c:pt>
                <c:pt idx="5">
                  <c:v>487.9401489869598</c:v>
                </c:pt>
                <c:pt idx="6">
                  <c:v>711.88599752868345</c:v>
                </c:pt>
                <c:pt idx="7">
                  <c:v>896.20793605986523</c:v>
                </c:pt>
                <c:pt idx="8">
                  <c:v>1197.9226157276132</c:v>
                </c:pt>
                <c:pt idx="9">
                  <c:v>879.06592669749523</c:v>
                </c:pt>
                <c:pt idx="10">
                  <c:v>1083.5139761225071</c:v>
                </c:pt>
                <c:pt idx="11">
                  <c:v>564.58158052697991</c:v>
                </c:pt>
                <c:pt idx="12">
                  <c:v>1114.1100554541044</c:v>
                </c:pt>
                <c:pt idx="13">
                  <c:v>667.29867674562706</c:v>
                </c:pt>
                <c:pt idx="14">
                  <c:v>1001.5950075531853</c:v>
                </c:pt>
                <c:pt idx="15">
                  <c:v>1055.9837745270725</c:v>
                </c:pt>
                <c:pt idx="16">
                  <c:v>627.81346858945562</c:v>
                </c:pt>
                <c:pt idx="17">
                  <c:v>1440.3397573578115</c:v>
                </c:pt>
                <c:pt idx="18">
                  <c:v>1606.0123283476919</c:v>
                </c:pt>
                <c:pt idx="19">
                  <c:v>762.07678772711085</c:v>
                </c:pt>
                <c:pt idx="20">
                  <c:v>1939.235546151782</c:v>
                </c:pt>
                <c:pt idx="21">
                  <c:v>4007.8680560534044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25-42D0-AB7B-1E98B4CAD6D5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harvest'!$AB$353:$AB$376</c:f>
                <c:numCache>
                  <c:formatCode>General</c:formatCode>
                  <c:ptCount val="24"/>
                  <c:pt idx="0">
                    <c:v>414.39289027410456</c:v>
                  </c:pt>
                  <c:pt idx="1">
                    <c:v>705.19839769400539</c:v>
                  </c:pt>
                  <c:pt idx="2">
                    <c:v>1093.9171494307379</c:v>
                  </c:pt>
                  <c:pt idx="3">
                    <c:v>894.12120756176955</c:v>
                  </c:pt>
                  <c:pt idx="4">
                    <c:v>991.84949030726818</c:v>
                  </c:pt>
                  <c:pt idx="5">
                    <c:v>964.74240195021923</c:v>
                  </c:pt>
                  <c:pt idx="6">
                    <c:v>1398.2102383450638</c:v>
                  </c:pt>
                  <c:pt idx="7">
                    <c:v>1721.1078758409471</c:v>
                  </c:pt>
                  <c:pt idx="8">
                    <c:v>904.63514664352408</c:v>
                  </c:pt>
                  <c:pt idx="9">
                    <c:v>629.58474223671965</c:v>
                  </c:pt>
                  <c:pt idx="10">
                    <c:v>769.05978051523948</c:v>
                  </c:pt>
                  <c:pt idx="11">
                    <c:v>397.4346601125651</c:v>
                  </c:pt>
                  <c:pt idx="12">
                    <c:v>765.30818912760014</c:v>
                  </c:pt>
                  <c:pt idx="13">
                    <c:v>470.42659933485373</c:v>
                  </c:pt>
                  <c:pt idx="14">
                    <c:v>549.55849198222438</c:v>
                  </c:pt>
                  <c:pt idx="15">
                    <c:v>591.00027947254841</c:v>
                  </c:pt>
                  <c:pt idx="16">
                    <c:v>514.02533645172525</c:v>
                  </c:pt>
                  <c:pt idx="17">
                    <c:v>950.84262892188758</c:v>
                  </c:pt>
                  <c:pt idx="18">
                    <c:v>1202.3434182424458</c:v>
                  </c:pt>
                  <c:pt idx="19">
                    <c:v>667.43061073325521</c:v>
                  </c:pt>
                  <c:pt idx="20">
                    <c:v>1117.5725797456384</c:v>
                  </c:pt>
                  <c:pt idx="21">
                    <c:v>2630.9813643911584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plus>
            <c:minus>
              <c:numRef>
                <c:f>'YE harvest'!$AB$353:$AB$376</c:f>
                <c:numCache>
                  <c:formatCode>General</c:formatCode>
                  <c:ptCount val="24"/>
                  <c:pt idx="0">
                    <c:v>414.39289027410456</c:v>
                  </c:pt>
                  <c:pt idx="1">
                    <c:v>705.19839769400539</c:v>
                  </c:pt>
                  <c:pt idx="2">
                    <c:v>1093.9171494307379</c:v>
                  </c:pt>
                  <c:pt idx="3">
                    <c:v>894.12120756176955</c:v>
                  </c:pt>
                  <c:pt idx="4">
                    <c:v>991.84949030726818</c:v>
                  </c:pt>
                  <c:pt idx="5">
                    <c:v>964.74240195021923</c:v>
                  </c:pt>
                  <c:pt idx="6">
                    <c:v>1398.2102383450638</c:v>
                  </c:pt>
                  <c:pt idx="7">
                    <c:v>1721.1078758409471</c:v>
                  </c:pt>
                  <c:pt idx="8">
                    <c:v>904.63514664352408</c:v>
                  </c:pt>
                  <c:pt idx="9">
                    <c:v>629.58474223671965</c:v>
                  </c:pt>
                  <c:pt idx="10">
                    <c:v>769.05978051523948</c:v>
                  </c:pt>
                  <c:pt idx="11">
                    <c:v>397.4346601125651</c:v>
                  </c:pt>
                  <c:pt idx="12">
                    <c:v>765.30818912760014</c:v>
                  </c:pt>
                  <c:pt idx="13">
                    <c:v>470.42659933485373</c:v>
                  </c:pt>
                  <c:pt idx="14">
                    <c:v>549.55849198222438</c:v>
                  </c:pt>
                  <c:pt idx="15">
                    <c:v>591.00027947254841</c:v>
                  </c:pt>
                  <c:pt idx="16">
                    <c:v>514.02533645172525</c:v>
                  </c:pt>
                  <c:pt idx="17">
                    <c:v>950.84262892188758</c:v>
                  </c:pt>
                  <c:pt idx="18">
                    <c:v>1202.3434182424458</c:v>
                  </c:pt>
                  <c:pt idx="19">
                    <c:v>667.43061073325521</c:v>
                  </c:pt>
                  <c:pt idx="20">
                    <c:v>1117.5725797456384</c:v>
                  </c:pt>
                  <c:pt idx="21">
                    <c:v>2630.9813643911584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'YE harvest'!$Y$353:$Y$376</c:f>
              <c:numCache>
                <c:formatCode>_(* #,##0_);_(* \(#,##0\);_(* "-"??_);_(@_)</c:formatCode>
                <c:ptCount val="24"/>
                <c:pt idx="0">
                  <c:v>842.02559660895747</c:v>
                </c:pt>
                <c:pt idx="1">
                  <c:v>1417.4985746823245</c:v>
                </c:pt>
                <c:pt idx="2">
                  <c:v>2192.5427816172232</c:v>
                </c:pt>
                <c:pt idx="3">
                  <c:v>1794.8620336986423</c:v>
                </c:pt>
                <c:pt idx="4">
                  <c:v>2015.3003961255322</c:v>
                </c:pt>
                <c:pt idx="5">
                  <c:v>1951.7580529069596</c:v>
                </c:pt>
                <c:pt idx="6">
                  <c:v>2829.9481871126836</c:v>
                </c:pt>
                <c:pt idx="7">
                  <c:v>3488.489862243865</c:v>
                </c:pt>
                <c:pt idx="8">
                  <c:v>5454.9226157276134</c:v>
                </c:pt>
                <c:pt idx="9">
                  <c:v>4433.0659266974953</c:v>
                </c:pt>
                <c:pt idx="10">
                  <c:v>4501.5139761225073</c:v>
                </c:pt>
                <c:pt idx="11">
                  <c:v>2352.5815805269799</c:v>
                </c:pt>
                <c:pt idx="12">
                  <c:v>3507.1100554541044</c:v>
                </c:pt>
                <c:pt idx="13">
                  <c:v>2091.2986767456268</c:v>
                </c:pt>
                <c:pt idx="14">
                  <c:v>2750.5950075531855</c:v>
                </c:pt>
                <c:pt idx="15">
                  <c:v>2866.9837745270725</c:v>
                </c:pt>
                <c:pt idx="16">
                  <c:v>2149.8134685894556</c:v>
                </c:pt>
                <c:pt idx="17">
                  <c:v>2859.3397573578113</c:v>
                </c:pt>
                <c:pt idx="18">
                  <c:v>3005.0123283476919</c:v>
                </c:pt>
                <c:pt idx="19">
                  <c:v>2686.076787727111</c:v>
                </c:pt>
                <c:pt idx="20">
                  <c:v>3734.2355461517818</c:v>
                </c:pt>
                <c:pt idx="21">
                  <c:v>5734.8680560534049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25-42D0-AB7B-1E98B4CAD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KODIAK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AFOGNAK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harvest'!$AB$3:$AB$26</c:f>
                <c:numCache>
                  <c:formatCode>General</c:formatCode>
                  <c:ptCount val="24"/>
                  <c:pt idx="0">
                    <c:v>29.333523667698945</c:v>
                  </c:pt>
                  <c:pt idx="1">
                    <c:v>31.704017923435543</c:v>
                  </c:pt>
                  <c:pt idx="2">
                    <c:v>78.008512018884048</c:v>
                  </c:pt>
                  <c:pt idx="3">
                    <c:v>27.338487782234335</c:v>
                  </c:pt>
                  <c:pt idx="4">
                    <c:v>20.56169871478323</c:v>
                  </c:pt>
                  <c:pt idx="5">
                    <c:v>32.69676811348468</c:v>
                  </c:pt>
                  <c:pt idx="6">
                    <c:v>40.365508724981609</c:v>
                  </c:pt>
                  <c:pt idx="7">
                    <c:v>80.480698963253218</c:v>
                  </c:pt>
                  <c:pt idx="8">
                    <c:v>38.625399802128527</c:v>
                  </c:pt>
                  <c:pt idx="9">
                    <c:v>103.89188617048194</c:v>
                  </c:pt>
                  <c:pt idx="10">
                    <c:v>111.4916945639818</c:v>
                  </c:pt>
                  <c:pt idx="11">
                    <c:v>157.13230211395637</c:v>
                  </c:pt>
                  <c:pt idx="12">
                    <c:v>126.60779697303101</c:v>
                  </c:pt>
                  <c:pt idx="13">
                    <c:v>124.96578427901811</c:v>
                  </c:pt>
                  <c:pt idx="14">
                    <c:v>146.96693576059465</c:v>
                  </c:pt>
                  <c:pt idx="15">
                    <c:v>100.77954862282134</c:v>
                  </c:pt>
                  <c:pt idx="16">
                    <c:v>152.59520946935021</c:v>
                  </c:pt>
                  <c:pt idx="17">
                    <c:v>283.18925926722591</c:v>
                  </c:pt>
                  <c:pt idx="18">
                    <c:v>70.124976762088153</c:v>
                  </c:pt>
                  <c:pt idx="19">
                    <c:v>82.735169171846536</c:v>
                  </c:pt>
                  <c:pt idx="20">
                    <c:v>187.88098499307566</c:v>
                  </c:pt>
                  <c:pt idx="21">
                    <c:v>544.2097184831664</c:v>
                  </c:pt>
                  <c:pt idx="22">
                    <c:v>213.37161759819543</c:v>
                  </c:pt>
                  <c:pt idx="23">
                    <c:v>164.2056411856158</c:v>
                  </c:pt>
                </c:numCache>
              </c:numRef>
            </c:plus>
            <c:minus>
              <c:numRef>
                <c:f>'YE harvest'!$AB$3:$AB$26</c:f>
                <c:numCache>
                  <c:formatCode>General</c:formatCode>
                  <c:ptCount val="24"/>
                  <c:pt idx="0">
                    <c:v>29.333523667698945</c:v>
                  </c:pt>
                  <c:pt idx="1">
                    <c:v>31.704017923435543</c:v>
                  </c:pt>
                  <c:pt idx="2">
                    <c:v>78.008512018884048</c:v>
                  </c:pt>
                  <c:pt idx="3">
                    <c:v>27.338487782234335</c:v>
                  </c:pt>
                  <c:pt idx="4">
                    <c:v>20.56169871478323</c:v>
                  </c:pt>
                  <c:pt idx="5">
                    <c:v>32.69676811348468</c:v>
                  </c:pt>
                  <c:pt idx="6">
                    <c:v>40.365508724981609</c:v>
                  </c:pt>
                  <c:pt idx="7">
                    <c:v>80.480698963253218</c:v>
                  </c:pt>
                  <c:pt idx="8">
                    <c:v>38.625399802128527</c:v>
                  </c:pt>
                  <c:pt idx="9">
                    <c:v>103.89188617048194</c:v>
                  </c:pt>
                  <c:pt idx="10">
                    <c:v>111.4916945639818</c:v>
                  </c:pt>
                  <c:pt idx="11">
                    <c:v>157.13230211395637</c:v>
                  </c:pt>
                  <c:pt idx="12">
                    <c:v>126.60779697303101</c:v>
                  </c:pt>
                  <c:pt idx="13">
                    <c:v>124.96578427901811</c:v>
                  </c:pt>
                  <c:pt idx="14">
                    <c:v>146.96693576059465</c:v>
                  </c:pt>
                  <c:pt idx="15">
                    <c:v>100.77954862282134</c:v>
                  </c:pt>
                  <c:pt idx="16">
                    <c:v>152.59520946935021</c:v>
                  </c:pt>
                  <c:pt idx="17">
                    <c:v>283.18925926722591</c:v>
                  </c:pt>
                  <c:pt idx="18">
                    <c:v>70.124976762088153</c:v>
                  </c:pt>
                  <c:pt idx="19">
                    <c:v>82.735169171846536</c:v>
                  </c:pt>
                  <c:pt idx="20">
                    <c:v>187.88098499307566</c:v>
                  </c:pt>
                  <c:pt idx="21">
                    <c:v>544.2097184831664</c:v>
                  </c:pt>
                  <c:pt idx="22">
                    <c:v>213.37161759819543</c:v>
                  </c:pt>
                  <c:pt idx="23">
                    <c:v>164.2056411856158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'YE harvest'!$Y$3:$Y$26</c:f>
              <c:numCache>
                <c:formatCode>_(* #,##0_);_(* \(#,##0\);_(* "-"??_);_(@_)</c:formatCode>
                <c:ptCount val="24"/>
                <c:pt idx="0">
                  <c:v>77.850345010307606</c:v>
                </c:pt>
                <c:pt idx="1">
                  <c:v>80.882330721684724</c:v>
                </c:pt>
                <c:pt idx="2">
                  <c:v>185.51258643517667</c:v>
                </c:pt>
                <c:pt idx="3">
                  <c:v>60.580692802777314</c:v>
                </c:pt>
                <c:pt idx="4">
                  <c:v>51.244853238404033</c:v>
                </c:pt>
                <c:pt idx="5">
                  <c:v>80.002362419040935</c:v>
                </c:pt>
                <c:pt idx="6">
                  <c:v>111.15320301069673</c:v>
                </c:pt>
                <c:pt idx="7">
                  <c:v>197.81040450336081</c:v>
                </c:pt>
                <c:pt idx="8">
                  <c:v>164.16207536693142</c:v>
                </c:pt>
                <c:pt idx="9">
                  <c:v>300.81756055451393</c:v>
                </c:pt>
                <c:pt idx="10">
                  <c:v>598.94890943752091</c:v>
                </c:pt>
                <c:pt idx="11">
                  <c:v>592.77069146568965</c:v>
                </c:pt>
                <c:pt idx="12">
                  <c:v>450.14422974328227</c:v>
                </c:pt>
                <c:pt idx="13">
                  <c:v>490.29143759365786</c:v>
                </c:pt>
                <c:pt idx="14">
                  <c:v>548.14941607853302</c:v>
                </c:pt>
                <c:pt idx="15">
                  <c:v>472.27551768749771</c:v>
                </c:pt>
                <c:pt idx="16">
                  <c:v>586.38693225250506</c:v>
                </c:pt>
                <c:pt idx="17">
                  <c:v>635.4123339683174</c:v>
                </c:pt>
                <c:pt idx="18">
                  <c:v>601.73484546498344</c:v>
                </c:pt>
                <c:pt idx="19">
                  <c:v>482.39791917747402</c:v>
                </c:pt>
                <c:pt idx="20">
                  <c:v>633.76689971813164</c:v>
                </c:pt>
                <c:pt idx="21">
                  <c:v>1261.1232986445648</c:v>
                </c:pt>
                <c:pt idx="22">
                  <c:v>817.02697354395707</c:v>
                </c:pt>
                <c:pt idx="23">
                  <c:v>984.53341510599842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9-4724-9A4A-421733F8CCC5}"/>
            </c:ext>
          </c:extLst>
        </c:ser>
        <c:ser>
          <c:idx val="1"/>
          <c:order val="1"/>
          <c:tx>
            <c:v>WKMA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harvest'!$AB$28:$AB$51</c:f>
                <c:numCache>
                  <c:formatCode>General</c:formatCode>
                  <c:ptCount val="24"/>
                  <c:pt idx="0">
                    <c:v>9.8615279504588766</c:v>
                  </c:pt>
                  <c:pt idx="1">
                    <c:v>13.851781677300465</c:v>
                  </c:pt>
                  <c:pt idx="2">
                    <c:v>25.567524077935531</c:v>
                  </c:pt>
                  <c:pt idx="3">
                    <c:v>71.799028099894429</c:v>
                  </c:pt>
                  <c:pt idx="4">
                    <c:v>54.166681883415663</c:v>
                  </c:pt>
                  <c:pt idx="5">
                    <c:v>69.97189921293409</c:v>
                  </c:pt>
                  <c:pt idx="6">
                    <c:v>50.682266474460185</c:v>
                  </c:pt>
                  <c:pt idx="7">
                    <c:v>78.788973399561883</c:v>
                  </c:pt>
                  <c:pt idx="8">
                    <c:v>44.724908637988804</c:v>
                  </c:pt>
                  <c:pt idx="9">
                    <c:v>99.826967041372569</c:v>
                  </c:pt>
                  <c:pt idx="10">
                    <c:v>72.579363271417378</c:v>
                  </c:pt>
                  <c:pt idx="11">
                    <c:v>112.20672465622971</c:v>
                  </c:pt>
                  <c:pt idx="12">
                    <c:v>76.827319315731103</c:v>
                  </c:pt>
                  <c:pt idx="13">
                    <c:v>76.981769478926978</c:v>
                  </c:pt>
                  <c:pt idx="14">
                    <c:v>222.85978846669252</c:v>
                  </c:pt>
                  <c:pt idx="15">
                    <c:v>90.033402063381516</c:v>
                  </c:pt>
                  <c:pt idx="16">
                    <c:v>170.19283670261277</c:v>
                  </c:pt>
                  <c:pt idx="17">
                    <c:v>273.35424256823956</c:v>
                  </c:pt>
                  <c:pt idx="18">
                    <c:v>55.669864424801474</c:v>
                  </c:pt>
                  <c:pt idx="19">
                    <c:v>185.12524670515236</c:v>
                  </c:pt>
                  <c:pt idx="20">
                    <c:v>133.26604365586357</c:v>
                  </c:pt>
                  <c:pt idx="21">
                    <c:v>694.90053252505061</c:v>
                  </c:pt>
                  <c:pt idx="22">
                    <c:v>132.03824775796107</c:v>
                  </c:pt>
                  <c:pt idx="23">
                    <c:v>183.00469406175208</c:v>
                  </c:pt>
                </c:numCache>
              </c:numRef>
            </c:plus>
            <c:minus>
              <c:numRef>
                <c:f>'YE harvest'!$AB$28:$AB$51</c:f>
                <c:numCache>
                  <c:formatCode>General</c:formatCode>
                  <c:ptCount val="24"/>
                  <c:pt idx="0">
                    <c:v>9.8615279504588766</c:v>
                  </c:pt>
                  <c:pt idx="1">
                    <c:v>13.851781677300465</c:v>
                  </c:pt>
                  <c:pt idx="2">
                    <c:v>25.567524077935531</c:v>
                  </c:pt>
                  <c:pt idx="3">
                    <c:v>71.799028099894429</c:v>
                  </c:pt>
                  <c:pt idx="4">
                    <c:v>54.166681883415663</c:v>
                  </c:pt>
                  <c:pt idx="5">
                    <c:v>69.97189921293409</c:v>
                  </c:pt>
                  <c:pt idx="6">
                    <c:v>50.682266474460185</c:v>
                  </c:pt>
                  <c:pt idx="7">
                    <c:v>78.788973399561883</c:v>
                  </c:pt>
                  <c:pt idx="8">
                    <c:v>44.724908637988804</c:v>
                  </c:pt>
                  <c:pt idx="9">
                    <c:v>99.826967041372569</c:v>
                  </c:pt>
                  <c:pt idx="10">
                    <c:v>72.579363271417378</c:v>
                  </c:pt>
                  <c:pt idx="11">
                    <c:v>112.20672465622971</c:v>
                  </c:pt>
                  <c:pt idx="12">
                    <c:v>76.827319315731103</c:v>
                  </c:pt>
                  <c:pt idx="13">
                    <c:v>76.981769478926978</c:v>
                  </c:pt>
                  <c:pt idx="14">
                    <c:v>222.85978846669252</c:v>
                  </c:pt>
                  <c:pt idx="15">
                    <c:v>90.033402063381516</c:v>
                  </c:pt>
                  <c:pt idx="16">
                    <c:v>170.19283670261277</c:v>
                  </c:pt>
                  <c:pt idx="17">
                    <c:v>273.35424256823956</c:v>
                  </c:pt>
                  <c:pt idx="18">
                    <c:v>55.669864424801474</c:v>
                  </c:pt>
                  <c:pt idx="19">
                    <c:v>185.12524670515236</c:v>
                  </c:pt>
                  <c:pt idx="20">
                    <c:v>133.26604365586357</c:v>
                  </c:pt>
                  <c:pt idx="21">
                    <c:v>694.90053252505061</c:v>
                  </c:pt>
                  <c:pt idx="22">
                    <c:v>132.03824775796107</c:v>
                  </c:pt>
                  <c:pt idx="23">
                    <c:v>183.00469406175208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'YE harvest'!$Y$28:$Y$51</c:f>
              <c:numCache>
                <c:formatCode>_(* #,##0_);_(* \(#,##0\);_(* "-"??_);_(@_)</c:formatCode>
                <c:ptCount val="24"/>
                <c:pt idx="0">
                  <c:v>29.986506022310778</c:v>
                </c:pt>
                <c:pt idx="1">
                  <c:v>14.354136765205205</c:v>
                </c:pt>
                <c:pt idx="2">
                  <c:v>76.084625820580229</c:v>
                </c:pt>
                <c:pt idx="3">
                  <c:v>72.984243982754123</c:v>
                </c:pt>
                <c:pt idx="4">
                  <c:v>92.415216901603685</c:v>
                </c:pt>
                <c:pt idx="5">
                  <c:v>162.57581529419934</c:v>
                </c:pt>
                <c:pt idx="6">
                  <c:v>107.76913261323861</c:v>
                </c:pt>
                <c:pt idx="7">
                  <c:v>158.07393313847487</c:v>
                </c:pt>
                <c:pt idx="8">
                  <c:v>152.36294057876552</c:v>
                </c:pt>
                <c:pt idx="9">
                  <c:v>318.69882937865572</c:v>
                </c:pt>
                <c:pt idx="10">
                  <c:v>266.76401211967914</c:v>
                </c:pt>
                <c:pt idx="11">
                  <c:v>335.21041673017288</c:v>
                </c:pt>
                <c:pt idx="12">
                  <c:v>376.02779209323899</c:v>
                </c:pt>
                <c:pt idx="13">
                  <c:v>214.9189508261432</c:v>
                </c:pt>
                <c:pt idx="14">
                  <c:v>516.81539192910782</c:v>
                </c:pt>
                <c:pt idx="15">
                  <c:v>343.97932495834067</c:v>
                </c:pt>
                <c:pt idx="16">
                  <c:v>534.43586055747915</c:v>
                </c:pt>
                <c:pt idx="17">
                  <c:v>434.45960855329838</c:v>
                </c:pt>
                <c:pt idx="18">
                  <c:v>635.70916800340854</c:v>
                </c:pt>
                <c:pt idx="19">
                  <c:v>654.31425172921308</c:v>
                </c:pt>
                <c:pt idx="20">
                  <c:v>651.27882351697247</c:v>
                </c:pt>
                <c:pt idx="21">
                  <c:v>1768.1197355614568</c:v>
                </c:pt>
                <c:pt idx="22">
                  <c:v>575.26387719406046</c:v>
                </c:pt>
                <c:pt idx="23">
                  <c:v>944.16196864297046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39-4724-9A4A-421733F8CCC5}"/>
            </c:ext>
          </c:extLst>
        </c:ser>
        <c:ser>
          <c:idx val="2"/>
          <c:order val="2"/>
          <c:tx>
            <c:v>SKMA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harvest'!$AB$53:$AB$76</c:f>
                <c:numCache>
                  <c:formatCode>General</c:formatCode>
                  <c:ptCount val="24"/>
                  <c:pt idx="0">
                    <c:v>2.7078817088067035</c:v>
                  </c:pt>
                  <c:pt idx="1">
                    <c:v>8.2929051376193019</c:v>
                  </c:pt>
                  <c:pt idx="2">
                    <c:v>28.622557986606129</c:v>
                  </c:pt>
                  <c:pt idx="3">
                    <c:v>9.1032857760294945</c:v>
                  </c:pt>
                  <c:pt idx="4">
                    <c:v>7.0868370839226449</c:v>
                  </c:pt>
                  <c:pt idx="5">
                    <c:v>20.209063057905489</c:v>
                  </c:pt>
                  <c:pt idx="6">
                    <c:v>21.722429470623336</c:v>
                  </c:pt>
                  <c:pt idx="7">
                    <c:v>76.66139674325828</c:v>
                  </c:pt>
                  <c:pt idx="8">
                    <c:v>14.684811941967039</c:v>
                  </c:pt>
                  <c:pt idx="9">
                    <c:v>55.637505311479089</c:v>
                  </c:pt>
                  <c:pt idx="10">
                    <c:v>54.765140245619662</c:v>
                  </c:pt>
                  <c:pt idx="11">
                    <c:v>39.25642796367427</c:v>
                  </c:pt>
                  <c:pt idx="12">
                    <c:v>31.211283467415093</c:v>
                  </c:pt>
                  <c:pt idx="13">
                    <c:v>30.106393298382038</c:v>
                  </c:pt>
                  <c:pt idx="14">
                    <c:v>93.556690560533397</c:v>
                  </c:pt>
                  <c:pt idx="15">
                    <c:v>36.785661364239836</c:v>
                  </c:pt>
                  <c:pt idx="16">
                    <c:v>36.654700998937052</c:v>
                  </c:pt>
                  <c:pt idx="17">
                    <c:v>63.105968053535612</c:v>
                  </c:pt>
                  <c:pt idx="18">
                    <c:v>17.447935734028935</c:v>
                  </c:pt>
                  <c:pt idx="19">
                    <c:v>36.94355623264898</c:v>
                  </c:pt>
                  <c:pt idx="20">
                    <c:v>17.897195790221488</c:v>
                  </c:pt>
                  <c:pt idx="21">
                    <c:v>46.980173641611593</c:v>
                  </c:pt>
                  <c:pt idx="22">
                    <c:v>8.5697501597898249</c:v>
                  </c:pt>
                  <c:pt idx="23">
                    <c:v>32.991397397394358</c:v>
                  </c:pt>
                </c:numCache>
              </c:numRef>
            </c:plus>
            <c:minus>
              <c:numRef>
                <c:f>'YE harvest'!$AB$53:$AB$76</c:f>
                <c:numCache>
                  <c:formatCode>General</c:formatCode>
                  <c:ptCount val="24"/>
                  <c:pt idx="0">
                    <c:v>2.7078817088067035</c:v>
                  </c:pt>
                  <c:pt idx="1">
                    <c:v>8.2929051376193019</c:v>
                  </c:pt>
                  <c:pt idx="2">
                    <c:v>28.622557986606129</c:v>
                  </c:pt>
                  <c:pt idx="3">
                    <c:v>9.1032857760294945</c:v>
                  </c:pt>
                  <c:pt idx="4">
                    <c:v>7.0868370839226449</c:v>
                  </c:pt>
                  <c:pt idx="5">
                    <c:v>20.209063057905489</c:v>
                  </c:pt>
                  <c:pt idx="6">
                    <c:v>21.722429470623336</c:v>
                  </c:pt>
                  <c:pt idx="7">
                    <c:v>76.66139674325828</c:v>
                  </c:pt>
                  <c:pt idx="8">
                    <c:v>14.684811941967039</c:v>
                  </c:pt>
                  <c:pt idx="9">
                    <c:v>55.637505311479089</c:v>
                  </c:pt>
                  <c:pt idx="10">
                    <c:v>54.765140245619662</c:v>
                  </c:pt>
                  <c:pt idx="11">
                    <c:v>39.25642796367427</c:v>
                  </c:pt>
                  <c:pt idx="12">
                    <c:v>31.211283467415093</c:v>
                  </c:pt>
                  <c:pt idx="13">
                    <c:v>30.106393298382038</c:v>
                  </c:pt>
                  <c:pt idx="14">
                    <c:v>93.556690560533397</c:v>
                  </c:pt>
                  <c:pt idx="15">
                    <c:v>36.785661364239836</c:v>
                  </c:pt>
                  <c:pt idx="16">
                    <c:v>36.654700998937052</c:v>
                  </c:pt>
                  <c:pt idx="17">
                    <c:v>63.105968053535612</c:v>
                  </c:pt>
                  <c:pt idx="18">
                    <c:v>17.447935734028935</c:v>
                  </c:pt>
                  <c:pt idx="19">
                    <c:v>36.94355623264898</c:v>
                  </c:pt>
                  <c:pt idx="20">
                    <c:v>17.897195790221488</c:v>
                  </c:pt>
                  <c:pt idx="21">
                    <c:v>46.980173641611593</c:v>
                  </c:pt>
                  <c:pt idx="22">
                    <c:v>8.5697501597898249</c:v>
                  </c:pt>
                  <c:pt idx="23">
                    <c:v>32.991397397394358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'YE harvest'!$Y$53:$Y$76</c:f>
              <c:numCache>
                <c:formatCode>_(* #,##0_);_(* \(#,##0\);_(* "-"??_);_(@_)</c:formatCode>
                <c:ptCount val="24"/>
                <c:pt idx="0">
                  <c:v>4.4068641244862867</c:v>
                </c:pt>
                <c:pt idx="1">
                  <c:v>13.449499112604649</c:v>
                </c:pt>
                <c:pt idx="2">
                  <c:v>44.412820145441302</c:v>
                </c:pt>
                <c:pt idx="3">
                  <c:v>14.273890890273385</c:v>
                </c:pt>
                <c:pt idx="4">
                  <c:v>10.990059198180287</c:v>
                </c:pt>
                <c:pt idx="5">
                  <c:v>32.900443678962198</c:v>
                </c:pt>
                <c:pt idx="6">
                  <c:v>35.436485218256145</c:v>
                </c:pt>
                <c:pt idx="7">
                  <c:v>121.44640885927363</c:v>
                </c:pt>
                <c:pt idx="8">
                  <c:v>78.908391708739089</c:v>
                </c:pt>
                <c:pt idx="9">
                  <c:v>194.54070521990917</c:v>
                </c:pt>
                <c:pt idx="10">
                  <c:v>95.952087890677149</c:v>
                </c:pt>
                <c:pt idx="11">
                  <c:v>102.48777981544113</c:v>
                </c:pt>
                <c:pt idx="12">
                  <c:v>101.05942000141246</c:v>
                </c:pt>
                <c:pt idx="13">
                  <c:v>95.055865121492559</c:v>
                </c:pt>
                <c:pt idx="14">
                  <c:v>172.87252247283112</c:v>
                </c:pt>
                <c:pt idx="15">
                  <c:v>136.38388693901092</c:v>
                </c:pt>
                <c:pt idx="16">
                  <c:v>73.510222119773431</c:v>
                </c:pt>
                <c:pt idx="17">
                  <c:v>99.407143418364853</c:v>
                </c:pt>
                <c:pt idx="18">
                  <c:v>98.523864388401734</c:v>
                </c:pt>
                <c:pt idx="19">
                  <c:v>76.551866125887287</c:v>
                </c:pt>
                <c:pt idx="20">
                  <c:v>82.99776642451782</c:v>
                </c:pt>
                <c:pt idx="21">
                  <c:v>146.59540104739534</c:v>
                </c:pt>
                <c:pt idx="22">
                  <c:v>52.736870167442206</c:v>
                </c:pt>
                <c:pt idx="23">
                  <c:v>191.58704060848393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39-4724-9A4A-421733F8CCC5}"/>
            </c:ext>
          </c:extLst>
        </c:ser>
        <c:ser>
          <c:idx val="3"/>
          <c:order val="3"/>
          <c:tx>
            <c:v>EASTSIDE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harvest'!$AB$103:$AB$126</c:f>
                <c:numCache>
                  <c:formatCode>General</c:formatCode>
                  <c:ptCount val="24"/>
                  <c:pt idx="0">
                    <c:v>37.325304795637024</c:v>
                  </c:pt>
                  <c:pt idx="1">
                    <c:v>9.6373061202797885</c:v>
                  </c:pt>
                  <c:pt idx="2">
                    <c:v>20.075471411600425</c:v>
                  </c:pt>
                  <c:pt idx="3">
                    <c:v>30.633963857257907</c:v>
                  </c:pt>
                  <c:pt idx="4">
                    <c:v>22.993263843724186</c:v>
                  </c:pt>
                  <c:pt idx="5">
                    <c:v>24.392273662588888</c:v>
                  </c:pt>
                  <c:pt idx="6">
                    <c:v>27.518386145120612</c:v>
                  </c:pt>
                  <c:pt idx="7">
                    <c:v>77.551895433567765</c:v>
                  </c:pt>
                  <c:pt idx="8">
                    <c:v>16.314217278357393</c:v>
                  </c:pt>
                  <c:pt idx="9">
                    <c:v>37.460283869368133</c:v>
                  </c:pt>
                  <c:pt idx="10">
                    <c:v>24.869496128155632</c:v>
                  </c:pt>
                  <c:pt idx="11">
                    <c:v>24.708075772499068</c:v>
                  </c:pt>
                  <c:pt idx="12">
                    <c:v>27.495267246835855</c:v>
                  </c:pt>
                  <c:pt idx="13">
                    <c:v>3.7773961702545993</c:v>
                  </c:pt>
                  <c:pt idx="14">
                    <c:v>16.659496276015279</c:v>
                  </c:pt>
                  <c:pt idx="15">
                    <c:v>27.697938073801343</c:v>
                  </c:pt>
                  <c:pt idx="16">
                    <c:v>15.705803156099053</c:v>
                  </c:pt>
                  <c:pt idx="17">
                    <c:v>60.020177321998716</c:v>
                  </c:pt>
                  <c:pt idx="18">
                    <c:v>28.380124062870109</c:v>
                  </c:pt>
                  <c:pt idx="19">
                    <c:v>82.533463861114484</c:v>
                  </c:pt>
                  <c:pt idx="20">
                    <c:v>19.41663533692968</c:v>
                  </c:pt>
                  <c:pt idx="21">
                    <c:v>127.44334485937422</c:v>
                  </c:pt>
                  <c:pt idx="22">
                    <c:v>15.208727422837008</c:v>
                  </c:pt>
                  <c:pt idx="23">
                    <c:v>22.700364976147675</c:v>
                  </c:pt>
                </c:numCache>
              </c:numRef>
            </c:plus>
            <c:minus>
              <c:numRef>
                <c:f>'YE harvest'!$AB$103:$AB$126</c:f>
                <c:numCache>
                  <c:formatCode>General</c:formatCode>
                  <c:ptCount val="24"/>
                  <c:pt idx="0">
                    <c:v>37.325304795637024</c:v>
                  </c:pt>
                  <c:pt idx="1">
                    <c:v>9.6373061202797885</c:v>
                  </c:pt>
                  <c:pt idx="2">
                    <c:v>20.075471411600425</c:v>
                  </c:pt>
                  <c:pt idx="3">
                    <c:v>30.633963857257907</c:v>
                  </c:pt>
                  <c:pt idx="4">
                    <c:v>22.993263843724186</c:v>
                  </c:pt>
                  <c:pt idx="5">
                    <c:v>24.392273662588888</c:v>
                  </c:pt>
                  <c:pt idx="6">
                    <c:v>27.518386145120612</c:v>
                  </c:pt>
                  <c:pt idx="7">
                    <c:v>77.551895433567765</c:v>
                  </c:pt>
                  <c:pt idx="8">
                    <c:v>16.314217278357393</c:v>
                  </c:pt>
                  <c:pt idx="9">
                    <c:v>37.460283869368133</c:v>
                  </c:pt>
                  <c:pt idx="10">
                    <c:v>24.869496128155632</c:v>
                  </c:pt>
                  <c:pt idx="11">
                    <c:v>24.708075772499068</c:v>
                  </c:pt>
                  <c:pt idx="12">
                    <c:v>27.495267246835855</c:v>
                  </c:pt>
                  <c:pt idx="13">
                    <c:v>3.7773961702545993</c:v>
                  </c:pt>
                  <c:pt idx="14">
                    <c:v>16.659496276015279</c:v>
                  </c:pt>
                  <c:pt idx="15">
                    <c:v>27.697938073801343</c:v>
                  </c:pt>
                  <c:pt idx="16">
                    <c:v>15.705803156099053</c:v>
                  </c:pt>
                  <c:pt idx="17">
                    <c:v>60.020177321998716</c:v>
                  </c:pt>
                  <c:pt idx="18">
                    <c:v>28.380124062870109</c:v>
                  </c:pt>
                  <c:pt idx="19">
                    <c:v>82.533463861114484</c:v>
                  </c:pt>
                  <c:pt idx="20">
                    <c:v>19.41663533692968</c:v>
                  </c:pt>
                  <c:pt idx="21">
                    <c:v>127.44334485937422</c:v>
                  </c:pt>
                  <c:pt idx="22">
                    <c:v>15.208727422837008</c:v>
                  </c:pt>
                  <c:pt idx="23">
                    <c:v>22.700364976147675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numRef>
              <c:f>'YE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'YE harvest'!$Y$103:$Y$126</c:f>
              <c:numCache>
                <c:formatCode>_(* #,##0_);_(* \(#,##0\);_(* "-"??_);_(@_)</c:formatCode>
                <c:ptCount val="24"/>
                <c:pt idx="0">
                  <c:v>48.092331209269815</c:v>
                </c:pt>
                <c:pt idx="1">
                  <c:v>12.684879520076304</c:v>
                </c:pt>
                <c:pt idx="2">
                  <c:v>26.781658829060397</c:v>
                </c:pt>
                <c:pt idx="3">
                  <c:v>40.064901394916333</c:v>
                </c:pt>
                <c:pt idx="4">
                  <c:v>30.344566862170478</c:v>
                </c:pt>
                <c:pt idx="5">
                  <c:v>32.38437922173847</c:v>
                </c:pt>
                <c:pt idx="6">
                  <c:v>36.859134292800775</c:v>
                </c:pt>
                <c:pt idx="7">
                  <c:v>102.74219224671764</c:v>
                </c:pt>
                <c:pt idx="8">
                  <c:v>128.98884900196541</c:v>
                </c:pt>
                <c:pt idx="9">
                  <c:v>124.04761436401157</c:v>
                </c:pt>
                <c:pt idx="10">
                  <c:v>150.65384567515963</c:v>
                </c:pt>
                <c:pt idx="11">
                  <c:v>40.584694794533341</c:v>
                </c:pt>
                <c:pt idx="12">
                  <c:v>85.77870000001424</c:v>
                </c:pt>
                <c:pt idx="13">
                  <c:v>40.720252344816501</c:v>
                </c:pt>
                <c:pt idx="14">
                  <c:v>85.239501225192413</c:v>
                </c:pt>
                <c:pt idx="15">
                  <c:v>65.75934732127142</c:v>
                </c:pt>
                <c:pt idx="16">
                  <c:v>139.38643501548367</c:v>
                </c:pt>
                <c:pt idx="17">
                  <c:v>180.16166945732982</c:v>
                </c:pt>
                <c:pt idx="18">
                  <c:v>112.9793368003873</c:v>
                </c:pt>
                <c:pt idx="19">
                  <c:v>82.255122100063872</c:v>
                </c:pt>
                <c:pt idx="20">
                  <c:v>112.10464572857293</c:v>
                </c:pt>
                <c:pt idx="21">
                  <c:v>169.24313984614315</c:v>
                </c:pt>
                <c:pt idx="22">
                  <c:v>55.207010747610298</c:v>
                </c:pt>
                <c:pt idx="23">
                  <c:v>180.25314710128936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639-4724-9A4A-421733F8CCC5}"/>
            </c:ext>
          </c:extLst>
        </c:ser>
        <c:ser>
          <c:idx val="4"/>
          <c:order val="4"/>
          <c:tx>
            <c:v>NORTHEAST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harvest'!$AB$153:$AB$176</c:f>
                <c:numCache>
                  <c:formatCode>General</c:formatCode>
                  <c:ptCount val="24"/>
                  <c:pt idx="0">
                    <c:v>187.61455451439002</c:v>
                  </c:pt>
                  <c:pt idx="1">
                    <c:v>74.376411802208153</c:v>
                  </c:pt>
                  <c:pt idx="2">
                    <c:v>90.157558091116059</c:v>
                  </c:pt>
                  <c:pt idx="3">
                    <c:v>80.197360796503489</c:v>
                  </c:pt>
                  <c:pt idx="4">
                    <c:v>124.51978834729987</c:v>
                  </c:pt>
                  <c:pt idx="5">
                    <c:v>97.109712926387303</c:v>
                  </c:pt>
                  <c:pt idx="6">
                    <c:v>142.19721807393435</c:v>
                  </c:pt>
                  <c:pt idx="7">
                    <c:v>120.18162619610143</c:v>
                  </c:pt>
                  <c:pt idx="8">
                    <c:v>130.74483489222192</c:v>
                  </c:pt>
                  <c:pt idx="9">
                    <c:v>99.705652460754152</c:v>
                  </c:pt>
                  <c:pt idx="10">
                    <c:v>139.24793066278906</c:v>
                  </c:pt>
                  <c:pt idx="11">
                    <c:v>490.32618496851524</c:v>
                  </c:pt>
                  <c:pt idx="12">
                    <c:v>372.03361188459968</c:v>
                  </c:pt>
                  <c:pt idx="13">
                    <c:v>315.02535940497808</c:v>
                  </c:pt>
                  <c:pt idx="14">
                    <c:v>99.698465140899543</c:v>
                  </c:pt>
                  <c:pt idx="15">
                    <c:v>302.22939760134227</c:v>
                  </c:pt>
                  <c:pt idx="16">
                    <c:v>330.04880130274637</c:v>
                  </c:pt>
                  <c:pt idx="17">
                    <c:v>261.75429676850581</c:v>
                  </c:pt>
                  <c:pt idx="18">
                    <c:v>249.88924453226895</c:v>
                  </c:pt>
                  <c:pt idx="19">
                    <c:v>66.899374861677515</c:v>
                  </c:pt>
                  <c:pt idx="20">
                    <c:v>173.53017605977575</c:v>
                  </c:pt>
                  <c:pt idx="21">
                    <c:v>302.79424637674094</c:v>
                  </c:pt>
                  <c:pt idx="22">
                    <c:v>367.02864638230585</c:v>
                  </c:pt>
                  <c:pt idx="23">
                    <c:v>70.116099808013644</c:v>
                  </c:pt>
                </c:numCache>
              </c:numRef>
            </c:plus>
            <c:minus>
              <c:numRef>
                <c:f>'YE harvest'!$AB$153:$AB$176</c:f>
                <c:numCache>
                  <c:formatCode>General</c:formatCode>
                  <c:ptCount val="24"/>
                  <c:pt idx="0">
                    <c:v>187.61455451439002</c:v>
                  </c:pt>
                  <c:pt idx="1">
                    <c:v>74.376411802208153</c:v>
                  </c:pt>
                  <c:pt idx="2">
                    <c:v>90.157558091116059</c:v>
                  </c:pt>
                  <c:pt idx="3">
                    <c:v>80.197360796503489</c:v>
                  </c:pt>
                  <c:pt idx="4">
                    <c:v>124.51978834729987</c:v>
                  </c:pt>
                  <c:pt idx="5">
                    <c:v>97.109712926387303</c:v>
                  </c:pt>
                  <c:pt idx="6">
                    <c:v>142.19721807393435</c:v>
                  </c:pt>
                  <c:pt idx="7">
                    <c:v>120.18162619610143</c:v>
                  </c:pt>
                  <c:pt idx="8">
                    <c:v>130.74483489222192</c:v>
                  </c:pt>
                  <c:pt idx="9">
                    <c:v>99.705652460754152</c:v>
                  </c:pt>
                  <c:pt idx="10">
                    <c:v>139.24793066278906</c:v>
                  </c:pt>
                  <c:pt idx="11">
                    <c:v>490.32618496851524</c:v>
                  </c:pt>
                  <c:pt idx="12">
                    <c:v>372.03361188459968</c:v>
                  </c:pt>
                  <c:pt idx="13">
                    <c:v>315.02535940497808</c:v>
                  </c:pt>
                  <c:pt idx="14">
                    <c:v>99.698465140899543</c:v>
                  </c:pt>
                  <c:pt idx="15">
                    <c:v>302.22939760134227</c:v>
                  </c:pt>
                  <c:pt idx="16">
                    <c:v>330.04880130274637</c:v>
                  </c:pt>
                  <c:pt idx="17">
                    <c:v>261.75429676850581</c:v>
                  </c:pt>
                  <c:pt idx="18">
                    <c:v>249.88924453226895</c:v>
                  </c:pt>
                  <c:pt idx="19">
                    <c:v>66.899374861677515</c:v>
                  </c:pt>
                  <c:pt idx="20">
                    <c:v>173.53017605977575</c:v>
                  </c:pt>
                  <c:pt idx="21">
                    <c:v>302.79424637674094</c:v>
                  </c:pt>
                  <c:pt idx="22">
                    <c:v>367.02864638230585</c:v>
                  </c:pt>
                  <c:pt idx="23">
                    <c:v>70.116099808013644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cat>
            <c:numRef>
              <c:f>'YE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'YE harvest'!$Y$153:$Y$176</c:f>
              <c:numCache>
                <c:formatCode>_(* #,##0_);_(* \(#,##0\);_(* "-"??_);_(@_)</c:formatCode>
                <c:ptCount val="24"/>
                <c:pt idx="0">
                  <c:v>305.18721379046434</c:v>
                </c:pt>
                <c:pt idx="1">
                  <c:v>131.42888669180024</c:v>
                </c:pt>
                <c:pt idx="2">
                  <c:v>138.85825198630636</c:v>
                </c:pt>
                <c:pt idx="3">
                  <c:v>118.41411195512632</c:v>
                </c:pt>
                <c:pt idx="4">
                  <c:v>226.27128144374532</c:v>
                </c:pt>
                <c:pt idx="5">
                  <c:v>150.18116152892958</c:v>
                </c:pt>
                <c:pt idx="6">
                  <c:v>224.9208761343499</c:v>
                </c:pt>
                <c:pt idx="7">
                  <c:v>185.61142015058118</c:v>
                </c:pt>
                <c:pt idx="8">
                  <c:v>206.60973084590142</c:v>
                </c:pt>
                <c:pt idx="9">
                  <c:v>202.5406207977955</c:v>
                </c:pt>
                <c:pt idx="10">
                  <c:v>332.99806682351112</c:v>
                </c:pt>
                <c:pt idx="11">
                  <c:v>700.5611384826675</c:v>
                </c:pt>
                <c:pt idx="12">
                  <c:v>480.06666277847205</c:v>
                </c:pt>
                <c:pt idx="13">
                  <c:v>393.54321341162193</c:v>
                </c:pt>
                <c:pt idx="14">
                  <c:v>269.55528331037937</c:v>
                </c:pt>
                <c:pt idx="15">
                  <c:v>678.51521660221351</c:v>
                </c:pt>
                <c:pt idx="16">
                  <c:v>821.44502977841535</c:v>
                </c:pt>
                <c:pt idx="17">
                  <c:v>705.95065724130154</c:v>
                </c:pt>
                <c:pt idx="18">
                  <c:v>646.05259874518742</c:v>
                </c:pt>
                <c:pt idx="19">
                  <c:v>244.33240969726234</c:v>
                </c:pt>
                <c:pt idx="20">
                  <c:v>383.39690436954675</c:v>
                </c:pt>
                <c:pt idx="21">
                  <c:v>663.38725270685723</c:v>
                </c:pt>
                <c:pt idx="22">
                  <c:v>628.92367293109135</c:v>
                </c:pt>
                <c:pt idx="23">
                  <c:v>454.93503492756952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639-4724-9A4A-421733F8C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CENTRAL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harvest'!$AB$128:$AB$151</c:f>
                <c:numCache>
                  <c:formatCode>General</c:formatCode>
                  <c:ptCount val="24"/>
                  <c:pt idx="0">
                    <c:v>413.95411043243831</c:v>
                  </c:pt>
                  <c:pt idx="1">
                    <c:v>564.78499755374162</c:v>
                  </c:pt>
                  <c:pt idx="2">
                    <c:v>404.99564445687355</c:v>
                  </c:pt>
                  <c:pt idx="3">
                    <c:v>1160.438298289733</c:v>
                  </c:pt>
                  <c:pt idx="4">
                    <c:v>449.82138806844222</c:v>
                  </c:pt>
                  <c:pt idx="5">
                    <c:v>592.42038182218005</c:v>
                  </c:pt>
                  <c:pt idx="6">
                    <c:v>854.98675916613627</c:v>
                  </c:pt>
                  <c:pt idx="7">
                    <c:v>885.70286244318231</c:v>
                  </c:pt>
                  <c:pt idx="8">
                    <c:v>980.71009566892747</c:v>
                  </c:pt>
                  <c:pt idx="9">
                    <c:v>874.48131152601195</c:v>
                  </c:pt>
                  <c:pt idx="10">
                    <c:v>958.97076227424793</c:v>
                  </c:pt>
                  <c:pt idx="11">
                    <c:v>616.42595153042134</c:v>
                  </c:pt>
                  <c:pt idx="12">
                    <c:v>806.83725386888432</c:v>
                  </c:pt>
                  <c:pt idx="13">
                    <c:v>2089.2587943524977</c:v>
                  </c:pt>
                  <c:pt idx="14">
                    <c:v>1041.3479183095476</c:v>
                  </c:pt>
                  <c:pt idx="15">
                    <c:v>573.6939047352206</c:v>
                  </c:pt>
                  <c:pt idx="16">
                    <c:v>985.3387323858517</c:v>
                  </c:pt>
                  <c:pt idx="17">
                    <c:v>1023.0982497114733</c:v>
                  </c:pt>
                  <c:pt idx="18">
                    <c:v>1101.2533646060629</c:v>
                  </c:pt>
                  <c:pt idx="19">
                    <c:v>691.84910908231996</c:v>
                  </c:pt>
                  <c:pt idx="20">
                    <c:v>1185.6860416428651</c:v>
                  </c:pt>
                  <c:pt idx="21">
                    <c:v>1939.8148690467981</c:v>
                  </c:pt>
                  <c:pt idx="22">
                    <c:v>1216.6728653881128</c:v>
                  </c:pt>
                  <c:pt idx="23">
                    <c:v>1788.4943925466569</c:v>
                  </c:pt>
                </c:numCache>
              </c:numRef>
            </c:plus>
            <c:minus>
              <c:numRef>
                <c:f>'YE harvest'!$AB$128:$AB$151</c:f>
                <c:numCache>
                  <c:formatCode>General</c:formatCode>
                  <c:ptCount val="24"/>
                  <c:pt idx="0">
                    <c:v>413.95411043243831</c:v>
                  </c:pt>
                  <c:pt idx="1">
                    <c:v>564.78499755374162</c:v>
                  </c:pt>
                  <c:pt idx="2">
                    <c:v>404.99564445687355</c:v>
                  </c:pt>
                  <c:pt idx="3">
                    <c:v>1160.438298289733</c:v>
                  </c:pt>
                  <c:pt idx="4">
                    <c:v>449.82138806844222</c:v>
                  </c:pt>
                  <c:pt idx="5">
                    <c:v>592.42038182218005</c:v>
                  </c:pt>
                  <c:pt idx="6">
                    <c:v>854.98675916613627</c:v>
                  </c:pt>
                  <c:pt idx="7">
                    <c:v>885.70286244318231</c:v>
                  </c:pt>
                  <c:pt idx="8">
                    <c:v>980.71009566892747</c:v>
                  </c:pt>
                  <c:pt idx="9">
                    <c:v>874.48131152601195</c:v>
                  </c:pt>
                  <c:pt idx="10">
                    <c:v>958.97076227424793</c:v>
                  </c:pt>
                  <c:pt idx="11">
                    <c:v>616.42595153042134</c:v>
                  </c:pt>
                  <c:pt idx="12">
                    <c:v>806.83725386888432</c:v>
                  </c:pt>
                  <c:pt idx="13">
                    <c:v>2089.2587943524977</c:v>
                  </c:pt>
                  <c:pt idx="14">
                    <c:v>1041.3479183095476</c:v>
                  </c:pt>
                  <c:pt idx="15">
                    <c:v>573.6939047352206</c:v>
                  </c:pt>
                  <c:pt idx="16">
                    <c:v>985.3387323858517</c:v>
                  </c:pt>
                  <c:pt idx="17">
                    <c:v>1023.0982497114733</c:v>
                  </c:pt>
                  <c:pt idx="18">
                    <c:v>1101.2533646060629</c:v>
                  </c:pt>
                  <c:pt idx="19">
                    <c:v>691.84910908231996</c:v>
                  </c:pt>
                  <c:pt idx="20">
                    <c:v>1185.6860416428651</c:v>
                  </c:pt>
                  <c:pt idx="21">
                    <c:v>1939.8148690467981</c:v>
                  </c:pt>
                  <c:pt idx="22">
                    <c:v>1216.6728653881128</c:v>
                  </c:pt>
                  <c:pt idx="23">
                    <c:v>1788.4943925466569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'YE harvest'!$Y$128:$Y$151</c:f>
              <c:numCache>
                <c:formatCode>_(* #,##0_);_(* \(#,##0\);_(* "-"??_);_(@_)</c:formatCode>
                <c:ptCount val="24"/>
                <c:pt idx="0">
                  <c:v>1010.8472744741673</c:v>
                </c:pt>
                <c:pt idx="1">
                  <c:v>1972.8827593606434</c:v>
                </c:pt>
                <c:pt idx="2">
                  <c:v>2251.7961901175809</c:v>
                </c:pt>
                <c:pt idx="3">
                  <c:v>3630.8895239532312</c:v>
                </c:pt>
                <c:pt idx="4">
                  <c:v>2277.5040950429998</c:v>
                </c:pt>
                <c:pt idx="5">
                  <c:v>3741.5840380937025</c:v>
                </c:pt>
                <c:pt idx="6">
                  <c:v>4547.3562745164036</c:v>
                </c:pt>
                <c:pt idx="7">
                  <c:v>4442.565926288662</c:v>
                </c:pt>
                <c:pt idx="8">
                  <c:v>4727.1493236848582</c:v>
                </c:pt>
                <c:pt idx="9">
                  <c:v>4495.907789828324</c:v>
                </c:pt>
                <c:pt idx="10">
                  <c:v>4994.3702105900184</c:v>
                </c:pt>
                <c:pt idx="11">
                  <c:v>3701.4340015587459</c:v>
                </c:pt>
                <c:pt idx="12">
                  <c:v>4968.1559316658286</c:v>
                </c:pt>
                <c:pt idx="13">
                  <c:v>10669.006809314189</c:v>
                </c:pt>
                <c:pt idx="14">
                  <c:v>7206.7994962189441</c:v>
                </c:pt>
                <c:pt idx="15">
                  <c:v>5204.2948050256036</c:v>
                </c:pt>
                <c:pt idx="16">
                  <c:v>6051.9873365581861</c:v>
                </c:pt>
                <c:pt idx="17">
                  <c:v>6603.921463759305</c:v>
                </c:pt>
                <c:pt idx="18">
                  <c:v>7593.0449405866093</c:v>
                </c:pt>
                <c:pt idx="19">
                  <c:v>4799.5903715376362</c:v>
                </c:pt>
                <c:pt idx="20">
                  <c:v>7839.9500647929945</c:v>
                </c:pt>
                <c:pt idx="21">
                  <c:v>11737.347942109271</c:v>
                </c:pt>
                <c:pt idx="22">
                  <c:v>7241.3555109284898</c:v>
                </c:pt>
                <c:pt idx="23">
                  <c:v>9648.7054447608243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1-4D4C-BD0A-DB0BB95FDDB4}"/>
            </c:ext>
          </c:extLst>
        </c:ser>
        <c:ser>
          <c:idx val="1"/>
          <c:order val="1"/>
          <c:tx>
            <c:v>PWSO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harvest'!$AB$203:$AB$226</c:f>
                <c:numCache>
                  <c:formatCode>General</c:formatCode>
                  <c:ptCount val="24"/>
                  <c:pt idx="0">
                    <c:v>353.37765663792698</c:v>
                  </c:pt>
                  <c:pt idx="1">
                    <c:v>220.89624435788139</c:v>
                  </c:pt>
                  <c:pt idx="2">
                    <c:v>437.82558982415196</c:v>
                  </c:pt>
                  <c:pt idx="3">
                    <c:v>844.77833309667119</c:v>
                  </c:pt>
                  <c:pt idx="4">
                    <c:v>428.52758722420515</c:v>
                  </c:pt>
                  <c:pt idx="5">
                    <c:v>221.5021782997797</c:v>
                  </c:pt>
                  <c:pt idx="6">
                    <c:v>291.24417412261954</c:v>
                  </c:pt>
                  <c:pt idx="7">
                    <c:v>283.55647810236889</c:v>
                  </c:pt>
                  <c:pt idx="8">
                    <c:v>424.35850753584702</c:v>
                  </c:pt>
                  <c:pt idx="9">
                    <c:v>567.01994467326779</c:v>
                  </c:pt>
                  <c:pt idx="10">
                    <c:v>622.29021145606134</c:v>
                  </c:pt>
                  <c:pt idx="11">
                    <c:v>571.80419192459294</c:v>
                  </c:pt>
                  <c:pt idx="12">
                    <c:v>355.90143653566622</c:v>
                  </c:pt>
                  <c:pt idx="13">
                    <c:v>343.47069240242826</c:v>
                  </c:pt>
                  <c:pt idx="14">
                    <c:v>267.79277458280353</c:v>
                  </c:pt>
                  <c:pt idx="15">
                    <c:v>403.60228058469932</c:v>
                  </c:pt>
                  <c:pt idx="16">
                    <c:v>752.9049542899952</c:v>
                  </c:pt>
                  <c:pt idx="17">
                    <c:v>244.43670273651938</c:v>
                  </c:pt>
                  <c:pt idx="18">
                    <c:v>418.72234597114198</c:v>
                  </c:pt>
                  <c:pt idx="19">
                    <c:v>897.55127126089508</c:v>
                  </c:pt>
                  <c:pt idx="20">
                    <c:v>715.07988462616709</c:v>
                  </c:pt>
                  <c:pt idx="21">
                    <c:v>769.72392350154371</c:v>
                  </c:pt>
                  <c:pt idx="22">
                    <c:v>589.44546187408991</c:v>
                  </c:pt>
                  <c:pt idx="23">
                    <c:v>1393.4572038751398</c:v>
                  </c:pt>
                </c:numCache>
              </c:numRef>
            </c:plus>
            <c:minus>
              <c:numRef>
                <c:f>'YE harvest'!$AB$203:$AB$226</c:f>
                <c:numCache>
                  <c:formatCode>General</c:formatCode>
                  <c:ptCount val="24"/>
                  <c:pt idx="0">
                    <c:v>353.37765663792698</c:v>
                  </c:pt>
                  <c:pt idx="1">
                    <c:v>220.89624435788139</c:v>
                  </c:pt>
                  <c:pt idx="2">
                    <c:v>437.82558982415196</c:v>
                  </c:pt>
                  <c:pt idx="3">
                    <c:v>844.77833309667119</c:v>
                  </c:pt>
                  <c:pt idx="4">
                    <c:v>428.52758722420515</c:v>
                  </c:pt>
                  <c:pt idx="5">
                    <c:v>221.5021782997797</c:v>
                  </c:pt>
                  <c:pt idx="6">
                    <c:v>291.24417412261954</c:v>
                  </c:pt>
                  <c:pt idx="7">
                    <c:v>283.55647810236889</c:v>
                  </c:pt>
                  <c:pt idx="8">
                    <c:v>424.35850753584702</c:v>
                  </c:pt>
                  <c:pt idx="9">
                    <c:v>567.01994467326779</c:v>
                  </c:pt>
                  <c:pt idx="10">
                    <c:v>622.29021145606134</c:v>
                  </c:pt>
                  <c:pt idx="11">
                    <c:v>571.80419192459294</c:v>
                  </c:pt>
                  <c:pt idx="12">
                    <c:v>355.90143653566622</c:v>
                  </c:pt>
                  <c:pt idx="13">
                    <c:v>343.47069240242826</c:v>
                  </c:pt>
                  <c:pt idx="14">
                    <c:v>267.79277458280353</c:v>
                  </c:pt>
                  <c:pt idx="15">
                    <c:v>403.60228058469932</c:v>
                  </c:pt>
                  <c:pt idx="16">
                    <c:v>752.9049542899952</c:v>
                  </c:pt>
                  <c:pt idx="17">
                    <c:v>244.43670273651938</c:v>
                  </c:pt>
                  <c:pt idx="18">
                    <c:v>418.72234597114198</c:v>
                  </c:pt>
                  <c:pt idx="19">
                    <c:v>897.55127126089508</c:v>
                  </c:pt>
                  <c:pt idx="20">
                    <c:v>715.07988462616709</c:v>
                  </c:pt>
                  <c:pt idx="21">
                    <c:v>769.72392350154371</c:v>
                  </c:pt>
                  <c:pt idx="22">
                    <c:v>589.44546187408991</c:v>
                  </c:pt>
                  <c:pt idx="23">
                    <c:v>1393.4572038751398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'YE harvest'!$Y$203:$Y$226</c:f>
              <c:numCache>
                <c:formatCode>_(* #,##0_);_(* \(#,##0\);_(* "-"??_);_(@_)</c:formatCode>
                <c:ptCount val="24"/>
                <c:pt idx="0">
                  <c:v>1524.7131150898849</c:v>
                </c:pt>
                <c:pt idx="1">
                  <c:v>1372.4240179057144</c:v>
                </c:pt>
                <c:pt idx="2">
                  <c:v>2233.1015129593766</c:v>
                </c:pt>
                <c:pt idx="3">
                  <c:v>3273.5906180914117</c:v>
                </c:pt>
                <c:pt idx="4">
                  <c:v>2405.0861038705875</c:v>
                </c:pt>
                <c:pt idx="5">
                  <c:v>2217.1441774115324</c:v>
                </c:pt>
                <c:pt idx="6">
                  <c:v>2785.262202098957</c:v>
                </c:pt>
                <c:pt idx="7">
                  <c:v>1719.0524302587439</c:v>
                </c:pt>
                <c:pt idx="8">
                  <c:v>2735.8421010569841</c:v>
                </c:pt>
                <c:pt idx="9">
                  <c:v>3686.3072569496212</c:v>
                </c:pt>
                <c:pt idx="10">
                  <c:v>3344.2297301840117</c:v>
                </c:pt>
                <c:pt idx="11">
                  <c:v>3440.3571153935532</c:v>
                </c:pt>
                <c:pt idx="12">
                  <c:v>3859.3487313610804</c:v>
                </c:pt>
                <c:pt idx="13">
                  <c:v>3631.4346867570644</c:v>
                </c:pt>
                <c:pt idx="14">
                  <c:v>3898.828160604784</c:v>
                </c:pt>
                <c:pt idx="15">
                  <c:v>3983.719893661133</c:v>
                </c:pt>
                <c:pt idx="16">
                  <c:v>4750.0547256455111</c:v>
                </c:pt>
                <c:pt idx="17">
                  <c:v>4469.9577383771712</c:v>
                </c:pt>
                <c:pt idx="18">
                  <c:v>6063.5322109110748</c:v>
                </c:pt>
                <c:pt idx="19">
                  <c:v>6412.5704511017502</c:v>
                </c:pt>
                <c:pt idx="20">
                  <c:v>4288.0212741982687</c:v>
                </c:pt>
                <c:pt idx="21">
                  <c:v>6165.5368305679594</c:v>
                </c:pt>
                <c:pt idx="22">
                  <c:v>4173.7521858856489</c:v>
                </c:pt>
                <c:pt idx="23">
                  <c:v>5894.1105598690137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01-4D4C-BD0A-DB0BB95FDDB4}"/>
            </c:ext>
          </c:extLst>
        </c:ser>
        <c:ser>
          <c:idx val="2"/>
          <c:order val="2"/>
          <c:tx>
            <c:v>CI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harvest'!$AB$78:$AB$101</c:f>
                <c:numCache>
                  <c:formatCode>General</c:formatCode>
                  <c:ptCount val="24"/>
                  <c:pt idx="0">
                    <c:v>75.370453049776785</c:v>
                  </c:pt>
                  <c:pt idx="1">
                    <c:v>26.527877945528246</c:v>
                  </c:pt>
                  <c:pt idx="2">
                    <c:v>59.043771375851556</c:v>
                  </c:pt>
                  <c:pt idx="3">
                    <c:v>17.945329198445577</c:v>
                  </c:pt>
                  <c:pt idx="4">
                    <c:v>95.126957069685005</c:v>
                  </c:pt>
                  <c:pt idx="5">
                    <c:v>158.07798635948566</c:v>
                  </c:pt>
                  <c:pt idx="6">
                    <c:v>144.82828014676844</c:v>
                  </c:pt>
                  <c:pt idx="7">
                    <c:v>105.15429182733796</c:v>
                  </c:pt>
                  <c:pt idx="8">
                    <c:v>66.170821379413638</c:v>
                  </c:pt>
                  <c:pt idx="9">
                    <c:v>68.749952054372514</c:v>
                  </c:pt>
                  <c:pt idx="10">
                    <c:v>58.111038020167143</c:v>
                  </c:pt>
                  <c:pt idx="11">
                    <c:v>0</c:v>
                  </c:pt>
                  <c:pt idx="12">
                    <c:v>0</c:v>
                  </c:pt>
                  <c:pt idx="13">
                    <c:v>56.075283811624089</c:v>
                  </c:pt>
                  <c:pt idx="14">
                    <c:v>175.91821317844264</c:v>
                  </c:pt>
                  <c:pt idx="15">
                    <c:v>200.6319533347575</c:v>
                  </c:pt>
                  <c:pt idx="16">
                    <c:v>123.79950983195774</c:v>
                  </c:pt>
                  <c:pt idx="17">
                    <c:v>110.27004618169623</c:v>
                  </c:pt>
                  <c:pt idx="18">
                    <c:v>0</c:v>
                  </c:pt>
                  <c:pt idx="19">
                    <c:v>150.24103158320042</c:v>
                  </c:pt>
                  <c:pt idx="20">
                    <c:v>218.55076978786485</c:v>
                  </c:pt>
                  <c:pt idx="21">
                    <c:v>151.52242447284701</c:v>
                  </c:pt>
                  <c:pt idx="22">
                    <c:v>602.97431954095782</c:v>
                  </c:pt>
                  <c:pt idx="23">
                    <c:v>258.52064591671507</c:v>
                  </c:pt>
                </c:numCache>
              </c:numRef>
            </c:plus>
            <c:minus>
              <c:numRef>
                <c:f>'YE harvest'!$AB$78:$AB$101</c:f>
                <c:numCache>
                  <c:formatCode>General</c:formatCode>
                  <c:ptCount val="24"/>
                  <c:pt idx="0">
                    <c:v>75.370453049776785</c:v>
                  </c:pt>
                  <c:pt idx="1">
                    <c:v>26.527877945528246</c:v>
                  </c:pt>
                  <c:pt idx="2">
                    <c:v>59.043771375851556</c:v>
                  </c:pt>
                  <c:pt idx="3">
                    <c:v>17.945329198445577</c:v>
                  </c:pt>
                  <c:pt idx="4">
                    <c:v>95.126957069685005</c:v>
                  </c:pt>
                  <c:pt idx="5">
                    <c:v>158.07798635948566</c:v>
                  </c:pt>
                  <c:pt idx="6">
                    <c:v>144.82828014676844</c:v>
                  </c:pt>
                  <c:pt idx="7">
                    <c:v>105.15429182733796</c:v>
                  </c:pt>
                  <c:pt idx="8">
                    <c:v>66.170821379413638</c:v>
                  </c:pt>
                  <c:pt idx="9">
                    <c:v>68.749952054372514</c:v>
                  </c:pt>
                  <c:pt idx="10">
                    <c:v>58.111038020167143</c:v>
                  </c:pt>
                  <c:pt idx="11">
                    <c:v>0</c:v>
                  </c:pt>
                  <c:pt idx="12">
                    <c:v>0</c:v>
                  </c:pt>
                  <c:pt idx="13">
                    <c:v>56.075283811624089</c:v>
                  </c:pt>
                  <c:pt idx="14">
                    <c:v>175.91821317844264</c:v>
                  </c:pt>
                  <c:pt idx="15">
                    <c:v>200.6319533347575</c:v>
                  </c:pt>
                  <c:pt idx="16">
                    <c:v>123.79950983195774</c:v>
                  </c:pt>
                  <c:pt idx="17">
                    <c:v>110.27004618169623</c:v>
                  </c:pt>
                  <c:pt idx="18">
                    <c:v>0</c:v>
                  </c:pt>
                  <c:pt idx="19">
                    <c:v>150.24103158320042</c:v>
                  </c:pt>
                  <c:pt idx="20">
                    <c:v>218.55076978786485</c:v>
                  </c:pt>
                  <c:pt idx="21">
                    <c:v>151.52242447284701</c:v>
                  </c:pt>
                  <c:pt idx="22">
                    <c:v>602.97431954095782</c:v>
                  </c:pt>
                  <c:pt idx="23">
                    <c:v>258.52064591671507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'YE harvest'!$Y$78:$Y$101</c:f>
              <c:numCache>
                <c:formatCode>_(* #,##0_);_(* \(#,##0\);_(* "-"??_);_(@_)</c:formatCode>
                <c:ptCount val="24"/>
                <c:pt idx="0">
                  <c:v>114.63402784599876</c:v>
                </c:pt>
                <c:pt idx="1">
                  <c:v>38.800047057367813</c:v>
                </c:pt>
                <c:pt idx="2">
                  <c:v>82.832973413741342</c:v>
                </c:pt>
                <c:pt idx="3">
                  <c:v>26.247090656454695</c:v>
                </c:pt>
                <c:pt idx="4">
                  <c:v>130.71241575619871</c:v>
                </c:pt>
                <c:pt idx="5">
                  <c:v>196.73455169304972</c:v>
                </c:pt>
                <c:pt idx="6">
                  <c:v>156.20412224047752</c:v>
                </c:pt>
                <c:pt idx="7">
                  <c:v>100.95751210525455</c:v>
                </c:pt>
                <c:pt idx="8">
                  <c:v>126.6134894673573</c:v>
                </c:pt>
                <c:pt idx="9">
                  <c:v>123.72875336864286</c:v>
                </c:pt>
                <c:pt idx="10">
                  <c:v>121.12828977583996</c:v>
                </c:pt>
                <c:pt idx="11">
                  <c:v>142</c:v>
                </c:pt>
                <c:pt idx="12">
                  <c:v>185</c:v>
                </c:pt>
                <c:pt idx="13">
                  <c:v>217.90577346278317</c:v>
                </c:pt>
                <c:pt idx="14">
                  <c:v>285.76097223449557</c:v>
                </c:pt>
                <c:pt idx="15">
                  <c:v>340.58643347341899</c:v>
                </c:pt>
                <c:pt idx="16">
                  <c:v>207.87273338704921</c:v>
                </c:pt>
                <c:pt idx="17">
                  <c:v>235.32596925154078</c:v>
                </c:pt>
                <c:pt idx="18">
                  <c:v>185</c:v>
                </c:pt>
                <c:pt idx="19">
                  <c:v>514.05519472633296</c:v>
                </c:pt>
                <c:pt idx="20">
                  <c:v>551.95790333136938</c:v>
                </c:pt>
                <c:pt idx="21">
                  <c:v>546.45169971794257</c:v>
                </c:pt>
                <c:pt idx="22">
                  <c:v>794.25331621737269</c:v>
                </c:pt>
                <c:pt idx="23">
                  <c:v>568.3968155886148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01-4D4C-BD0A-DB0BB95FDDB4}"/>
            </c:ext>
          </c:extLst>
        </c:ser>
        <c:ser>
          <c:idx val="3"/>
          <c:order val="3"/>
          <c:tx>
            <c:v>PWSI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harvest'!$AB$178:$AB$201</c:f>
                <c:numCache>
                  <c:formatCode>General</c:formatCode>
                  <c:ptCount val="24"/>
                  <c:pt idx="0">
                    <c:v>3912.964695111225</c:v>
                  </c:pt>
                  <c:pt idx="1">
                    <c:v>3023.4765684226904</c:v>
                  </c:pt>
                  <c:pt idx="2">
                    <c:v>1974.2054865270288</c:v>
                  </c:pt>
                  <c:pt idx="3">
                    <c:v>8684.5497556106347</c:v>
                  </c:pt>
                  <c:pt idx="4">
                    <c:v>6698.7009190041153</c:v>
                  </c:pt>
                  <c:pt idx="5">
                    <c:v>3415.9024636022946</c:v>
                  </c:pt>
                  <c:pt idx="6">
                    <c:v>5469.7972758618989</c:v>
                  </c:pt>
                  <c:pt idx="7">
                    <c:v>8179.0937392583046</c:v>
                  </c:pt>
                  <c:pt idx="8">
                    <c:v>3205.3428797789925</c:v>
                  </c:pt>
                  <c:pt idx="9">
                    <c:v>3175.5746473110289</c:v>
                  </c:pt>
                  <c:pt idx="10">
                    <c:v>2815.3048822940405</c:v>
                  </c:pt>
                  <c:pt idx="11">
                    <c:v>3289.9435844786958</c:v>
                  </c:pt>
                  <c:pt idx="12">
                    <c:v>2574.1069503923818</c:v>
                  </c:pt>
                  <c:pt idx="13">
                    <c:v>3409.6829622841096</c:v>
                  </c:pt>
                  <c:pt idx="14">
                    <c:v>3533.0257374029875</c:v>
                  </c:pt>
                  <c:pt idx="15">
                    <c:v>2502.9991681619331</c:v>
                  </c:pt>
                  <c:pt idx="16">
                    <c:v>5023.6391539006008</c:v>
                  </c:pt>
                  <c:pt idx="17">
                    <c:v>6838.3954198835509</c:v>
                  </c:pt>
                  <c:pt idx="18">
                    <c:v>5112.3735688279949</c:v>
                  </c:pt>
                  <c:pt idx="19">
                    <c:v>3971.6992847524916</c:v>
                  </c:pt>
                  <c:pt idx="20">
                    <c:v>1832.5271812963097</c:v>
                  </c:pt>
                  <c:pt idx="21">
                    <c:v>3671.6725973323914</c:v>
                  </c:pt>
                  <c:pt idx="22">
                    <c:v>1930.9451343654514</c:v>
                  </c:pt>
                  <c:pt idx="23">
                    <c:v>2775.2518270933706</c:v>
                  </c:pt>
                </c:numCache>
              </c:numRef>
            </c:plus>
            <c:minus>
              <c:numRef>
                <c:f>'YE harvest'!$AB$178:$AB$201</c:f>
                <c:numCache>
                  <c:formatCode>General</c:formatCode>
                  <c:ptCount val="24"/>
                  <c:pt idx="0">
                    <c:v>3912.964695111225</c:v>
                  </c:pt>
                  <c:pt idx="1">
                    <c:v>3023.4765684226904</c:v>
                  </c:pt>
                  <c:pt idx="2">
                    <c:v>1974.2054865270288</c:v>
                  </c:pt>
                  <c:pt idx="3">
                    <c:v>8684.5497556106347</c:v>
                  </c:pt>
                  <c:pt idx="4">
                    <c:v>6698.7009190041153</c:v>
                  </c:pt>
                  <c:pt idx="5">
                    <c:v>3415.9024636022946</c:v>
                  </c:pt>
                  <c:pt idx="6">
                    <c:v>5469.7972758618989</c:v>
                  </c:pt>
                  <c:pt idx="7">
                    <c:v>8179.0937392583046</c:v>
                  </c:pt>
                  <c:pt idx="8">
                    <c:v>3205.3428797789925</c:v>
                  </c:pt>
                  <c:pt idx="9">
                    <c:v>3175.5746473110289</c:v>
                  </c:pt>
                  <c:pt idx="10">
                    <c:v>2815.3048822940405</c:v>
                  </c:pt>
                  <c:pt idx="11">
                    <c:v>3289.9435844786958</c:v>
                  </c:pt>
                  <c:pt idx="12">
                    <c:v>2574.1069503923818</c:v>
                  </c:pt>
                  <c:pt idx="13">
                    <c:v>3409.6829622841096</c:v>
                  </c:pt>
                  <c:pt idx="14">
                    <c:v>3533.0257374029875</c:v>
                  </c:pt>
                  <c:pt idx="15">
                    <c:v>2502.9991681619331</c:v>
                  </c:pt>
                  <c:pt idx="16">
                    <c:v>5023.6391539006008</c:v>
                  </c:pt>
                  <c:pt idx="17">
                    <c:v>6838.3954198835509</c:v>
                  </c:pt>
                  <c:pt idx="18">
                    <c:v>5112.3735688279949</c:v>
                  </c:pt>
                  <c:pt idx="19">
                    <c:v>3971.6992847524916</c:v>
                  </c:pt>
                  <c:pt idx="20">
                    <c:v>1832.5271812963097</c:v>
                  </c:pt>
                  <c:pt idx="21">
                    <c:v>3671.6725973323914</c:v>
                  </c:pt>
                  <c:pt idx="22">
                    <c:v>1930.9451343654514</c:v>
                  </c:pt>
                  <c:pt idx="23">
                    <c:v>2775.2518270933706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numRef>
              <c:f>'YE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'YE harvest'!$Y$178:$Y$201</c:f>
              <c:numCache>
                <c:formatCode>_(* #,##0_);_(* \(#,##0\);_(* "-"??_);_(@_)</c:formatCode>
                <c:ptCount val="24"/>
                <c:pt idx="0">
                  <c:v>4323.3091952068589</c:v>
                </c:pt>
                <c:pt idx="1">
                  <c:v>6232.4939588887446</c:v>
                </c:pt>
                <c:pt idx="2">
                  <c:v>4193.5807750539725</c:v>
                </c:pt>
                <c:pt idx="3">
                  <c:v>16006.251354019303</c:v>
                </c:pt>
                <c:pt idx="4">
                  <c:v>12764.663929567156</c:v>
                </c:pt>
                <c:pt idx="5">
                  <c:v>7553.370735548353</c:v>
                </c:pt>
                <c:pt idx="6">
                  <c:v>10754.231952603139</c:v>
                </c:pt>
                <c:pt idx="7">
                  <c:v>15412.96534265212</c:v>
                </c:pt>
                <c:pt idx="8">
                  <c:v>7057.6247000212579</c:v>
                </c:pt>
                <c:pt idx="9">
                  <c:v>6812.5266224150455</c:v>
                </c:pt>
                <c:pt idx="10">
                  <c:v>6020.3625949699981</c:v>
                </c:pt>
                <c:pt idx="11">
                  <c:v>6656.4104345946271</c:v>
                </c:pt>
                <c:pt idx="12">
                  <c:v>5890.5222992868257</c:v>
                </c:pt>
                <c:pt idx="13">
                  <c:v>10013.149281726068</c:v>
                </c:pt>
                <c:pt idx="14">
                  <c:v>11293.970363139695</c:v>
                </c:pt>
                <c:pt idx="15">
                  <c:v>8547.6810594375947</c:v>
                </c:pt>
                <c:pt idx="16">
                  <c:v>14881.883454497516</c:v>
                </c:pt>
                <c:pt idx="17">
                  <c:v>23885.877389538386</c:v>
                </c:pt>
                <c:pt idx="18">
                  <c:v>12059.125859241933</c:v>
                </c:pt>
                <c:pt idx="19">
                  <c:v>10753.720765991142</c:v>
                </c:pt>
                <c:pt idx="20">
                  <c:v>5220.3968911926113</c:v>
                </c:pt>
                <c:pt idx="21">
                  <c:v>12090.512924557934</c:v>
                </c:pt>
                <c:pt idx="22">
                  <c:v>5896.8659756685465</c:v>
                </c:pt>
                <c:pt idx="23">
                  <c:v>8237.8394221007584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01-4D4C-BD0A-DB0BB95FD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SEAK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NSEI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harvest'!$AB$278:$AB$301</c:f>
                <c:numCache>
                  <c:formatCode>General</c:formatCode>
                  <c:ptCount val="24"/>
                  <c:pt idx="0">
                    <c:v>833.66768304001801</c:v>
                  </c:pt>
                  <c:pt idx="1">
                    <c:v>846.54697615711768</c:v>
                  </c:pt>
                  <c:pt idx="2">
                    <c:v>1358.5307096550748</c:v>
                  </c:pt>
                  <c:pt idx="3">
                    <c:v>1056.3559544973909</c:v>
                  </c:pt>
                  <c:pt idx="4">
                    <c:v>638.50583472109122</c:v>
                  </c:pt>
                  <c:pt idx="5">
                    <c:v>831.56919039756519</c:v>
                  </c:pt>
                  <c:pt idx="6">
                    <c:v>870.62324037774147</c:v>
                  </c:pt>
                  <c:pt idx="7">
                    <c:v>1057.2817897223822</c:v>
                  </c:pt>
                  <c:pt idx="8">
                    <c:v>381.28851056136739</c:v>
                  </c:pt>
                  <c:pt idx="9">
                    <c:v>635.22586567063888</c:v>
                  </c:pt>
                  <c:pt idx="10">
                    <c:v>855.18863887578937</c:v>
                  </c:pt>
                  <c:pt idx="11">
                    <c:v>734.57473734615132</c:v>
                  </c:pt>
                  <c:pt idx="12">
                    <c:v>684.57726561782351</c:v>
                  </c:pt>
                  <c:pt idx="13">
                    <c:v>694.2104239488807</c:v>
                  </c:pt>
                  <c:pt idx="14">
                    <c:v>558.10801721451935</c:v>
                  </c:pt>
                  <c:pt idx="15">
                    <c:v>299.93912672017348</c:v>
                  </c:pt>
                  <c:pt idx="16">
                    <c:v>434.46078278660559</c:v>
                  </c:pt>
                  <c:pt idx="17">
                    <c:v>330.99076470979963</c:v>
                  </c:pt>
                  <c:pt idx="18">
                    <c:v>378.48338305888029</c:v>
                  </c:pt>
                  <c:pt idx="19">
                    <c:v>636.32142307511742</c:v>
                  </c:pt>
                  <c:pt idx="20">
                    <c:v>512.80635632795804</c:v>
                  </c:pt>
                  <c:pt idx="21">
                    <c:v>656.38038777564736</c:v>
                  </c:pt>
                  <c:pt idx="22">
                    <c:v>58.605047561847698</c:v>
                  </c:pt>
                  <c:pt idx="23">
                    <c:v>96.419013401694968</c:v>
                  </c:pt>
                </c:numCache>
              </c:numRef>
            </c:plus>
            <c:minus>
              <c:numRef>
                <c:f>'YE harvest'!$AB$278:$AB$301</c:f>
                <c:numCache>
                  <c:formatCode>General</c:formatCode>
                  <c:ptCount val="24"/>
                  <c:pt idx="0">
                    <c:v>833.66768304001801</c:v>
                  </c:pt>
                  <c:pt idx="1">
                    <c:v>846.54697615711768</c:v>
                  </c:pt>
                  <c:pt idx="2">
                    <c:v>1358.5307096550748</c:v>
                  </c:pt>
                  <c:pt idx="3">
                    <c:v>1056.3559544973909</c:v>
                  </c:pt>
                  <c:pt idx="4">
                    <c:v>638.50583472109122</c:v>
                  </c:pt>
                  <c:pt idx="5">
                    <c:v>831.56919039756519</c:v>
                  </c:pt>
                  <c:pt idx="6">
                    <c:v>870.62324037774147</c:v>
                  </c:pt>
                  <c:pt idx="7">
                    <c:v>1057.2817897223822</c:v>
                  </c:pt>
                  <c:pt idx="8">
                    <c:v>381.28851056136739</c:v>
                  </c:pt>
                  <c:pt idx="9">
                    <c:v>635.22586567063888</c:v>
                  </c:pt>
                  <c:pt idx="10">
                    <c:v>855.18863887578937</c:v>
                  </c:pt>
                  <c:pt idx="11">
                    <c:v>734.57473734615132</c:v>
                  </c:pt>
                  <c:pt idx="12">
                    <c:v>684.57726561782351</c:v>
                  </c:pt>
                  <c:pt idx="13">
                    <c:v>694.2104239488807</c:v>
                  </c:pt>
                  <c:pt idx="14">
                    <c:v>558.10801721451935</c:v>
                  </c:pt>
                  <c:pt idx="15">
                    <c:v>299.93912672017348</c:v>
                  </c:pt>
                  <c:pt idx="16">
                    <c:v>434.46078278660559</c:v>
                  </c:pt>
                  <c:pt idx="17">
                    <c:v>330.99076470979963</c:v>
                  </c:pt>
                  <c:pt idx="18">
                    <c:v>378.48338305888029</c:v>
                  </c:pt>
                  <c:pt idx="19">
                    <c:v>636.32142307511742</c:v>
                  </c:pt>
                  <c:pt idx="20">
                    <c:v>512.80635632795804</c:v>
                  </c:pt>
                  <c:pt idx="21">
                    <c:v>656.38038777564736</c:v>
                  </c:pt>
                  <c:pt idx="22">
                    <c:v>58.605047561847698</c:v>
                  </c:pt>
                  <c:pt idx="23">
                    <c:v>96.419013401694968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numRef>
              <c:f>'YE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'YE harvest'!$Y$278:$Y$301</c:f>
              <c:numCache>
                <c:formatCode>_(* #,##0_);_(* \(#,##0\);_(* "-"??_);_(@_)</c:formatCode>
                <c:ptCount val="24"/>
                <c:pt idx="0">
                  <c:v>1223.8929706589613</c:v>
                </c:pt>
                <c:pt idx="1">
                  <c:v>1232.3572886370146</c:v>
                </c:pt>
                <c:pt idx="2">
                  <c:v>1986.4636994332145</c:v>
                </c:pt>
                <c:pt idx="3">
                  <c:v>1548.6288232976442</c:v>
                </c:pt>
                <c:pt idx="4">
                  <c:v>925.42055326575803</c:v>
                </c:pt>
                <c:pt idx="5">
                  <c:v>1214.2280504293637</c:v>
                </c:pt>
                <c:pt idx="6">
                  <c:v>1275.5342998595336</c:v>
                </c:pt>
                <c:pt idx="7">
                  <c:v>1544.473452688582</c:v>
                </c:pt>
                <c:pt idx="8">
                  <c:v>2006.5489857885264</c:v>
                </c:pt>
                <c:pt idx="9">
                  <c:v>2237.0348480921975</c:v>
                </c:pt>
                <c:pt idx="10">
                  <c:v>2668.2194903680274</c:v>
                </c:pt>
                <c:pt idx="11">
                  <c:v>2160.0104384189572</c:v>
                </c:pt>
                <c:pt idx="12">
                  <c:v>2523.5439290308941</c:v>
                </c:pt>
                <c:pt idx="13">
                  <c:v>2590.2563911614643</c:v>
                </c:pt>
                <c:pt idx="14">
                  <c:v>2279.4500443035918</c:v>
                </c:pt>
                <c:pt idx="15">
                  <c:v>1815.7719908065669</c:v>
                </c:pt>
                <c:pt idx="16">
                  <c:v>2013.2980849917385</c:v>
                </c:pt>
                <c:pt idx="17">
                  <c:v>2262.6733731446816</c:v>
                </c:pt>
                <c:pt idx="18">
                  <c:v>2551.1537156688955</c:v>
                </c:pt>
                <c:pt idx="19">
                  <c:v>2552.4618918452034</c:v>
                </c:pt>
                <c:pt idx="20">
                  <c:v>2615.5254131869192</c:v>
                </c:pt>
                <c:pt idx="21">
                  <c:v>2865.0364244024122</c:v>
                </c:pt>
                <c:pt idx="22">
                  <c:v>73.381648414501143</c:v>
                </c:pt>
                <c:pt idx="23">
                  <c:v>98.36297595929662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1-47EB-B4B4-13F19725A064}"/>
            </c:ext>
          </c:extLst>
        </c:ser>
        <c:ser>
          <c:idx val="1"/>
          <c:order val="1"/>
          <c:tx>
            <c:v>CSEO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harvest'!$AB$228:$AB$251</c:f>
                <c:numCache>
                  <c:formatCode>General</c:formatCode>
                  <c:ptCount val="24"/>
                  <c:pt idx="0">
                    <c:v>1509.9643895572431</c:v>
                  </c:pt>
                  <c:pt idx="1">
                    <c:v>1783.4644686002716</c:v>
                  </c:pt>
                  <c:pt idx="2">
                    <c:v>3403.4416788418184</c:v>
                  </c:pt>
                  <c:pt idx="3">
                    <c:v>3390.6067645106823</c:v>
                  </c:pt>
                  <c:pt idx="4">
                    <c:v>2704.1288229685838</c:v>
                  </c:pt>
                  <c:pt idx="5">
                    <c:v>2634.6331348162362</c:v>
                  </c:pt>
                  <c:pt idx="6">
                    <c:v>3695.9504018066759</c:v>
                  </c:pt>
                  <c:pt idx="7">
                    <c:v>4440.6222995211483</c:v>
                  </c:pt>
                  <c:pt idx="8">
                    <c:v>613.57099518667144</c:v>
                  </c:pt>
                  <c:pt idx="9">
                    <c:v>759.23404547835867</c:v>
                  </c:pt>
                  <c:pt idx="10">
                    <c:v>610.93211648948204</c:v>
                  </c:pt>
                  <c:pt idx="11">
                    <c:v>348.73392886405514</c:v>
                  </c:pt>
                  <c:pt idx="12">
                    <c:v>455.63531118558632</c:v>
                  </c:pt>
                  <c:pt idx="13">
                    <c:v>958.48919502887975</c:v>
                  </c:pt>
                  <c:pt idx="14">
                    <c:v>332.71601459913995</c:v>
                  </c:pt>
                  <c:pt idx="15">
                    <c:v>425.27193238057288</c:v>
                  </c:pt>
                  <c:pt idx="16">
                    <c:v>630.54740116920743</c:v>
                  </c:pt>
                  <c:pt idx="17">
                    <c:v>453.63202485264077</c:v>
                  </c:pt>
                  <c:pt idx="18">
                    <c:v>410.71020924762979</c:v>
                  </c:pt>
                  <c:pt idx="19">
                    <c:v>1546.358080567069</c:v>
                  </c:pt>
                  <c:pt idx="20">
                    <c:v>422.29100987272682</c:v>
                  </c:pt>
                  <c:pt idx="21">
                    <c:v>787.15611632673335</c:v>
                  </c:pt>
                  <c:pt idx="22">
                    <c:v>32.408586087241467</c:v>
                  </c:pt>
                  <c:pt idx="23">
                    <c:v>0</c:v>
                  </c:pt>
                </c:numCache>
              </c:numRef>
            </c:plus>
            <c:minus>
              <c:numRef>
                <c:f>'YE harvest'!$AB$228:$AB$251</c:f>
                <c:numCache>
                  <c:formatCode>General</c:formatCode>
                  <c:ptCount val="24"/>
                  <c:pt idx="0">
                    <c:v>1509.9643895572431</c:v>
                  </c:pt>
                  <c:pt idx="1">
                    <c:v>1783.4644686002716</c:v>
                  </c:pt>
                  <c:pt idx="2">
                    <c:v>3403.4416788418184</c:v>
                  </c:pt>
                  <c:pt idx="3">
                    <c:v>3390.6067645106823</c:v>
                  </c:pt>
                  <c:pt idx="4">
                    <c:v>2704.1288229685838</c:v>
                  </c:pt>
                  <c:pt idx="5">
                    <c:v>2634.6331348162362</c:v>
                  </c:pt>
                  <c:pt idx="6">
                    <c:v>3695.9504018066759</c:v>
                  </c:pt>
                  <c:pt idx="7">
                    <c:v>4440.6222995211483</c:v>
                  </c:pt>
                  <c:pt idx="8">
                    <c:v>613.57099518667144</c:v>
                  </c:pt>
                  <c:pt idx="9">
                    <c:v>759.23404547835867</c:v>
                  </c:pt>
                  <c:pt idx="10">
                    <c:v>610.93211648948204</c:v>
                  </c:pt>
                  <c:pt idx="11">
                    <c:v>348.73392886405514</c:v>
                  </c:pt>
                  <c:pt idx="12">
                    <c:v>455.63531118558632</c:v>
                  </c:pt>
                  <c:pt idx="13">
                    <c:v>958.48919502887975</c:v>
                  </c:pt>
                  <c:pt idx="14">
                    <c:v>332.71601459913995</c:v>
                  </c:pt>
                  <c:pt idx="15">
                    <c:v>425.27193238057288</c:v>
                  </c:pt>
                  <c:pt idx="16">
                    <c:v>630.54740116920743</c:v>
                  </c:pt>
                  <c:pt idx="17">
                    <c:v>453.63202485264077</c:v>
                  </c:pt>
                  <c:pt idx="18">
                    <c:v>410.71020924762979</c:v>
                  </c:pt>
                  <c:pt idx="19">
                    <c:v>1546.358080567069</c:v>
                  </c:pt>
                  <c:pt idx="20">
                    <c:v>422.29100987272682</c:v>
                  </c:pt>
                  <c:pt idx="21">
                    <c:v>787.15611632673335</c:v>
                  </c:pt>
                  <c:pt idx="22">
                    <c:v>32.408586087241467</c:v>
                  </c:pt>
                  <c:pt idx="23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'YE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'YE harvest'!$Y$228:$Y$251</c:f>
              <c:numCache>
                <c:formatCode>_(* #,##0_);_(* \(#,##0\);_(* "-"??_);_(@_)</c:formatCode>
                <c:ptCount val="24"/>
                <c:pt idx="0">
                  <c:v>2515.5388090049355</c:v>
                </c:pt>
                <c:pt idx="1">
                  <c:v>2944.9164004214335</c:v>
                </c:pt>
                <c:pt idx="2">
                  <c:v>5591.0830746837464</c:v>
                </c:pt>
                <c:pt idx="3">
                  <c:v>5537.4506131992603</c:v>
                </c:pt>
                <c:pt idx="4">
                  <c:v>4453.8048147299869</c:v>
                </c:pt>
                <c:pt idx="5">
                  <c:v>4369.6124006404098</c:v>
                </c:pt>
                <c:pt idx="6">
                  <c:v>6136.674712454068</c:v>
                </c:pt>
                <c:pt idx="7">
                  <c:v>7393.5234814908372</c:v>
                </c:pt>
                <c:pt idx="8">
                  <c:v>10677.583109062649</c:v>
                </c:pt>
                <c:pt idx="9">
                  <c:v>11046.580838639587</c:v>
                </c:pt>
                <c:pt idx="10">
                  <c:v>9731.8635334912942</c:v>
                </c:pt>
                <c:pt idx="11">
                  <c:v>6903.7183265325748</c:v>
                </c:pt>
                <c:pt idx="12">
                  <c:v>7814.7817334679958</c:v>
                </c:pt>
                <c:pt idx="13">
                  <c:v>5902.3193343444473</c:v>
                </c:pt>
                <c:pt idx="14">
                  <c:v>5442.0792233162138</c:v>
                </c:pt>
                <c:pt idx="15">
                  <c:v>5170.6065677676406</c:v>
                </c:pt>
                <c:pt idx="16">
                  <c:v>5466.3257496092938</c:v>
                </c:pt>
                <c:pt idx="17">
                  <c:v>6345.524816385212</c:v>
                </c:pt>
                <c:pt idx="18">
                  <c:v>6477.1697656842371</c:v>
                </c:pt>
                <c:pt idx="19">
                  <c:v>7899.5093964802527</c:v>
                </c:pt>
                <c:pt idx="20">
                  <c:v>5408.5298174190739</c:v>
                </c:pt>
                <c:pt idx="21">
                  <c:v>5829.247373041726</c:v>
                </c:pt>
                <c:pt idx="22">
                  <c:v>24.079952737653379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1-47EB-B4B4-13F19725A064}"/>
            </c:ext>
          </c:extLst>
        </c:ser>
        <c:ser>
          <c:idx val="2"/>
          <c:order val="2"/>
          <c:tx>
            <c:v>EWYKT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harvest'!$AB$253:$AB$276</c:f>
                <c:numCache>
                  <c:formatCode>General</c:formatCode>
                  <c:ptCount val="24"/>
                  <c:pt idx="0">
                    <c:v>53.876469102613733</c:v>
                  </c:pt>
                  <c:pt idx="1">
                    <c:v>11.847068962878218</c:v>
                  </c:pt>
                  <c:pt idx="2">
                    <c:v>16.74890235401568</c:v>
                  </c:pt>
                  <c:pt idx="3">
                    <c:v>16.462402484115117</c:v>
                  </c:pt>
                  <c:pt idx="4">
                    <c:v>12.237738089864363</c:v>
                  </c:pt>
                  <c:pt idx="5">
                    <c:v>41.324796005354763</c:v>
                  </c:pt>
                  <c:pt idx="6">
                    <c:v>35.675168708537335</c:v>
                  </c:pt>
                  <c:pt idx="7">
                    <c:v>29.274268379237427</c:v>
                  </c:pt>
                  <c:pt idx="8">
                    <c:v>0</c:v>
                  </c:pt>
                  <c:pt idx="9">
                    <c:v>9.0274170230745394</c:v>
                  </c:pt>
                  <c:pt idx="10">
                    <c:v>51.990799650832905</c:v>
                  </c:pt>
                  <c:pt idx="11">
                    <c:v>15.939191888279817</c:v>
                  </c:pt>
                  <c:pt idx="12">
                    <c:v>14.867552411270482</c:v>
                  </c:pt>
                  <c:pt idx="13">
                    <c:v>33.518352831395369</c:v>
                  </c:pt>
                  <c:pt idx="14">
                    <c:v>17.323673572250819</c:v>
                  </c:pt>
                  <c:pt idx="15">
                    <c:v>21.758010716292713</c:v>
                  </c:pt>
                  <c:pt idx="16">
                    <c:v>37.005479996128365</c:v>
                  </c:pt>
                  <c:pt idx="17">
                    <c:v>0</c:v>
                  </c:pt>
                  <c:pt idx="18">
                    <c:v>107.39326064969768</c:v>
                  </c:pt>
                  <c:pt idx="19">
                    <c:v>0</c:v>
                  </c:pt>
                  <c:pt idx="20">
                    <c:v>47.138705724820504</c:v>
                  </c:pt>
                  <c:pt idx="21">
                    <c:v>14.652489037197508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plus>
            <c:minus>
              <c:numRef>
                <c:f>'YE harvest'!$AB$253:$AB$276</c:f>
                <c:numCache>
                  <c:formatCode>General</c:formatCode>
                  <c:ptCount val="24"/>
                  <c:pt idx="0">
                    <c:v>53.876469102613733</c:v>
                  </c:pt>
                  <c:pt idx="1">
                    <c:v>11.847068962878218</c:v>
                  </c:pt>
                  <c:pt idx="2">
                    <c:v>16.74890235401568</c:v>
                  </c:pt>
                  <c:pt idx="3">
                    <c:v>16.462402484115117</c:v>
                  </c:pt>
                  <c:pt idx="4">
                    <c:v>12.237738089864363</c:v>
                  </c:pt>
                  <c:pt idx="5">
                    <c:v>41.324796005354763</c:v>
                  </c:pt>
                  <c:pt idx="6">
                    <c:v>35.675168708537335</c:v>
                  </c:pt>
                  <c:pt idx="7">
                    <c:v>29.274268379237427</c:v>
                  </c:pt>
                  <c:pt idx="8">
                    <c:v>0</c:v>
                  </c:pt>
                  <c:pt idx="9">
                    <c:v>9.0274170230745394</c:v>
                  </c:pt>
                  <c:pt idx="10">
                    <c:v>51.990799650832905</c:v>
                  </c:pt>
                  <c:pt idx="11">
                    <c:v>15.939191888279817</c:v>
                  </c:pt>
                  <c:pt idx="12">
                    <c:v>14.867552411270482</c:v>
                  </c:pt>
                  <c:pt idx="13">
                    <c:v>33.518352831395369</c:v>
                  </c:pt>
                  <c:pt idx="14">
                    <c:v>17.323673572250819</c:v>
                  </c:pt>
                  <c:pt idx="15">
                    <c:v>21.758010716292713</c:v>
                  </c:pt>
                  <c:pt idx="16">
                    <c:v>37.005479996128365</c:v>
                  </c:pt>
                  <c:pt idx="17">
                    <c:v>0</c:v>
                  </c:pt>
                  <c:pt idx="18">
                    <c:v>107.39326064969768</c:v>
                  </c:pt>
                  <c:pt idx="19">
                    <c:v>0</c:v>
                  </c:pt>
                  <c:pt idx="20">
                    <c:v>47.138705724820504</c:v>
                  </c:pt>
                  <c:pt idx="21">
                    <c:v>14.652489037197508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numRef>
              <c:f>'YE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'YE harvest'!$Y$253:$Y$276</c:f>
              <c:numCache>
                <c:formatCode>_(* #,##0_);_(* \(#,##0\);_(* "-"??_);_(@_)</c:formatCode>
                <c:ptCount val="24"/>
                <c:pt idx="0">
                  <c:v>121.34687293521577</c:v>
                </c:pt>
                <c:pt idx="1">
                  <c:v>24.875346804447553</c:v>
                </c:pt>
                <c:pt idx="2">
                  <c:v>31.995229369786756</c:v>
                </c:pt>
                <c:pt idx="3">
                  <c:v>33.28990312474027</c:v>
                </c:pt>
                <c:pt idx="4">
                  <c:v>23.10904746988788</c:v>
                </c:pt>
                <c:pt idx="5">
                  <c:v>91.390371521632247</c:v>
                </c:pt>
                <c:pt idx="6">
                  <c:v>78.430330777556222</c:v>
                </c:pt>
                <c:pt idx="7">
                  <c:v>61.112173226217351</c:v>
                </c:pt>
                <c:pt idx="8">
                  <c:v>167</c:v>
                </c:pt>
                <c:pt idx="9">
                  <c:v>111.80061611803444</c:v>
                </c:pt>
                <c:pt idx="10">
                  <c:v>194.33303416475843</c:v>
                </c:pt>
                <c:pt idx="11">
                  <c:v>89.153940965522821</c:v>
                </c:pt>
                <c:pt idx="12">
                  <c:v>128.46983294728582</c:v>
                </c:pt>
                <c:pt idx="13">
                  <c:v>137.02240360370305</c:v>
                </c:pt>
                <c:pt idx="14">
                  <c:v>158.89209492578712</c:v>
                </c:pt>
                <c:pt idx="15">
                  <c:v>65.047638196801842</c:v>
                </c:pt>
                <c:pt idx="16">
                  <c:v>140.65357318107527</c:v>
                </c:pt>
                <c:pt idx="17">
                  <c:v>215</c:v>
                </c:pt>
                <c:pt idx="18">
                  <c:v>393.04502865686516</c:v>
                </c:pt>
                <c:pt idx="19">
                  <c:v>230</c:v>
                </c:pt>
                <c:pt idx="20">
                  <c:v>326.56336494381389</c:v>
                </c:pt>
                <c:pt idx="21">
                  <c:v>160.62802312037775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D1-47EB-B4B4-13F19725A064}"/>
            </c:ext>
          </c:extLst>
        </c:ser>
        <c:ser>
          <c:idx val="3"/>
          <c:order val="3"/>
          <c:tx>
            <c:v>NSEO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harvest'!$AB$303:$AB$326</c:f>
                <c:numCache>
                  <c:formatCode>General</c:formatCode>
                  <c:ptCount val="24"/>
                  <c:pt idx="0">
                    <c:v>210.93956950253764</c:v>
                  </c:pt>
                  <c:pt idx="1">
                    <c:v>208.9716512310043</c:v>
                  </c:pt>
                  <c:pt idx="2">
                    <c:v>548.73787255877141</c:v>
                  </c:pt>
                  <c:pt idx="3">
                    <c:v>558.44837993275326</c:v>
                  </c:pt>
                  <c:pt idx="4">
                    <c:v>418.79912160628089</c:v>
                  </c:pt>
                  <c:pt idx="5">
                    <c:v>598.71260563713156</c:v>
                  </c:pt>
                  <c:pt idx="6">
                    <c:v>602.34274656386458</c:v>
                  </c:pt>
                  <c:pt idx="7">
                    <c:v>552.69490573039354</c:v>
                  </c:pt>
                  <c:pt idx="8">
                    <c:v>677.94219615937754</c:v>
                  </c:pt>
                  <c:pt idx="9">
                    <c:v>1056.4682041451133</c:v>
                  </c:pt>
                  <c:pt idx="10">
                    <c:v>578.20471071196232</c:v>
                  </c:pt>
                  <c:pt idx="11">
                    <c:v>381.13210889618335</c:v>
                  </c:pt>
                  <c:pt idx="12">
                    <c:v>694.35686572689428</c:v>
                  </c:pt>
                  <c:pt idx="13">
                    <c:v>384.29075948709641</c:v>
                  </c:pt>
                  <c:pt idx="14">
                    <c:v>454.03521242423773</c:v>
                  </c:pt>
                  <c:pt idx="15">
                    <c:v>388.90426943608003</c:v>
                  </c:pt>
                  <c:pt idx="16">
                    <c:v>498.5245506480905</c:v>
                  </c:pt>
                  <c:pt idx="17">
                    <c:v>707.03830210906494</c:v>
                  </c:pt>
                  <c:pt idx="18">
                    <c:v>145.07551731288626</c:v>
                  </c:pt>
                  <c:pt idx="19">
                    <c:v>476.65628750755712</c:v>
                  </c:pt>
                  <c:pt idx="20">
                    <c:v>589.5996294264985</c:v>
                  </c:pt>
                  <c:pt idx="21">
                    <c:v>280.78757194782753</c:v>
                  </c:pt>
                  <c:pt idx="22">
                    <c:v>6.2653149175601595</c:v>
                  </c:pt>
                  <c:pt idx="23">
                    <c:v>0</c:v>
                  </c:pt>
                </c:numCache>
              </c:numRef>
            </c:plus>
            <c:minus>
              <c:numRef>
                <c:f>'YE harvest'!$AB$303:$AB$326</c:f>
                <c:numCache>
                  <c:formatCode>General</c:formatCode>
                  <c:ptCount val="24"/>
                  <c:pt idx="0">
                    <c:v>210.93956950253764</c:v>
                  </c:pt>
                  <c:pt idx="1">
                    <c:v>208.9716512310043</c:v>
                  </c:pt>
                  <c:pt idx="2">
                    <c:v>548.73787255877141</c:v>
                  </c:pt>
                  <c:pt idx="3">
                    <c:v>558.44837993275326</c:v>
                  </c:pt>
                  <c:pt idx="4">
                    <c:v>418.79912160628089</c:v>
                  </c:pt>
                  <c:pt idx="5">
                    <c:v>598.71260563713156</c:v>
                  </c:pt>
                  <c:pt idx="6">
                    <c:v>602.34274656386458</c:v>
                  </c:pt>
                  <c:pt idx="7">
                    <c:v>552.69490573039354</c:v>
                  </c:pt>
                  <c:pt idx="8">
                    <c:v>677.94219615937754</c:v>
                  </c:pt>
                  <c:pt idx="9">
                    <c:v>1056.4682041451133</c:v>
                  </c:pt>
                  <c:pt idx="10">
                    <c:v>578.20471071196232</c:v>
                  </c:pt>
                  <c:pt idx="11">
                    <c:v>381.13210889618335</c:v>
                  </c:pt>
                  <c:pt idx="12">
                    <c:v>694.35686572689428</c:v>
                  </c:pt>
                  <c:pt idx="13">
                    <c:v>384.29075948709641</c:v>
                  </c:pt>
                  <c:pt idx="14">
                    <c:v>454.03521242423773</c:v>
                  </c:pt>
                  <c:pt idx="15">
                    <c:v>388.90426943608003</c:v>
                  </c:pt>
                  <c:pt idx="16">
                    <c:v>498.5245506480905</c:v>
                  </c:pt>
                  <c:pt idx="17">
                    <c:v>707.03830210906494</c:v>
                  </c:pt>
                  <c:pt idx="18">
                    <c:v>145.07551731288626</c:v>
                  </c:pt>
                  <c:pt idx="19">
                    <c:v>476.65628750755712</c:v>
                  </c:pt>
                  <c:pt idx="20">
                    <c:v>589.5996294264985</c:v>
                  </c:pt>
                  <c:pt idx="21">
                    <c:v>280.78757194782753</c:v>
                  </c:pt>
                  <c:pt idx="22">
                    <c:v>6.2653149175601595</c:v>
                  </c:pt>
                  <c:pt idx="23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cat>
            <c:numRef>
              <c:f>'YE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'YE harvest'!$Y$303:$Y$326</c:f>
              <c:numCache>
                <c:formatCode>_(* #,##0_);_(* \(#,##0\);_(* "-"??_);_(@_)</c:formatCode>
                <c:ptCount val="24"/>
                <c:pt idx="0">
                  <c:v>342.99732445552303</c:v>
                </c:pt>
                <c:pt idx="1">
                  <c:v>366.34864072453263</c:v>
                </c:pt>
                <c:pt idx="2">
                  <c:v>918.35018726442809</c:v>
                </c:pt>
                <c:pt idx="3">
                  <c:v>992.22681808320544</c:v>
                </c:pt>
                <c:pt idx="4">
                  <c:v>795.21101488297086</c:v>
                </c:pt>
                <c:pt idx="5">
                  <c:v>1041.048890528622</c:v>
                </c:pt>
                <c:pt idx="6">
                  <c:v>1141.4979449082671</c:v>
                </c:pt>
                <c:pt idx="7">
                  <c:v>989.64744021132879</c:v>
                </c:pt>
                <c:pt idx="8">
                  <c:v>1569.972512726144</c:v>
                </c:pt>
                <c:pt idx="9">
                  <c:v>2015.5440678710888</c:v>
                </c:pt>
                <c:pt idx="10">
                  <c:v>1535.2130694031912</c:v>
                </c:pt>
                <c:pt idx="11">
                  <c:v>924.9325461128285</c:v>
                </c:pt>
                <c:pt idx="12">
                  <c:v>1401.5633682971802</c:v>
                </c:pt>
                <c:pt idx="13">
                  <c:v>1278.5468817012531</c:v>
                </c:pt>
                <c:pt idx="14">
                  <c:v>1289.3926530526314</c:v>
                </c:pt>
                <c:pt idx="15">
                  <c:v>1178.8122609784828</c:v>
                </c:pt>
                <c:pt idx="16">
                  <c:v>1507.8951098995144</c:v>
                </c:pt>
                <c:pt idx="17">
                  <c:v>1721.3862615861776</c:v>
                </c:pt>
                <c:pt idx="18">
                  <c:v>879.94129841344034</c:v>
                </c:pt>
                <c:pt idx="19">
                  <c:v>1465.4579108223247</c:v>
                </c:pt>
                <c:pt idx="20">
                  <c:v>1656.6633007639875</c:v>
                </c:pt>
                <c:pt idx="21">
                  <c:v>1150.6473248087632</c:v>
                </c:pt>
                <c:pt idx="22">
                  <c:v>5.9339781522880095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D1-47EB-B4B4-13F19725A064}"/>
            </c:ext>
          </c:extLst>
        </c:ser>
        <c:ser>
          <c:idx val="4"/>
          <c:order val="4"/>
          <c:tx>
            <c:v>SSEI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harvest'!$AB$328:$AB$351</c:f>
                <c:numCache>
                  <c:formatCode>General</c:formatCode>
                  <c:ptCount val="24"/>
                  <c:pt idx="0">
                    <c:v>932.58870904445484</c:v>
                  </c:pt>
                  <c:pt idx="1">
                    <c:v>1082.3218066360694</c:v>
                  </c:pt>
                  <c:pt idx="2">
                    <c:v>1791.3371590339132</c:v>
                  </c:pt>
                  <c:pt idx="3">
                    <c:v>1381.8215864815909</c:v>
                  </c:pt>
                  <c:pt idx="4">
                    <c:v>1185.0398128747054</c:v>
                  </c:pt>
                  <c:pt idx="5">
                    <c:v>1659.3559676577754</c:v>
                  </c:pt>
                  <c:pt idx="6">
                    <c:v>1982.3953928811034</c:v>
                  </c:pt>
                  <c:pt idx="7">
                    <c:v>2314.6748110941676</c:v>
                  </c:pt>
                  <c:pt idx="8">
                    <c:v>2234.8595456771882</c:v>
                  </c:pt>
                  <c:pt idx="9">
                    <c:v>2425.5679538541053</c:v>
                  </c:pt>
                  <c:pt idx="10">
                    <c:v>1985.9796282914842</c:v>
                  </c:pt>
                  <c:pt idx="11">
                    <c:v>1602.2755668932055</c:v>
                  </c:pt>
                  <c:pt idx="12">
                    <c:v>2864.007673399894</c:v>
                  </c:pt>
                  <c:pt idx="13">
                    <c:v>2650.8731029090336</c:v>
                  </c:pt>
                  <c:pt idx="14">
                    <c:v>2628.0432527923663</c:v>
                  </c:pt>
                  <c:pt idx="15">
                    <c:v>2347.1863494376375</c:v>
                  </c:pt>
                  <c:pt idx="16">
                    <c:v>1555.2381143752964</c:v>
                  </c:pt>
                  <c:pt idx="17">
                    <c:v>1590.3209874521851</c:v>
                  </c:pt>
                  <c:pt idx="18">
                    <c:v>1802.9686958754237</c:v>
                  </c:pt>
                  <c:pt idx="19">
                    <c:v>2185.0446693045747</c:v>
                  </c:pt>
                  <c:pt idx="20">
                    <c:v>1905.6328873061366</c:v>
                  </c:pt>
                  <c:pt idx="21">
                    <c:v>4389.0564221992254</c:v>
                  </c:pt>
                  <c:pt idx="22">
                    <c:v>127.86653959911831</c:v>
                  </c:pt>
                  <c:pt idx="23">
                    <c:v>117.34528979247908</c:v>
                  </c:pt>
                </c:numCache>
              </c:numRef>
            </c:plus>
            <c:minus>
              <c:numRef>
                <c:f>'YE harvest'!$AB$328:$AB$351</c:f>
                <c:numCache>
                  <c:formatCode>General</c:formatCode>
                  <c:ptCount val="24"/>
                  <c:pt idx="0">
                    <c:v>932.58870904445484</c:v>
                  </c:pt>
                  <c:pt idx="1">
                    <c:v>1082.3218066360694</c:v>
                  </c:pt>
                  <c:pt idx="2">
                    <c:v>1791.3371590339132</c:v>
                  </c:pt>
                  <c:pt idx="3">
                    <c:v>1381.8215864815909</c:v>
                  </c:pt>
                  <c:pt idx="4">
                    <c:v>1185.0398128747054</c:v>
                  </c:pt>
                  <c:pt idx="5">
                    <c:v>1659.3559676577754</c:v>
                  </c:pt>
                  <c:pt idx="6">
                    <c:v>1982.3953928811034</c:v>
                  </c:pt>
                  <c:pt idx="7">
                    <c:v>2314.6748110941676</c:v>
                  </c:pt>
                  <c:pt idx="8">
                    <c:v>2234.8595456771882</c:v>
                  </c:pt>
                  <c:pt idx="9">
                    <c:v>2425.5679538541053</c:v>
                  </c:pt>
                  <c:pt idx="10">
                    <c:v>1985.9796282914842</c:v>
                  </c:pt>
                  <c:pt idx="11">
                    <c:v>1602.2755668932055</c:v>
                  </c:pt>
                  <c:pt idx="12">
                    <c:v>2864.007673399894</c:v>
                  </c:pt>
                  <c:pt idx="13">
                    <c:v>2650.8731029090336</c:v>
                  </c:pt>
                  <c:pt idx="14">
                    <c:v>2628.0432527923663</c:v>
                  </c:pt>
                  <c:pt idx="15">
                    <c:v>2347.1863494376375</c:v>
                  </c:pt>
                  <c:pt idx="16">
                    <c:v>1555.2381143752964</c:v>
                  </c:pt>
                  <c:pt idx="17">
                    <c:v>1590.3209874521851</c:v>
                  </c:pt>
                  <c:pt idx="18">
                    <c:v>1802.9686958754237</c:v>
                  </c:pt>
                  <c:pt idx="19">
                    <c:v>2185.0446693045747</c:v>
                  </c:pt>
                  <c:pt idx="20">
                    <c:v>1905.6328873061366</c:v>
                  </c:pt>
                  <c:pt idx="21">
                    <c:v>4389.0564221992254</c:v>
                  </c:pt>
                  <c:pt idx="22">
                    <c:v>127.86653959911831</c:v>
                  </c:pt>
                  <c:pt idx="23">
                    <c:v>117.34528979247908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5"/>
                </a:solidFill>
                <a:round/>
              </a:ln>
              <a:effectLst/>
            </c:spPr>
          </c:errBars>
          <c:cat>
            <c:numRef>
              <c:f>'YE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'YE harvest'!$Y$328:$Y$351</c:f>
              <c:numCache>
                <c:formatCode>_(* #,##0_);_(* \(#,##0\);_(* "-"??_);_(@_)</c:formatCode>
                <c:ptCount val="24"/>
                <c:pt idx="0">
                  <c:v>2561.3131240817747</c:v>
                </c:pt>
                <c:pt idx="1">
                  <c:v>2863.8109818297603</c:v>
                </c:pt>
                <c:pt idx="2">
                  <c:v>4954.8252235415457</c:v>
                </c:pt>
                <c:pt idx="3">
                  <c:v>3723.900350612822</c:v>
                </c:pt>
                <c:pt idx="4">
                  <c:v>3176.2891099504222</c:v>
                </c:pt>
                <c:pt idx="5">
                  <c:v>4431.5043040824949</c:v>
                </c:pt>
                <c:pt idx="6">
                  <c:v>5548.3638703764154</c:v>
                </c:pt>
                <c:pt idx="7">
                  <c:v>6544.0938598628691</c:v>
                </c:pt>
                <c:pt idx="8">
                  <c:v>9387.9338506472886</c:v>
                </c:pt>
                <c:pt idx="9">
                  <c:v>9282.8104111834873</c:v>
                </c:pt>
                <c:pt idx="10">
                  <c:v>8134.3774814509916</c:v>
                </c:pt>
                <c:pt idx="11">
                  <c:v>6568.5722189691242</c:v>
                </c:pt>
                <c:pt idx="12">
                  <c:v>9807.9321537632131</c:v>
                </c:pt>
                <c:pt idx="13">
                  <c:v>9576.4097096110927</c:v>
                </c:pt>
                <c:pt idx="14">
                  <c:v>11233.063873835945</c:v>
                </c:pt>
                <c:pt idx="15">
                  <c:v>9576.9507179541833</c:v>
                </c:pt>
                <c:pt idx="16">
                  <c:v>8484.6414185115264</c:v>
                </c:pt>
                <c:pt idx="17">
                  <c:v>9919.0883221388831</c:v>
                </c:pt>
                <c:pt idx="18">
                  <c:v>10566.120452679812</c:v>
                </c:pt>
                <c:pt idx="19">
                  <c:v>11051.378622936589</c:v>
                </c:pt>
                <c:pt idx="20">
                  <c:v>10992.016273543904</c:v>
                </c:pt>
                <c:pt idx="21">
                  <c:v>16546.1076110555</c:v>
                </c:pt>
                <c:pt idx="22">
                  <c:v>164.20637897805707</c:v>
                </c:pt>
                <c:pt idx="23">
                  <c:v>147.86636497865038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D1-47EB-B4B4-13F19725A064}"/>
            </c:ext>
          </c:extLst>
        </c:ser>
        <c:ser>
          <c:idx val="5"/>
          <c:order val="5"/>
          <c:tx>
            <c:v>SSEO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'YE harvest'!$AB$353:$AB$376</c:f>
                <c:numCache>
                  <c:formatCode>General</c:formatCode>
                  <c:ptCount val="24"/>
                  <c:pt idx="0">
                    <c:v>414.39289027410456</c:v>
                  </c:pt>
                  <c:pt idx="1">
                    <c:v>705.19839769400539</c:v>
                  </c:pt>
                  <c:pt idx="2">
                    <c:v>1093.9171494307379</c:v>
                  </c:pt>
                  <c:pt idx="3">
                    <c:v>894.12120756176955</c:v>
                  </c:pt>
                  <c:pt idx="4">
                    <c:v>991.84949030726818</c:v>
                  </c:pt>
                  <c:pt idx="5">
                    <c:v>964.74240195021923</c:v>
                  </c:pt>
                  <c:pt idx="6">
                    <c:v>1398.2102383450638</c:v>
                  </c:pt>
                  <c:pt idx="7">
                    <c:v>1721.1078758409471</c:v>
                  </c:pt>
                  <c:pt idx="8">
                    <c:v>904.63514664352408</c:v>
                  </c:pt>
                  <c:pt idx="9">
                    <c:v>629.58474223671965</c:v>
                  </c:pt>
                  <c:pt idx="10">
                    <c:v>769.05978051523948</c:v>
                  </c:pt>
                  <c:pt idx="11">
                    <c:v>397.4346601125651</c:v>
                  </c:pt>
                  <c:pt idx="12">
                    <c:v>765.30818912760014</c:v>
                  </c:pt>
                  <c:pt idx="13">
                    <c:v>470.42659933485373</c:v>
                  </c:pt>
                  <c:pt idx="14">
                    <c:v>549.55849198222438</c:v>
                  </c:pt>
                  <c:pt idx="15">
                    <c:v>591.00027947254841</c:v>
                  </c:pt>
                  <c:pt idx="16">
                    <c:v>514.02533645172525</c:v>
                  </c:pt>
                  <c:pt idx="17">
                    <c:v>950.84262892188758</c:v>
                  </c:pt>
                  <c:pt idx="18">
                    <c:v>1202.3434182424458</c:v>
                  </c:pt>
                  <c:pt idx="19">
                    <c:v>667.43061073325521</c:v>
                  </c:pt>
                  <c:pt idx="20">
                    <c:v>1117.5725797456384</c:v>
                  </c:pt>
                  <c:pt idx="21">
                    <c:v>2630.9813643911584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plus>
            <c:minus>
              <c:numRef>
                <c:f>'YE harvest'!$AB$353:$AB$376</c:f>
                <c:numCache>
                  <c:formatCode>General</c:formatCode>
                  <c:ptCount val="24"/>
                  <c:pt idx="0">
                    <c:v>414.39289027410456</c:v>
                  </c:pt>
                  <c:pt idx="1">
                    <c:v>705.19839769400539</c:v>
                  </c:pt>
                  <c:pt idx="2">
                    <c:v>1093.9171494307379</c:v>
                  </c:pt>
                  <c:pt idx="3">
                    <c:v>894.12120756176955</c:v>
                  </c:pt>
                  <c:pt idx="4">
                    <c:v>991.84949030726818</c:v>
                  </c:pt>
                  <c:pt idx="5">
                    <c:v>964.74240195021923</c:v>
                  </c:pt>
                  <c:pt idx="6">
                    <c:v>1398.2102383450638</c:v>
                  </c:pt>
                  <c:pt idx="7">
                    <c:v>1721.1078758409471</c:v>
                  </c:pt>
                  <c:pt idx="8">
                    <c:v>904.63514664352408</c:v>
                  </c:pt>
                  <c:pt idx="9">
                    <c:v>629.58474223671965</c:v>
                  </c:pt>
                  <c:pt idx="10">
                    <c:v>769.05978051523948</c:v>
                  </c:pt>
                  <c:pt idx="11">
                    <c:v>397.4346601125651</c:v>
                  </c:pt>
                  <c:pt idx="12">
                    <c:v>765.30818912760014</c:v>
                  </c:pt>
                  <c:pt idx="13">
                    <c:v>470.42659933485373</c:v>
                  </c:pt>
                  <c:pt idx="14">
                    <c:v>549.55849198222438</c:v>
                  </c:pt>
                  <c:pt idx="15">
                    <c:v>591.00027947254841</c:v>
                  </c:pt>
                  <c:pt idx="16">
                    <c:v>514.02533645172525</c:v>
                  </c:pt>
                  <c:pt idx="17">
                    <c:v>950.84262892188758</c:v>
                  </c:pt>
                  <c:pt idx="18">
                    <c:v>1202.3434182424458</c:v>
                  </c:pt>
                  <c:pt idx="19">
                    <c:v>667.43061073325521</c:v>
                  </c:pt>
                  <c:pt idx="20">
                    <c:v>1117.5725797456384</c:v>
                  </c:pt>
                  <c:pt idx="21">
                    <c:v>2630.9813643911584</c:v>
                  </c:pt>
                  <c:pt idx="22">
                    <c:v>0</c:v>
                  </c:pt>
                  <c:pt idx="23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numRef>
              <c:f>'YE harvest'!$B$3:$B$26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'YE harvest'!$Y$353:$Y$376</c:f>
              <c:numCache>
                <c:formatCode>_(* #,##0_);_(* \(#,##0\);_(* "-"??_);_(@_)</c:formatCode>
                <c:ptCount val="24"/>
                <c:pt idx="0">
                  <c:v>842.02559660895747</c:v>
                </c:pt>
                <c:pt idx="1">
                  <c:v>1417.4985746823245</c:v>
                </c:pt>
                <c:pt idx="2">
                  <c:v>2192.5427816172232</c:v>
                </c:pt>
                <c:pt idx="3">
                  <c:v>1794.8620336986423</c:v>
                </c:pt>
                <c:pt idx="4">
                  <c:v>2015.3003961255322</c:v>
                </c:pt>
                <c:pt idx="5">
                  <c:v>1951.7580529069596</c:v>
                </c:pt>
                <c:pt idx="6">
                  <c:v>2829.9481871126836</c:v>
                </c:pt>
                <c:pt idx="7">
                  <c:v>3488.489862243865</c:v>
                </c:pt>
                <c:pt idx="8">
                  <c:v>5454.9226157276134</c:v>
                </c:pt>
                <c:pt idx="9">
                  <c:v>4433.0659266974953</c:v>
                </c:pt>
                <c:pt idx="10">
                  <c:v>4501.5139761225073</c:v>
                </c:pt>
                <c:pt idx="11">
                  <c:v>2352.5815805269799</c:v>
                </c:pt>
                <c:pt idx="12">
                  <c:v>3507.1100554541044</c:v>
                </c:pt>
                <c:pt idx="13">
                  <c:v>2091.2986767456268</c:v>
                </c:pt>
                <c:pt idx="14">
                  <c:v>2750.5950075531855</c:v>
                </c:pt>
                <c:pt idx="15">
                  <c:v>2866.9837745270725</c:v>
                </c:pt>
                <c:pt idx="16">
                  <c:v>2149.8134685894556</c:v>
                </c:pt>
                <c:pt idx="17">
                  <c:v>2859.3397573578113</c:v>
                </c:pt>
                <c:pt idx="18">
                  <c:v>3005.0123283476919</c:v>
                </c:pt>
                <c:pt idx="19">
                  <c:v>2686.076787727111</c:v>
                </c:pt>
                <c:pt idx="20">
                  <c:v>3734.2355461517818</c:v>
                </c:pt>
                <c:pt idx="21">
                  <c:v>5734.8680560534049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D1-47EB-B4B4-13F19725A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YELLOWEYE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'RF harv Kodiak'!$B$2</c:f>
              <c:strCache>
                <c:ptCount val="1"/>
                <c:pt idx="0">
                  <c:v>AFOGNAK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'RF harv Kodiak'!$A$4:$A$27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Kodiak'!$B$4:$B$27</c:f>
              <c:numCache>
                <c:formatCode>_(* #,##0_);_(* \(#,##0\);_(* "-"??_);_(@_)</c:formatCode>
                <c:ptCount val="24"/>
                <c:pt idx="0">
                  <c:v>529.5015960846614</c:v>
                </c:pt>
                <c:pt idx="1">
                  <c:v>644.05722985297768</c:v>
                </c:pt>
                <c:pt idx="2">
                  <c:v>1797.2506097873604</c:v>
                </c:pt>
                <c:pt idx="3">
                  <c:v>680.96960073387947</c:v>
                </c:pt>
                <c:pt idx="4">
                  <c:v>439.12992944521204</c:v>
                </c:pt>
                <c:pt idx="5">
                  <c:v>721.70049274039195</c:v>
                </c:pt>
                <c:pt idx="6">
                  <c:v>595.68929559524418</c:v>
                </c:pt>
                <c:pt idx="7">
                  <c:v>1762.8839196568656</c:v>
                </c:pt>
                <c:pt idx="8">
                  <c:v>1177.3773470632495</c:v>
                </c:pt>
                <c:pt idx="9">
                  <c:v>3166.8268535063407</c:v>
                </c:pt>
                <c:pt idx="10">
                  <c:v>3398.4838017933798</c:v>
                </c:pt>
                <c:pt idx="11">
                  <c:v>4789.6983318908196</c:v>
                </c:pt>
                <c:pt idx="12">
                  <c:v>3859.2520176170519</c:v>
                </c:pt>
                <c:pt idx="13">
                  <c:v>3904.7408195848857</c:v>
                </c:pt>
                <c:pt idx="14">
                  <c:v>4135.7541899441339</c:v>
                </c:pt>
                <c:pt idx="15">
                  <c:v>3218.128956927867</c:v>
                </c:pt>
                <c:pt idx="16">
                  <c:v>4077.1607301869994</c:v>
                </c:pt>
                <c:pt idx="17">
                  <c:v>5655.4958972529439</c:v>
                </c:pt>
                <c:pt idx="18">
                  <c:v>5754.5865442204031</c:v>
                </c:pt>
                <c:pt idx="19">
                  <c:v>5293.7475824448302</c:v>
                </c:pt>
                <c:pt idx="20">
                  <c:v>7190.4016172506736</c:v>
                </c:pt>
                <c:pt idx="21">
                  <c:v>11217.376425855515</c:v>
                </c:pt>
                <c:pt idx="22">
                  <c:v>7587.4199820520489</c:v>
                </c:pt>
                <c:pt idx="23">
                  <c:v>10413.682714889619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4-4FB0-9F83-962EA8AA6553}"/>
            </c:ext>
          </c:extLst>
        </c:ser>
        <c:ser>
          <c:idx val="1"/>
          <c:order val="1"/>
          <c:tx>
            <c:strRef>
              <c:f>'RF harv Kodiak'!$D$2</c:f>
              <c:strCache>
                <c:ptCount val="1"/>
                <c:pt idx="0">
                  <c:v>EASTSIDE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'RF harv Kodiak'!$A$4:$A$27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Kodiak'!$D$4:$D$27</c:f>
              <c:numCache>
                <c:formatCode>_(* #,##0_);_(* \(#,##0\);_(* "-"??_);_(@_)</c:formatCode>
                <c:ptCount val="24"/>
                <c:pt idx="0">
                  <c:v>179.10831553366631</c:v>
                </c:pt>
                <c:pt idx="1">
                  <c:v>137.68705174501304</c:v>
                </c:pt>
                <c:pt idx="2">
                  <c:v>481.33572634826874</c:v>
                </c:pt>
                <c:pt idx="3">
                  <c:v>339.09703652904039</c:v>
                </c:pt>
                <c:pt idx="4">
                  <c:v>362.99313641867076</c:v>
                </c:pt>
                <c:pt idx="5">
                  <c:v>1151.5644327764728</c:v>
                </c:pt>
                <c:pt idx="6">
                  <c:v>830.67394854429358</c:v>
                </c:pt>
                <c:pt idx="7">
                  <c:v>1413.283622043853</c:v>
                </c:pt>
                <c:pt idx="8">
                  <c:v>1725.0708301276015</c:v>
                </c:pt>
                <c:pt idx="9">
                  <c:v>3961.0630340858711</c:v>
                </c:pt>
                <c:pt idx="10">
                  <c:v>2629.7088973778937</c:v>
                </c:pt>
                <c:pt idx="11">
                  <c:v>2612.6402545995866</c:v>
                </c:pt>
                <c:pt idx="12">
                  <c:v>2907.3588199050278</c:v>
                </c:pt>
                <c:pt idx="13">
                  <c:v>1979.4612042209808</c:v>
                </c:pt>
                <c:pt idx="14">
                  <c:v>3709.3989021043003</c:v>
                </c:pt>
                <c:pt idx="15">
                  <c:v>2558.7798861480078</c:v>
                </c:pt>
                <c:pt idx="16">
                  <c:v>3801.8794981842188</c:v>
                </c:pt>
                <c:pt idx="17">
                  <c:v>3719.19872110182</c:v>
                </c:pt>
                <c:pt idx="18">
                  <c:v>3979.190684713376</c:v>
                </c:pt>
                <c:pt idx="19">
                  <c:v>5286.8031716417918</c:v>
                </c:pt>
                <c:pt idx="20">
                  <c:v>4216.2796271637817</c:v>
                </c:pt>
                <c:pt idx="21">
                  <c:v>7507.1545603495351</c:v>
                </c:pt>
                <c:pt idx="22">
                  <c:v>1792.0725207514197</c:v>
                </c:pt>
                <c:pt idx="23">
                  <c:v>3335.5695162047909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84-4FB0-9F83-962EA8AA6553}"/>
            </c:ext>
          </c:extLst>
        </c:ser>
        <c:ser>
          <c:idx val="2"/>
          <c:order val="2"/>
          <c:tx>
            <c:strRef>
              <c:f>'RF harv Kodiak'!$F$2</c:f>
              <c:strCache>
                <c:ptCount val="1"/>
                <c:pt idx="0">
                  <c:v>NORTHEAST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'RF harv Kodiak'!$A$4:$A$27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Kodiak'!$F$4:$F$27</c:f>
              <c:numCache>
                <c:formatCode>_(* #,##0_);_(* \(#,##0\);_(* "-"??_);_(@_)</c:formatCode>
                <c:ptCount val="24"/>
                <c:pt idx="0">
                  <c:v>2646.751507803267</c:v>
                </c:pt>
                <c:pt idx="1">
                  <c:v>3319.1117698661938</c:v>
                </c:pt>
                <c:pt idx="2">
                  <c:v>3762.0157520187568</c:v>
                </c:pt>
                <c:pt idx="3">
                  <c:v>3701.5389030501337</c:v>
                </c:pt>
                <c:pt idx="4">
                  <c:v>4023.4891872654503</c:v>
                </c:pt>
                <c:pt idx="5">
                  <c:v>4879.0587270862643</c:v>
                </c:pt>
                <c:pt idx="6">
                  <c:v>5853.8032339923066</c:v>
                </c:pt>
                <c:pt idx="7">
                  <c:v>8255.0898842170445</c:v>
                </c:pt>
                <c:pt idx="8">
                  <c:v>6568.8530365036731</c:v>
                </c:pt>
                <c:pt idx="9">
                  <c:v>9035.9527282530889</c:v>
                </c:pt>
                <c:pt idx="10">
                  <c:v>11134.855133634712</c:v>
                </c:pt>
                <c:pt idx="11">
                  <c:v>11328.736796504711</c:v>
                </c:pt>
                <c:pt idx="12">
                  <c:v>14480.647866281181</c:v>
                </c:pt>
                <c:pt idx="13">
                  <c:v>12904.522735409953</c:v>
                </c:pt>
                <c:pt idx="14">
                  <c:v>11751.479333744601</c:v>
                </c:pt>
                <c:pt idx="15">
                  <c:v>18590.830039525692</c:v>
                </c:pt>
                <c:pt idx="16">
                  <c:v>17307.007400098668</c:v>
                </c:pt>
                <c:pt idx="17">
                  <c:v>23153.477406902814</c:v>
                </c:pt>
                <c:pt idx="18">
                  <c:v>27727.366319691999</c:v>
                </c:pt>
                <c:pt idx="19">
                  <c:v>10477.282570932253</c:v>
                </c:pt>
                <c:pt idx="20">
                  <c:v>17169.778908418131</c:v>
                </c:pt>
                <c:pt idx="21">
                  <c:v>20184.660072182862</c:v>
                </c:pt>
                <c:pt idx="22">
                  <c:v>9904.9695845697333</c:v>
                </c:pt>
                <c:pt idx="23">
                  <c:v>16602.747125224181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84-4FB0-9F83-962EA8AA6553}"/>
            </c:ext>
          </c:extLst>
        </c:ser>
        <c:ser>
          <c:idx val="3"/>
          <c:order val="3"/>
          <c:tx>
            <c:strRef>
              <c:f>'RF harv Kodiak'!$H$2</c:f>
              <c:strCache>
                <c:ptCount val="1"/>
                <c:pt idx="0">
                  <c:v>WKMA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'RF harv Kodiak'!$A$4:$A$27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Kodiak'!$H$4:$H$27</c:f>
              <c:numCache>
                <c:formatCode>_(* #,##0_);_(* \(#,##0\);_(* "-"??_);_(@_)</c:formatCode>
                <c:ptCount val="24"/>
                <c:pt idx="0">
                  <c:v>190.68660416251171</c:v>
                </c:pt>
                <c:pt idx="1">
                  <c:v>293.76044425035587</c:v>
                </c:pt>
                <c:pt idx="2">
                  <c:v>497.33127842384812</c:v>
                </c:pt>
                <c:pt idx="3">
                  <c:v>1522.9159872978976</c:v>
                </c:pt>
                <c:pt idx="4">
                  <c:v>1133.8122409662858</c:v>
                </c:pt>
                <c:pt idx="5">
                  <c:v>1426.2842622155438</c:v>
                </c:pt>
                <c:pt idx="6">
                  <c:v>1043.6226308894222</c:v>
                </c:pt>
                <c:pt idx="7">
                  <c:v>1631.1435193901339</c:v>
                </c:pt>
                <c:pt idx="8">
                  <c:v>949.56775180926445</c:v>
                </c:pt>
                <c:pt idx="9">
                  <c:v>2119.4558368062958</c:v>
                </c:pt>
                <c:pt idx="10">
                  <c:v>1540.9539093132703</c:v>
                </c:pt>
                <c:pt idx="11">
                  <c:v>2382.2941290302983</c:v>
                </c:pt>
                <c:pt idx="12">
                  <c:v>1631.1435193901339</c:v>
                </c:pt>
                <c:pt idx="13">
                  <c:v>1687.1685166498487</c:v>
                </c:pt>
                <c:pt idx="14">
                  <c:v>2871.7026143790849</c:v>
                </c:pt>
                <c:pt idx="15">
                  <c:v>2384.9594594594591</c:v>
                </c:pt>
                <c:pt idx="16">
                  <c:v>3202.8709245198747</c:v>
                </c:pt>
                <c:pt idx="17">
                  <c:v>2955.5510553337135</c:v>
                </c:pt>
                <c:pt idx="18">
                  <c:v>3632.1269714513874</c:v>
                </c:pt>
                <c:pt idx="19">
                  <c:v>3896.8833955223881</c:v>
                </c:pt>
                <c:pt idx="20">
                  <c:v>4979.3662731006161</c:v>
                </c:pt>
                <c:pt idx="21">
                  <c:v>11501.863117870724</c:v>
                </c:pt>
                <c:pt idx="22">
                  <c:v>4798.2830930537348</c:v>
                </c:pt>
                <c:pt idx="23">
                  <c:v>9161.5434476279934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84-4FB0-9F83-962EA8AA6553}"/>
            </c:ext>
          </c:extLst>
        </c:ser>
        <c:ser>
          <c:idx val="4"/>
          <c:order val="4"/>
          <c:tx>
            <c:strRef>
              <c:f>'RF harv Kodiak'!$J$2</c:f>
              <c:strCache>
                <c:ptCount val="1"/>
                <c:pt idx="0">
                  <c:v>SKMA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'RF harv Kodiak'!$A$4:$A$27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Kodiak'!$J$4:$J$27</c:f>
              <c:numCache>
                <c:formatCode>_(* #,##0_);_(* \(#,##0\);_(* "-"??_);_(@_)</c:formatCode>
                <c:ptCount val="24"/>
                <c:pt idx="0">
                  <c:v>34.921501147605341</c:v>
                </c:pt>
                <c:pt idx="1">
                  <c:v>113.81822596256556</c:v>
                </c:pt>
                <c:pt idx="2">
                  <c:v>84.070280540531371</c:v>
                </c:pt>
                <c:pt idx="3">
                  <c:v>34.921501147605341</c:v>
                </c:pt>
                <c:pt idx="4">
                  <c:v>128.04550420788624</c:v>
                </c:pt>
                <c:pt idx="5">
                  <c:v>186.24800612056183</c:v>
                </c:pt>
                <c:pt idx="6">
                  <c:v>258.67778627855807</c:v>
                </c:pt>
                <c:pt idx="7">
                  <c:v>371.20262330973088</c:v>
                </c:pt>
                <c:pt idx="8">
                  <c:v>391.89684621201548</c:v>
                </c:pt>
                <c:pt idx="9">
                  <c:v>1484.8104932389235</c:v>
                </c:pt>
                <c:pt idx="10">
                  <c:v>1461.5294924738532</c:v>
                </c:pt>
                <c:pt idx="11">
                  <c:v>1047.6450344281602</c:v>
                </c:pt>
                <c:pt idx="12">
                  <c:v>832.94247181695698</c:v>
                </c:pt>
                <c:pt idx="13">
                  <c:v>850.99495459132186</c:v>
                </c:pt>
                <c:pt idx="14">
                  <c:v>1509</c:v>
                </c:pt>
                <c:pt idx="15">
                  <c:v>1244.7972972972973</c:v>
                </c:pt>
                <c:pt idx="16">
                  <c:v>872.90263510495754</c:v>
                </c:pt>
                <c:pt idx="17">
                  <c:v>900.78094694808897</c:v>
                </c:pt>
                <c:pt idx="18">
                  <c:v>898.41878980891727</c:v>
                </c:pt>
                <c:pt idx="19">
                  <c:v>895.24813432835822</c:v>
                </c:pt>
                <c:pt idx="20">
                  <c:v>778.64245379876797</c:v>
                </c:pt>
                <c:pt idx="21">
                  <c:v>946.32441288913162</c:v>
                </c:pt>
                <c:pt idx="22">
                  <c:v>359.12800349497599</c:v>
                </c:pt>
                <c:pt idx="23">
                  <c:v>1875.3184593705964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84-4FB0-9F83-962EA8AA6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9798104"/>
        <c:axId val="510424664"/>
      </c:barChart>
      <c:catAx>
        <c:axId val="82979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24664"/>
        <c:crosses val="autoZero"/>
        <c:auto val="1"/>
        <c:lblAlgn val="ctr"/>
        <c:lblOffset val="100"/>
        <c:noMultiLvlLbl val="0"/>
      </c:catAx>
      <c:valAx>
        <c:axId val="51042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Rockfish Harvest (#s of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9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'RF harv Kodiak'!$B$2</c:f>
              <c:strCache>
                <c:ptCount val="1"/>
                <c:pt idx="0">
                  <c:v>AFOGNAK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'RF harv Kodiak'!$A$4:$A$27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Kodiak'!$B$33:$B$56</c:f>
              <c:numCache>
                <c:formatCode>_(* #,##0_);_(* \(#,##0\);_(* "-"??_);_(@_)</c:formatCode>
                <c:ptCount val="24"/>
                <c:pt idx="0">
                  <c:v>359.1413642850506</c:v>
                </c:pt>
                <c:pt idx="1">
                  <c:v>465.55923337779177</c:v>
                </c:pt>
                <c:pt idx="2">
                  <c:v>1402.4684024516273</c:v>
                </c:pt>
                <c:pt idx="3">
                  <c:v>573.26885828848845</c:v>
                </c:pt>
                <c:pt idx="4">
                  <c:v>312.5349823096368</c:v>
                </c:pt>
                <c:pt idx="5">
                  <c:v>528.9454202183241</c:v>
                </c:pt>
                <c:pt idx="6">
                  <c:v>361.72103285180168</c:v>
                </c:pt>
                <c:pt idx="7">
                  <c:v>1410.2992683885925</c:v>
                </c:pt>
                <c:pt idx="8">
                  <c:v>864.82725119314125</c:v>
                </c:pt>
                <c:pt idx="9">
                  <c:v>1961.5839813375032</c:v>
                </c:pt>
                <c:pt idx="10">
                  <c:v>2215.6726544599155</c:v>
                </c:pt>
                <c:pt idx="11">
                  <c:v>2933.7154069116409</c:v>
                </c:pt>
                <c:pt idx="12">
                  <c:v>1674.0195892837091</c:v>
                </c:pt>
                <c:pt idx="13">
                  <c:v>2824.379965044564</c:v>
                </c:pt>
                <c:pt idx="14">
                  <c:v>2686.2781107934079</c:v>
                </c:pt>
                <c:pt idx="15">
                  <c:v>1576.1179956627866</c:v>
                </c:pt>
                <c:pt idx="16">
                  <c:v>2804.100842514702</c:v>
                </c:pt>
                <c:pt idx="17">
                  <c:v>3569.4906353961287</c:v>
                </c:pt>
                <c:pt idx="18">
                  <c:v>2858.1331790138988</c:v>
                </c:pt>
                <c:pt idx="19">
                  <c:v>3011.9498269146825</c:v>
                </c:pt>
                <c:pt idx="20">
                  <c:v>3958.1363902099833</c:v>
                </c:pt>
                <c:pt idx="21">
                  <c:v>8059.9741420972177</c:v>
                </c:pt>
                <c:pt idx="22">
                  <c:v>4984.8258412868308</c:v>
                </c:pt>
                <c:pt idx="23">
                  <c:v>2748.7521419600089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2-45BE-9F88-6214E1B11FCD}"/>
            </c:ext>
          </c:extLst>
        </c:ser>
        <c:ser>
          <c:idx val="1"/>
          <c:order val="1"/>
          <c:tx>
            <c:strRef>
              <c:f>'RF harv Kodiak'!$D$2</c:f>
              <c:strCache>
                <c:ptCount val="1"/>
                <c:pt idx="0">
                  <c:v>EASTSIDE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'RF harv Kodiak'!$A$4:$A$27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Kodiak'!$D$33:$D$56</c:f>
              <c:numCache>
                <c:formatCode>_(* #,##0_);_(* \(#,##0\);_(* "-"??_);_(@_)</c:formatCode>
                <c:ptCount val="24"/>
                <c:pt idx="0">
                  <c:v>89.096673170685818</c:v>
                </c:pt>
                <c:pt idx="1">
                  <c:v>106.12871191893431</c:v>
                </c:pt>
                <c:pt idx="2">
                  <c:v>401.45477078136321</c:v>
                </c:pt>
                <c:pt idx="3">
                  <c:v>251.38188209076492</c:v>
                </c:pt>
                <c:pt idx="4">
                  <c:v>280.24767745357633</c:v>
                </c:pt>
                <c:pt idx="5">
                  <c:v>1010.6323546288824</c:v>
                </c:pt>
                <c:pt idx="6">
                  <c:v>711.72232213144957</c:v>
                </c:pt>
                <c:pt idx="7">
                  <c:v>1152.806035567588</c:v>
                </c:pt>
                <c:pt idx="8">
                  <c:v>1444.6238351492921</c:v>
                </c:pt>
                <c:pt idx="9">
                  <c:v>3548.2712909685397</c:v>
                </c:pt>
                <c:pt idx="10">
                  <c:v>2197.93303989177</c:v>
                </c:pt>
                <c:pt idx="11">
                  <c:v>2423.9460244987995</c:v>
                </c:pt>
                <c:pt idx="12">
                  <c:v>1830.6447757075803</c:v>
                </c:pt>
                <c:pt idx="13">
                  <c:v>1783.061243623943</c:v>
                </c:pt>
                <c:pt idx="14">
                  <c:v>3230.7519712596668</c:v>
                </c:pt>
                <c:pt idx="15">
                  <c:v>2196.1816172655258</c:v>
                </c:pt>
                <c:pt idx="16">
                  <c:v>3384.8400360634764</c:v>
                </c:pt>
                <c:pt idx="17">
                  <c:v>3164.9577271984163</c:v>
                </c:pt>
                <c:pt idx="18">
                  <c:v>3414.7740069257229</c:v>
                </c:pt>
                <c:pt idx="19">
                  <c:v>4542.8411858699965</c:v>
                </c:pt>
                <c:pt idx="20">
                  <c:v>3706.6052675224605</c:v>
                </c:pt>
                <c:pt idx="21">
                  <c:v>6681.8842145632589</c:v>
                </c:pt>
                <c:pt idx="22">
                  <c:v>1559.0395550802314</c:v>
                </c:pt>
                <c:pt idx="23">
                  <c:v>2946.5335133529184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2-45BE-9F88-6214E1B11FCD}"/>
            </c:ext>
          </c:extLst>
        </c:ser>
        <c:ser>
          <c:idx val="2"/>
          <c:order val="2"/>
          <c:tx>
            <c:strRef>
              <c:f>'RF harv Kodiak'!$F$2</c:f>
              <c:strCache>
                <c:ptCount val="1"/>
                <c:pt idx="0">
                  <c:v>NORTHEAST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'RF harv Kodiak'!$A$4:$A$27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Kodiak'!$F$33:$F$56</c:f>
              <c:numCache>
                <c:formatCode>_(* #,##0_);_(* \(#,##0\);_(* "-"??_);_(@_)</c:formatCode>
                <c:ptCount val="24"/>
                <c:pt idx="0">
                  <c:v>1751.2551217634721</c:v>
                </c:pt>
                <c:pt idx="1">
                  <c:v>2515.9609216317722</c:v>
                </c:pt>
                <c:pt idx="2">
                  <c:v>2925.1451980975949</c:v>
                </c:pt>
                <c:pt idx="3">
                  <c:v>3092.0257382708642</c:v>
                </c:pt>
                <c:pt idx="4">
                  <c:v>2871.7494444340323</c:v>
                </c:pt>
                <c:pt idx="5">
                  <c:v>3691.9091603167899</c:v>
                </c:pt>
                <c:pt idx="6">
                  <c:v>4377.7844435533307</c:v>
                </c:pt>
                <c:pt idx="7">
                  <c:v>7004.4440019072426</c:v>
                </c:pt>
                <c:pt idx="8">
                  <c:v>5342.857301024058</c:v>
                </c:pt>
                <c:pt idx="9">
                  <c:v>6422.504868608883</c:v>
                </c:pt>
                <c:pt idx="10">
                  <c:v>8218.9940485571151</c:v>
                </c:pt>
                <c:pt idx="11">
                  <c:v>7252.3259521909167</c:v>
                </c:pt>
                <c:pt idx="12">
                  <c:v>8333.6162949861937</c:v>
                </c:pt>
                <c:pt idx="13">
                  <c:v>10011.024497849619</c:v>
                </c:pt>
                <c:pt idx="14">
                  <c:v>8405.2176992501281</c:v>
                </c:pt>
                <c:pt idx="15">
                  <c:v>10803.122295048772</c:v>
                </c:pt>
                <c:pt idx="16">
                  <c:v>12651.288585790298</c:v>
                </c:pt>
                <c:pt idx="17">
                  <c:v>16131.688651385251</c:v>
                </c:pt>
                <c:pt idx="18">
                  <c:v>18815.657376733012</c:v>
                </c:pt>
                <c:pt idx="19">
                  <c:v>6714.9385112867531</c:v>
                </c:pt>
                <c:pt idx="20">
                  <c:v>12726.394471159685</c:v>
                </c:pt>
                <c:pt idx="21">
                  <c:v>15601.284379532004</c:v>
                </c:pt>
                <c:pt idx="22">
                  <c:v>7027.7422953413698</c:v>
                </c:pt>
                <c:pt idx="23">
                  <c:v>14272.336621144985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92-45BE-9F88-6214E1B11FCD}"/>
            </c:ext>
          </c:extLst>
        </c:ser>
        <c:ser>
          <c:idx val="3"/>
          <c:order val="3"/>
          <c:tx>
            <c:strRef>
              <c:f>'RF harv Kodiak'!$H$2</c:f>
              <c:strCache>
                <c:ptCount val="1"/>
                <c:pt idx="0">
                  <c:v>WKMA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'RF harv Kodiak'!$A$4:$A$27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Kodiak'!$H$33:$H$56</c:f>
              <c:numCache>
                <c:formatCode>_(* #,##0_);_(* \(#,##0\);_(* "-"??_);_(@_)</c:formatCode>
                <c:ptCount val="24"/>
                <c:pt idx="0">
                  <c:v>129.65464430819756</c:v>
                </c:pt>
                <c:pt idx="1">
                  <c:v>242.27796776833577</c:v>
                </c:pt>
                <c:pt idx="2">
                  <c:v>363.60832627038195</c:v>
                </c:pt>
                <c:pt idx="3">
                  <c:v>1380.6769000600257</c:v>
                </c:pt>
                <c:pt idx="4">
                  <c:v>865.83143816183724</c:v>
                </c:pt>
                <c:pt idx="5">
                  <c:v>1056.5445732905998</c:v>
                </c:pt>
                <c:pt idx="6">
                  <c:v>737.50543260946256</c:v>
                </c:pt>
                <c:pt idx="7">
                  <c:v>1356.9211465405499</c:v>
                </c:pt>
                <c:pt idx="8">
                  <c:v>673.6989889709655</c:v>
                </c:pt>
                <c:pt idx="9">
                  <c:v>1235.5104762306612</c:v>
                </c:pt>
                <c:pt idx="10">
                  <c:v>983.26253227554935</c:v>
                </c:pt>
                <c:pt idx="11">
                  <c:v>1414.6978625666927</c:v>
                </c:pt>
                <c:pt idx="12">
                  <c:v>697.68621552431614</c:v>
                </c:pt>
                <c:pt idx="13">
                  <c:v>1193.9086573069919</c:v>
                </c:pt>
                <c:pt idx="14">
                  <c:v>1836.4472785420294</c:v>
                </c:pt>
                <c:pt idx="15">
                  <c:v>1146.5471884139997</c:v>
                </c:pt>
                <c:pt idx="16">
                  <c:v>2059.4071840108741</c:v>
                </c:pt>
                <c:pt idx="17">
                  <c:v>1839.5665531727768</c:v>
                </c:pt>
                <c:pt idx="18">
                  <c:v>1687.6795897647514</c:v>
                </c:pt>
                <c:pt idx="19">
                  <c:v>2145.1285766160786</c:v>
                </c:pt>
                <c:pt idx="20">
                  <c:v>2508.3648669308409</c:v>
                </c:pt>
                <c:pt idx="21">
                  <c:v>8055.0274581551948</c:v>
                </c:pt>
                <c:pt idx="22">
                  <c:v>3119.9086592883014</c:v>
                </c:pt>
                <c:pt idx="23">
                  <c:v>2402.5867697780732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92-45BE-9F88-6214E1B11FCD}"/>
            </c:ext>
          </c:extLst>
        </c:ser>
        <c:ser>
          <c:idx val="4"/>
          <c:order val="4"/>
          <c:tx>
            <c:strRef>
              <c:f>'RF harv Kodiak'!$J$2</c:f>
              <c:strCache>
                <c:ptCount val="1"/>
                <c:pt idx="0">
                  <c:v>SKMA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'RF harv Kodiak'!$A$4:$A$27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Kodiak'!$J$33:$J$56</c:f>
              <c:numCache>
                <c:formatCode>_(* #,##0_);_(* \(#,##0\);_(* "-"??_);_(@_)</c:formatCode>
                <c:ptCount val="24"/>
                <c:pt idx="0">
                  <c:v>27.332020177697281</c:v>
                </c:pt>
                <c:pt idx="1">
                  <c:v>87.196972396234457</c:v>
                </c:pt>
                <c:pt idx="2">
                  <c:v>18.892003485141906</c:v>
                </c:pt>
                <c:pt idx="3">
                  <c:v>14.035872588852769</c:v>
                </c:pt>
                <c:pt idx="4">
                  <c:v>100.59534150616244</c:v>
                </c:pt>
                <c:pt idx="5">
                  <c:v>128.95174777365597</c:v>
                </c:pt>
                <c:pt idx="6">
                  <c:v>195.57570555324924</c:v>
                </c:pt>
                <c:pt idx="7">
                  <c:v>189.81639105045576</c:v>
                </c:pt>
                <c:pt idx="8">
                  <c:v>250.92729066128953</c:v>
                </c:pt>
                <c:pt idx="9">
                  <c:v>1214.2443592476957</c:v>
                </c:pt>
                <c:pt idx="10">
                  <c:v>1211.7450630686949</c:v>
                </c:pt>
                <c:pt idx="11">
                  <c:v>853.801636788471</c:v>
                </c:pt>
                <c:pt idx="12">
                  <c:v>518.26421078013175</c:v>
                </c:pt>
                <c:pt idx="13">
                  <c:v>636.51641897520381</c:v>
                </c:pt>
                <c:pt idx="14">
                  <c:v>975.58371010500002</c:v>
                </c:pt>
                <c:pt idx="15">
                  <c:v>958.2169747559999</c:v>
                </c:pt>
                <c:pt idx="16">
                  <c:v>695.90076735227876</c:v>
                </c:pt>
                <c:pt idx="17">
                  <c:v>721.58731597694577</c:v>
                </c:pt>
                <c:pt idx="18">
                  <c:v>723.22298554881536</c:v>
                </c:pt>
                <c:pt idx="19">
                  <c:v>723.56015152764917</c:v>
                </c:pt>
                <c:pt idx="20">
                  <c:v>646.16417038081829</c:v>
                </c:pt>
                <c:pt idx="21">
                  <c:v>735.4573980461912</c:v>
                </c:pt>
                <c:pt idx="22">
                  <c:v>281.54757508256534</c:v>
                </c:pt>
                <c:pt idx="23">
                  <c:v>1572.856943436479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92-45BE-9F88-6214E1B11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9798104"/>
        <c:axId val="510424664"/>
      </c:barChart>
      <c:catAx>
        <c:axId val="82979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24664"/>
        <c:crosses val="autoZero"/>
        <c:auto val="1"/>
        <c:lblAlgn val="ctr"/>
        <c:lblOffset val="100"/>
        <c:noMultiLvlLbl val="0"/>
      </c:catAx>
      <c:valAx>
        <c:axId val="51042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Black Rockfish Harvest (#s of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9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82650957710959"/>
          <c:y val="1.4430266674969078E-2"/>
          <c:w val="0.89349799271895847"/>
          <c:h val="0.850053486423178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'RF harv Kodiak'!$B$2</c:f>
              <c:strCache>
                <c:ptCount val="1"/>
                <c:pt idx="0">
                  <c:v>AFOGNAK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'RF harv Kodiak'!$A$4:$A$27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Kodiak'!$B$62:$B$85</c:f>
              <c:numCache>
                <c:formatCode>_(* #,##0_);_(* \(#,##0\);_(* "-"??_);_(@_)</c:formatCode>
                <c:ptCount val="24"/>
                <c:pt idx="0">
                  <c:v>77.850345010307606</c:v>
                </c:pt>
                <c:pt idx="1">
                  <c:v>80.882330721684724</c:v>
                </c:pt>
                <c:pt idx="2">
                  <c:v>185.51258643517667</c:v>
                </c:pt>
                <c:pt idx="3">
                  <c:v>60.580692802777314</c:v>
                </c:pt>
                <c:pt idx="4">
                  <c:v>51.244853238404033</c:v>
                </c:pt>
                <c:pt idx="5">
                  <c:v>80.002362419040935</c:v>
                </c:pt>
                <c:pt idx="6">
                  <c:v>111.15320301069673</c:v>
                </c:pt>
                <c:pt idx="7">
                  <c:v>197.81040450336081</c:v>
                </c:pt>
                <c:pt idx="8">
                  <c:v>164.16207536693142</c:v>
                </c:pt>
                <c:pt idx="9">
                  <c:v>300.81756055451393</c:v>
                </c:pt>
                <c:pt idx="10">
                  <c:v>598.94890943752091</c:v>
                </c:pt>
                <c:pt idx="11">
                  <c:v>592.77069146568965</c:v>
                </c:pt>
                <c:pt idx="12">
                  <c:v>450.14422974328227</c:v>
                </c:pt>
                <c:pt idx="13">
                  <c:v>490.29143759365786</c:v>
                </c:pt>
                <c:pt idx="14">
                  <c:v>548.14941607853302</c:v>
                </c:pt>
                <c:pt idx="15">
                  <c:v>472.27551768749771</c:v>
                </c:pt>
                <c:pt idx="16">
                  <c:v>586.38693225250506</c:v>
                </c:pt>
                <c:pt idx="17">
                  <c:v>635.4123339683174</c:v>
                </c:pt>
                <c:pt idx="18">
                  <c:v>601.73484546498344</c:v>
                </c:pt>
                <c:pt idx="19">
                  <c:v>482.39791917747402</c:v>
                </c:pt>
                <c:pt idx="20">
                  <c:v>633.76689971813164</c:v>
                </c:pt>
                <c:pt idx="21">
                  <c:v>1261.1232986445648</c:v>
                </c:pt>
                <c:pt idx="22">
                  <c:v>817.02697354395707</c:v>
                </c:pt>
                <c:pt idx="23">
                  <c:v>984.53341510599842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D-4834-845C-7BEF77D27845}"/>
            </c:ext>
          </c:extLst>
        </c:ser>
        <c:ser>
          <c:idx val="1"/>
          <c:order val="1"/>
          <c:tx>
            <c:strRef>
              <c:f>'RF harv Kodiak'!$D$2</c:f>
              <c:strCache>
                <c:ptCount val="1"/>
                <c:pt idx="0">
                  <c:v>EASTSIDE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'RF harv Kodiak'!$A$4:$A$27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Kodiak'!$D$62:$D$85</c:f>
              <c:numCache>
                <c:formatCode>_(* #,##0_);_(* \(#,##0\);_(* "-"??_);_(@_)</c:formatCode>
                <c:ptCount val="24"/>
                <c:pt idx="0">
                  <c:v>48.092331209269815</c:v>
                </c:pt>
                <c:pt idx="1">
                  <c:v>12.684879520076304</c:v>
                </c:pt>
                <c:pt idx="2">
                  <c:v>26.781658829060397</c:v>
                </c:pt>
                <c:pt idx="3">
                  <c:v>40.064901394916333</c:v>
                </c:pt>
                <c:pt idx="4">
                  <c:v>30.344566862170478</c:v>
                </c:pt>
                <c:pt idx="5">
                  <c:v>32.38437922173847</c:v>
                </c:pt>
                <c:pt idx="6">
                  <c:v>36.859134292800775</c:v>
                </c:pt>
                <c:pt idx="7">
                  <c:v>102.74219224671764</c:v>
                </c:pt>
                <c:pt idx="8">
                  <c:v>128.98884900196541</c:v>
                </c:pt>
                <c:pt idx="9">
                  <c:v>124.04761436401157</c:v>
                </c:pt>
                <c:pt idx="10">
                  <c:v>150.65384567515963</c:v>
                </c:pt>
                <c:pt idx="11">
                  <c:v>40.584694794533341</c:v>
                </c:pt>
                <c:pt idx="12">
                  <c:v>85.77870000001424</c:v>
                </c:pt>
                <c:pt idx="13">
                  <c:v>40.720252344816501</c:v>
                </c:pt>
                <c:pt idx="14">
                  <c:v>85.239501225192413</c:v>
                </c:pt>
                <c:pt idx="15">
                  <c:v>65.75934732127142</c:v>
                </c:pt>
                <c:pt idx="16">
                  <c:v>139.38643501548367</c:v>
                </c:pt>
                <c:pt idx="17">
                  <c:v>180.16166945732982</c:v>
                </c:pt>
                <c:pt idx="18">
                  <c:v>112.9793368003873</c:v>
                </c:pt>
                <c:pt idx="19">
                  <c:v>82.255122100063872</c:v>
                </c:pt>
                <c:pt idx="20">
                  <c:v>112.10464572857293</c:v>
                </c:pt>
                <c:pt idx="21">
                  <c:v>169.24313984614315</c:v>
                </c:pt>
                <c:pt idx="22">
                  <c:v>55.207010747610298</c:v>
                </c:pt>
                <c:pt idx="23">
                  <c:v>180.25314710128936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D-4834-845C-7BEF77D27845}"/>
            </c:ext>
          </c:extLst>
        </c:ser>
        <c:ser>
          <c:idx val="2"/>
          <c:order val="2"/>
          <c:tx>
            <c:strRef>
              <c:f>'RF harv Kodiak'!$F$2</c:f>
              <c:strCache>
                <c:ptCount val="1"/>
                <c:pt idx="0">
                  <c:v>NORTHEAST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'RF harv Kodiak'!$A$4:$A$27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Kodiak'!$F$62:$F$85</c:f>
              <c:numCache>
                <c:formatCode>_(* #,##0_);_(* \(#,##0\);_(* "-"??_);_(@_)</c:formatCode>
                <c:ptCount val="24"/>
                <c:pt idx="0">
                  <c:v>305.18721379046434</c:v>
                </c:pt>
                <c:pt idx="1">
                  <c:v>131.42888669180024</c:v>
                </c:pt>
                <c:pt idx="2">
                  <c:v>138.85825198630636</c:v>
                </c:pt>
                <c:pt idx="3">
                  <c:v>118.41411195512632</c:v>
                </c:pt>
                <c:pt idx="4">
                  <c:v>226.27128144374532</c:v>
                </c:pt>
                <c:pt idx="5">
                  <c:v>150.18116152892958</c:v>
                </c:pt>
                <c:pt idx="6">
                  <c:v>224.9208761343499</c:v>
                </c:pt>
                <c:pt idx="7">
                  <c:v>185.61142015058118</c:v>
                </c:pt>
                <c:pt idx="8">
                  <c:v>206.60973084590142</c:v>
                </c:pt>
                <c:pt idx="9">
                  <c:v>202.5406207977955</c:v>
                </c:pt>
                <c:pt idx="10">
                  <c:v>332.99806682351112</c:v>
                </c:pt>
                <c:pt idx="11">
                  <c:v>700.5611384826675</c:v>
                </c:pt>
                <c:pt idx="12">
                  <c:v>480.06666277847205</c:v>
                </c:pt>
                <c:pt idx="13">
                  <c:v>393.54321341162193</c:v>
                </c:pt>
                <c:pt idx="14">
                  <c:v>269.55528331037937</c:v>
                </c:pt>
                <c:pt idx="15">
                  <c:v>678.51521660221351</c:v>
                </c:pt>
                <c:pt idx="16">
                  <c:v>821.44502977841535</c:v>
                </c:pt>
                <c:pt idx="17">
                  <c:v>705.95065724130154</c:v>
                </c:pt>
                <c:pt idx="18">
                  <c:v>646.05259874518742</c:v>
                </c:pt>
                <c:pt idx="19">
                  <c:v>244.33240969726234</c:v>
                </c:pt>
                <c:pt idx="20">
                  <c:v>383.39690436954675</c:v>
                </c:pt>
                <c:pt idx="21">
                  <c:v>663.38725270685723</c:v>
                </c:pt>
                <c:pt idx="22">
                  <c:v>628.92367293109135</c:v>
                </c:pt>
                <c:pt idx="23">
                  <c:v>454.93503492756952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AD-4834-845C-7BEF77D27845}"/>
            </c:ext>
          </c:extLst>
        </c:ser>
        <c:ser>
          <c:idx val="3"/>
          <c:order val="3"/>
          <c:tx>
            <c:strRef>
              <c:f>'RF harv Kodiak'!$H$2</c:f>
              <c:strCache>
                <c:ptCount val="1"/>
                <c:pt idx="0">
                  <c:v>WKMA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'RF harv Kodiak'!$A$4:$A$27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Kodiak'!$H$62:$H$85</c:f>
              <c:numCache>
                <c:formatCode>_(* #,##0_);_(* \(#,##0\);_(* "-"??_);_(@_)</c:formatCode>
                <c:ptCount val="24"/>
                <c:pt idx="0">
                  <c:v>29.986506022310778</c:v>
                </c:pt>
                <c:pt idx="1">
                  <c:v>14.354136765205205</c:v>
                </c:pt>
                <c:pt idx="2">
                  <c:v>76.084625820580229</c:v>
                </c:pt>
                <c:pt idx="3">
                  <c:v>72.984243982754123</c:v>
                </c:pt>
                <c:pt idx="4">
                  <c:v>92.415216901603685</c:v>
                </c:pt>
                <c:pt idx="5">
                  <c:v>162.57581529419934</c:v>
                </c:pt>
                <c:pt idx="6">
                  <c:v>107.76913261323861</c:v>
                </c:pt>
                <c:pt idx="7">
                  <c:v>158.07393313847487</c:v>
                </c:pt>
                <c:pt idx="8">
                  <c:v>152.36294057876552</c:v>
                </c:pt>
                <c:pt idx="9">
                  <c:v>318.69882937865572</c:v>
                </c:pt>
                <c:pt idx="10">
                  <c:v>266.76401211967914</c:v>
                </c:pt>
                <c:pt idx="11">
                  <c:v>335.21041673017288</c:v>
                </c:pt>
                <c:pt idx="12">
                  <c:v>376.02779209323899</c:v>
                </c:pt>
                <c:pt idx="13">
                  <c:v>214.9189508261432</c:v>
                </c:pt>
                <c:pt idx="14">
                  <c:v>516.81539192910782</c:v>
                </c:pt>
                <c:pt idx="15">
                  <c:v>343.97932495834067</c:v>
                </c:pt>
                <c:pt idx="16">
                  <c:v>534.43586055747915</c:v>
                </c:pt>
                <c:pt idx="17">
                  <c:v>434.45960855329838</c:v>
                </c:pt>
                <c:pt idx="18">
                  <c:v>635.70916800340854</c:v>
                </c:pt>
                <c:pt idx="19">
                  <c:v>654.31425172921308</c:v>
                </c:pt>
                <c:pt idx="20">
                  <c:v>651.27882351697247</c:v>
                </c:pt>
                <c:pt idx="21">
                  <c:v>1768.1197355614568</c:v>
                </c:pt>
                <c:pt idx="22">
                  <c:v>575.26387719406046</c:v>
                </c:pt>
                <c:pt idx="23">
                  <c:v>944.16196864297046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AD-4834-845C-7BEF77D27845}"/>
            </c:ext>
          </c:extLst>
        </c:ser>
        <c:ser>
          <c:idx val="4"/>
          <c:order val="4"/>
          <c:tx>
            <c:strRef>
              <c:f>'RF harv Kodiak'!$J$2</c:f>
              <c:strCache>
                <c:ptCount val="1"/>
                <c:pt idx="0">
                  <c:v>SKMA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'RF harv Kodiak'!$A$4:$A$27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Kodiak'!$J$62:$J$85</c:f>
              <c:numCache>
                <c:formatCode>0</c:formatCode>
                <c:ptCount val="24"/>
                <c:pt idx="0">
                  <c:v>4.4068641244862867</c:v>
                </c:pt>
                <c:pt idx="1">
                  <c:v>13.449499112604649</c:v>
                </c:pt>
                <c:pt idx="2">
                  <c:v>44.412820145441302</c:v>
                </c:pt>
                <c:pt idx="3">
                  <c:v>14.273890890273385</c:v>
                </c:pt>
                <c:pt idx="4">
                  <c:v>10.990059198180287</c:v>
                </c:pt>
                <c:pt idx="5">
                  <c:v>32.900443678962198</c:v>
                </c:pt>
                <c:pt idx="6">
                  <c:v>35.436485218256145</c:v>
                </c:pt>
                <c:pt idx="7">
                  <c:v>121.44640885927363</c:v>
                </c:pt>
                <c:pt idx="8">
                  <c:v>78.908391708739089</c:v>
                </c:pt>
                <c:pt idx="9">
                  <c:v>194.54070521990917</c:v>
                </c:pt>
                <c:pt idx="10">
                  <c:v>95.952087890677149</c:v>
                </c:pt>
                <c:pt idx="11">
                  <c:v>102.48777981544113</c:v>
                </c:pt>
                <c:pt idx="12">
                  <c:v>101.05942000141246</c:v>
                </c:pt>
                <c:pt idx="13">
                  <c:v>95.055865121492559</c:v>
                </c:pt>
                <c:pt idx="14">
                  <c:v>172.87252247283112</c:v>
                </c:pt>
                <c:pt idx="15">
                  <c:v>136.38388693901092</c:v>
                </c:pt>
                <c:pt idx="16">
                  <c:v>73.510222119773431</c:v>
                </c:pt>
                <c:pt idx="17">
                  <c:v>99.407143418364853</c:v>
                </c:pt>
                <c:pt idx="18">
                  <c:v>98.523864388401734</c:v>
                </c:pt>
                <c:pt idx="19">
                  <c:v>76.551866125887287</c:v>
                </c:pt>
                <c:pt idx="20">
                  <c:v>82.99776642451782</c:v>
                </c:pt>
                <c:pt idx="21">
                  <c:v>146.59540104739534</c:v>
                </c:pt>
                <c:pt idx="22">
                  <c:v>52.736870167442206</c:v>
                </c:pt>
                <c:pt idx="23">
                  <c:v>191.58704060848393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AD-4834-845C-7BEF77D27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9798104"/>
        <c:axId val="510424664"/>
      </c:barChart>
      <c:catAx>
        <c:axId val="82979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24664"/>
        <c:crosses val="autoZero"/>
        <c:auto val="1"/>
        <c:lblAlgn val="ctr"/>
        <c:lblOffset val="100"/>
        <c:noMultiLvlLbl val="0"/>
      </c:catAx>
      <c:valAx>
        <c:axId val="51042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Yelloweye Rockfish Harvest (#s of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9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'RF harv Central'!$B$2</c:f>
              <c:strCache>
                <c:ptCount val="1"/>
                <c:pt idx="0">
                  <c:v>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'RF harv Central'!$A$4:$A$27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Central'!$B$4:$B$27</c:f>
              <c:numCache>
                <c:formatCode>_(* #,##0_);_(* \(#,##0\);_(* "-"??_);_(@_)</c:formatCode>
                <c:ptCount val="24"/>
                <c:pt idx="0">
                  <c:v>1686.4758951640881</c:v>
                </c:pt>
                <c:pt idx="1">
                  <c:v>1545.6534612620567</c:v>
                </c:pt>
                <c:pt idx="2">
                  <c:v>2375.318162202941</c:v>
                </c:pt>
                <c:pt idx="3">
                  <c:v>1294.5483984006028</c:v>
                </c:pt>
                <c:pt idx="4">
                  <c:v>4034.6475640847098</c:v>
                </c:pt>
                <c:pt idx="5">
                  <c:v>7843.6399027601401</c:v>
                </c:pt>
                <c:pt idx="6">
                  <c:v>8035.3620115665199</c:v>
                </c:pt>
                <c:pt idx="7">
                  <c:v>6133.4108259740224</c:v>
                </c:pt>
                <c:pt idx="8">
                  <c:v>4178.8633096470312</c:v>
                </c:pt>
                <c:pt idx="9">
                  <c:v>4341.7422693409471</c:v>
                </c:pt>
                <c:pt idx="10">
                  <c:v>3669.8665606035438</c:v>
                </c:pt>
                <c:pt idx="11">
                  <c:v>4950.841712362987</c:v>
                </c:pt>
                <c:pt idx="12">
                  <c:v>7502.6120809010035</c:v>
                </c:pt>
                <c:pt idx="13">
                  <c:v>5241.2886731391591</c:v>
                </c:pt>
                <c:pt idx="14">
                  <c:v>10016.941208053691</c:v>
                </c:pt>
                <c:pt idx="15">
                  <c:v>8290.4354718850645</c:v>
                </c:pt>
                <c:pt idx="16">
                  <c:v>8175.6502099319532</c:v>
                </c:pt>
                <c:pt idx="17">
                  <c:v>10323.375737407352</c:v>
                </c:pt>
                <c:pt idx="18">
                  <c:v>16446.030487166056</c:v>
                </c:pt>
                <c:pt idx="19">
                  <c:v>11698.49026093348</c:v>
                </c:pt>
                <c:pt idx="20">
                  <c:v>23038.600289296046</c:v>
                </c:pt>
                <c:pt idx="21">
                  <c:v>27626.493536535585</c:v>
                </c:pt>
                <c:pt idx="22">
                  <c:v>20124.813008130081</c:v>
                </c:pt>
                <c:pt idx="23">
                  <c:v>21394.269439133204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1-4713-9AC2-D94D9B1CF916}"/>
            </c:ext>
          </c:extLst>
        </c:ser>
        <c:ser>
          <c:idx val="1"/>
          <c:order val="1"/>
          <c:tx>
            <c:strRef>
              <c:f>'RF harv Central'!$D$2</c:f>
              <c:strCache>
                <c:ptCount val="1"/>
                <c:pt idx="0">
                  <c:v>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'RF harv Central'!$A$4:$A$27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Central'!$D$4:$D$27</c:f>
              <c:numCache>
                <c:formatCode>_(* #,##0_);_(* \(#,##0\);_(* "-"??_);_(@_)</c:formatCode>
                <c:ptCount val="24"/>
                <c:pt idx="0">
                  <c:v>7725.220955913016</c:v>
                </c:pt>
                <c:pt idx="1">
                  <c:v>13863.251999816044</c:v>
                </c:pt>
                <c:pt idx="2">
                  <c:v>19588.793010089361</c:v>
                </c:pt>
                <c:pt idx="3">
                  <c:v>31246.120047450848</c:v>
                </c:pt>
                <c:pt idx="4">
                  <c:v>25882.255081157207</c:v>
                </c:pt>
                <c:pt idx="5">
                  <c:v>25436.885407165704</c:v>
                </c:pt>
                <c:pt idx="6">
                  <c:v>29044.67867231835</c:v>
                </c:pt>
                <c:pt idx="7">
                  <c:v>34063.307414813207</c:v>
                </c:pt>
                <c:pt idx="8">
                  <c:v>29887.593088866026</c:v>
                </c:pt>
                <c:pt idx="9">
                  <c:v>35660.959030574668</c:v>
                </c:pt>
                <c:pt idx="10">
                  <c:v>38253.967031833927</c:v>
                </c:pt>
                <c:pt idx="11">
                  <c:v>32743.638213019593</c:v>
                </c:pt>
                <c:pt idx="12">
                  <c:v>40392.638184457552</c:v>
                </c:pt>
                <c:pt idx="13">
                  <c:v>52204.405010282295</c:v>
                </c:pt>
                <c:pt idx="14">
                  <c:v>41019.802237331009</c:v>
                </c:pt>
                <c:pt idx="15">
                  <c:v>47715.239835728957</c:v>
                </c:pt>
                <c:pt idx="16">
                  <c:v>58769.197040285006</c:v>
                </c:pt>
                <c:pt idx="17">
                  <c:v>69974.13981323161</c:v>
                </c:pt>
                <c:pt idx="18">
                  <c:v>78648.041703490948</c:v>
                </c:pt>
                <c:pt idx="19">
                  <c:v>53863.511532831981</c:v>
                </c:pt>
                <c:pt idx="20">
                  <c:v>68922.337515014005</c:v>
                </c:pt>
                <c:pt idx="21">
                  <c:v>94829.472570734768</c:v>
                </c:pt>
                <c:pt idx="22">
                  <c:v>57769.767557261875</c:v>
                </c:pt>
                <c:pt idx="23">
                  <c:v>107690.02548250904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B1-4713-9AC2-D94D9B1CF916}"/>
            </c:ext>
          </c:extLst>
        </c:ser>
        <c:ser>
          <c:idx val="2"/>
          <c:order val="2"/>
          <c:tx>
            <c:strRef>
              <c:f>'RF harv Central'!$F$2</c:f>
              <c:strCache>
                <c:ptCount val="1"/>
                <c:pt idx="0">
                  <c:v>PWSI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'RF harv Central'!$A$4:$A$27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Central'!$F$4:$F$27</c:f>
              <c:numCache>
                <c:formatCode>_(* #,##0_);_(* \(#,##0\);_(* "-"??_);_(@_)</c:formatCode>
                <c:ptCount val="24"/>
                <c:pt idx="0">
                  <c:v>13589.355080614794</c:v>
                </c:pt>
                <c:pt idx="1">
                  <c:v>16054.003882202349</c:v>
                </c:pt>
                <c:pt idx="2">
                  <c:v>21378.072072644733</c:v>
                </c:pt>
                <c:pt idx="3">
                  <c:v>25023.476144256918</c:v>
                </c:pt>
                <c:pt idx="4">
                  <c:v>26310.926167597027</c:v>
                </c:pt>
                <c:pt idx="5">
                  <c:v>42436.059885343027</c:v>
                </c:pt>
                <c:pt idx="6">
                  <c:v>36667.430222752817</c:v>
                </c:pt>
                <c:pt idx="7">
                  <c:v>38872.455124606044</c:v>
                </c:pt>
                <c:pt idx="8">
                  <c:v>26951.094687489898</c:v>
                </c:pt>
                <c:pt idx="9">
                  <c:v>44114.724004173229</c:v>
                </c:pt>
                <c:pt idx="10">
                  <c:v>33864.914702332913</c:v>
                </c:pt>
                <c:pt idx="11">
                  <c:v>29152.563097565941</c:v>
                </c:pt>
                <c:pt idx="12">
                  <c:v>42354.260574467829</c:v>
                </c:pt>
                <c:pt idx="13">
                  <c:v>69966.987281399051</c:v>
                </c:pt>
                <c:pt idx="14">
                  <c:v>44697.154090427939</c:v>
                </c:pt>
                <c:pt idx="15">
                  <c:v>60456.943133398883</c:v>
                </c:pt>
                <c:pt idx="16">
                  <c:v>52866.469599823133</c:v>
                </c:pt>
                <c:pt idx="17">
                  <c:v>72203.446754112942</c:v>
                </c:pt>
                <c:pt idx="18">
                  <c:v>93718.548631333717</c:v>
                </c:pt>
                <c:pt idx="19">
                  <c:v>49815.774784613517</c:v>
                </c:pt>
                <c:pt idx="20">
                  <c:v>34346.009039310491</c:v>
                </c:pt>
                <c:pt idx="21">
                  <c:v>47084.722103820983</c:v>
                </c:pt>
                <c:pt idx="22">
                  <c:v>27606.884326200114</c:v>
                </c:pt>
                <c:pt idx="23">
                  <c:v>43560.114727976325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B1-4713-9AC2-D94D9B1CF916}"/>
            </c:ext>
          </c:extLst>
        </c:ser>
        <c:ser>
          <c:idx val="3"/>
          <c:order val="3"/>
          <c:tx>
            <c:strRef>
              <c:f>'RF harv Central'!$H$2</c:f>
              <c:strCache>
                <c:ptCount val="1"/>
                <c:pt idx="0">
                  <c:v>PWSO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'RF harv Central'!$A$4:$A$27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Central'!$H$4:$H$27</c:f>
              <c:numCache>
                <c:formatCode>_(* #,##0_);_(* \(#,##0\);_(* "-"??_);_(@_)</c:formatCode>
                <c:ptCount val="24"/>
                <c:pt idx="0">
                  <c:v>8562.2039985303945</c:v>
                </c:pt>
                <c:pt idx="1">
                  <c:v>5547.1393554151227</c:v>
                </c:pt>
                <c:pt idx="2">
                  <c:v>11161.897301144405</c:v>
                </c:pt>
                <c:pt idx="3">
                  <c:v>13565.979681778168</c:v>
                </c:pt>
                <c:pt idx="4">
                  <c:v>10889.007990233691</c:v>
                </c:pt>
                <c:pt idx="5">
                  <c:v>11707.675922965831</c:v>
                </c:pt>
                <c:pt idx="6">
                  <c:v>14750.512487102991</c:v>
                </c:pt>
                <c:pt idx="7">
                  <c:v>11669.036728500598</c:v>
                </c:pt>
                <c:pt idx="8">
                  <c:v>11023.037696034971</c:v>
                </c:pt>
                <c:pt idx="9">
                  <c:v>14728.777940216298</c:v>
                </c:pt>
                <c:pt idx="10">
                  <c:v>16164.46550956514</c:v>
                </c:pt>
                <c:pt idx="11">
                  <c:v>16571.384526277132</c:v>
                </c:pt>
                <c:pt idx="12">
                  <c:v>15743.056794928683</c:v>
                </c:pt>
                <c:pt idx="13">
                  <c:v>19283.2731282159</c:v>
                </c:pt>
                <c:pt idx="14">
                  <c:v>18570.043180260451</c:v>
                </c:pt>
                <c:pt idx="15">
                  <c:v>26703.764504283965</c:v>
                </c:pt>
                <c:pt idx="16">
                  <c:v>28665.725644832062</c:v>
                </c:pt>
                <c:pt idx="17">
                  <c:v>27128.963774691143</c:v>
                </c:pt>
                <c:pt idx="18">
                  <c:v>33077.736072598942</c:v>
                </c:pt>
                <c:pt idx="19">
                  <c:v>35955.862161643308</c:v>
                </c:pt>
                <c:pt idx="20">
                  <c:v>31869.744857420323</c:v>
                </c:pt>
                <c:pt idx="21">
                  <c:v>40677.352030319438</c:v>
                </c:pt>
                <c:pt idx="22">
                  <c:v>35825.101942397858</c:v>
                </c:pt>
                <c:pt idx="23">
                  <c:v>46778.881695504591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B1-4713-9AC2-D94D9B1CF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9798104"/>
        <c:axId val="510424664"/>
      </c:barChart>
      <c:catAx>
        <c:axId val="82979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24664"/>
        <c:crosses val="autoZero"/>
        <c:auto val="1"/>
        <c:lblAlgn val="ctr"/>
        <c:lblOffset val="100"/>
        <c:noMultiLvlLbl val="0"/>
      </c:catAx>
      <c:valAx>
        <c:axId val="51042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Rockfish Harvest (#s of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9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'RF harv Central'!$B$2</c:f>
              <c:strCache>
                <c:ptCount val="1"/>
                <c:pt idx="0">
                  <c:v>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'RF harv Central'!$A$4:$A$27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Central'!$B$32:$B$55</c:f>
              <c:numCache>
                <c:formatCode>_(* #,##0_);_(* \(#,##0\);_(* "-"??_);_(@_)</c:formatCode>
                <c:ptCount val="24"/>
                <c:pt idx="0">
                  <c:v>578.53455141688505</c:v>
                </c:pt>
                <c:pt idx="1">
                  <c:v>751.39027159133684</c:v>
                </c:pt>
                <c:pt idx="2">
                  <c:v>901.41361690864096</c:v>
                </c:pt>
                <c:pt idx="3">
                  <c:v>575.45358630962255</c:v>
                </c:pt>
                <c:pt idx="4">
                  <c:v>1542.1107425049988</c:v>
                </c:pt>
                <c:pt idx="5">
                  <c:v>3814.0819528108018</c:v>
                </c:pt>
                <c:pt idx="6">
                  <c:v>3185.9049884220885</c:v>
                </c:pt>
                <c:pt idx="7">
                  <c:v>2621.0288637325798</c:v>
                </c:pt>
                <c:pt idx="8">
                  <c:v>1625.5843539926127</c:v>
                </c:pt>
                <c:pt idx="9">
                  <c:v>1700.3805316267767</c:v>
                </c:pt>
                <c:pt idx="10">
                  <c:v>1440.1733811779754</c:v>
                </c:pt>
                <c:pt idx="11">
                  <c:v>1792.3410035812167</c:v>
                </c:pt>
                <c:pt idx="12">
                  <c:v>1634.3614113184426</c:v>
                </c:pt>
                <c:pt idx="13">
                  <c:v>1656.0989067905161</c:v>
                </c:pt>
                <c:pt idx="14">
                  <c:v>1745.7990518365464</c:v>
                </c:pt>
                <c:pt idx="15">
                  <c:v>3000.9497101971401</c:v>
                </c:pt>
                <c:pt idx="16">
                  <c:v>3207.5013932866418</c:v>
                </c:pt>
                <c:pt idx="17">
                  <c:v>4097.416587712285</c:v>
                </c:pt>
                <c:pt idx="18">
                  <c:v>5660.4828550359216</c:v>
                </c:pt>
                <c:pt idx="19">
                  <c:v>6473.9448151017532</c:v>
                </c:pt>
                <c:pt idx="20">
                  <c:v>10351.34650619547</c:v>
                </c:pt>
                <c:pt idx="21">
                  <c:v>20951.001437090013</c:v>
                </c:pt>
                <c:pt idx="22">
                  <c:v>15439.775004553248</c:v>
                </c:pt>
                <c:pt idx="23">
                  <c:v>16783.41620100525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7-42CB-9359-8A65E119EFFB}"/>
            </c:ext>
          </c:extLst>
        </c:ser>
        <c:ser>
          <c:idx val="1"/>
          <c:order val="1"/>
          <c:tx>
            <c:strRef>
              <c:f>'RF harv Central'!$D$2</c:f>
              <c:strCache>
                <c:ptCount val="1"/>
                <c:pt idx="0">
                  <c:v>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'RF harv Central'!$A$4:$A$27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Central'!$D$32:$D$55</c:f>
              <c:numCache>
                <c:formatCode>_(* #,##0_);_(* \(#,##0\);_(* "-"??_);_(@_)</c:formatCode>
                <c:ptCount val="24"/>
                <c:pt idx="0">
                  <c:v>5466.6655263115563</c:v>
                </c:pt>
                <c:pt idx="1">
                  <c:v>10242.860908993258</c:v>
                </c:pt>
                <c:pt idx="2">
                  <c:v>14224.29644185862</c:v>
                </c:pt>
                <c:pt idx="3">
                  <c:v>24400.137754369596</c:v>
                </c:pt>
                <c:pt idx="4">
                  <c:v>19832.929397123138</c:v>
                </c:pt>
                <c:pt idx="5">
                  <c:v>18852.364102736181</c:v>
                </c:pt>
                <c:pt idx="6">
                  <c:v>21306.208786153475</c:v>
                </c:pt>
                <c:pt idx="7">
                  <c:v>24400.436306365173</c:v>
                </c:pt>
                <c:pt idx="8">
                  <c:v>20495.339205870332</c:v>
                </c:pt>
                <c:pt idx="9">
                  <c:v>27234.791138684028</c:v>
                </c:pt>
                <c:pt idx="10">
                  <c:v>28695.453459364187</c:v>
                </c:pt>
                <c:pt idx="11">
                  <c:v>22601.944564891164</c:v>
                </c:pt>
                <c:pt idx="12">
                  <c:v>26879.228808182947</c:v>
                </c:pt>
                <c:pt idx="13">
                  <c:v>30410.518880792781</c:v>
                </c:pt>
                <c:pt idx="14">
                  <c:v>27781.014813581882</c:v>
                </c:pt>
                <c:pt idx="15">
                  <c:v>34083.147174723796</c:v>
                </c:pt>
                <c:pt idx="16">
                  <c:v>41651.075389744306</c:v>
                </c:pt>
                <c:pt idx="17">
                  <c:v>50441.674194269071</c:v>
                </c:pt>
                <c:pt idx="18">
                  <c:v>55044.008117348872</c:v>
                </c:pt>
                <c:pt idx="19">
                  <c:v>36998.861344014433</c:v>
                </c:pt>
                <c:pt idx="20">
                  <c:v>45070.801381422149</c:v>
                </c:pt>
                <c:pt idx="21">
                  <c:v>58554.617143937008</c:v>
                </c:pt>
                <c:pt idx="22">
                  <c:v>38757.512733722113</c:v>
                </c:pt>
                <c:pt idx="23">
                  <c:v>81589.802407130323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47-42CB-9359-8A65E119EFFB}"/>
            </c:ext>
          </c:extLst>
        </c:ser>
        <c:ser>
          <c:idx val="2"/>
          <c:order val="2"/>
          <c:tx>
            <c:strRef>
              <c:f>'RF harv Central'!$F$2</c:f>
              <c:strCache>
                <c:ptCount val="1"/>
                <c:pt idx="0">
                  <c:v>PWSI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'RF harv Central'!$A$4:$A$27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Central'!$F$32:$F$55</c:f>
              <c:numCache>
                <c:formatCode>_(* #,##0_);_(* \(#,##0\);_(* "-"??_);_(@_)</c:formatCode>
                <c:ptCount val="24"/>
                <c:pt idx="0">
                  <c:v>5782.7947797130391</c:v>
                </c:pt>
                <c:pt idx="1">
                  <c:v>7706.5327486835577</c:v>
                </c:pt>
                <c:pt idx="2">
                  <c:v>12191.407787586344</c:v>
                </c:pt>
                <c:pt idx="3">
                  <c:v>4739.1301098851554</c:v>
                </c:pt>
                <c:pt idx="4">
                  <c:v>9001.1135507301042</c:v>
                </c:pt>
                <c:pt idx="5">
                  <c:v>25435.09213030486</c:v>
                </c:pt>
                <c:pt idx="6">
                  <c:v>18585.405126219623</c:v>
                </c:pt>
                <c:pt idx="7">
                  <c:v>8129.0396975295071</c:v>
                </c:pt>
                <c:pt idx="8">
                  <c:v>13912.932844945317</c:v>
                </c:pt>
                <c:pt idx="9">
                  <c:v>28589.142924192056</c:v>
                </c:pt>
                <c:pt idx="10">
                  <c:v>19587.431284498049</c:v>
                </c:pt>
                <c:pt idx="11">
                  <c:v>12253.156390852704</c:v>
                </c:pt>
                <c:pt idx="12">
                  <c:v>24433.26566697465</c:v>
                </c:pt>
                <c:pt idx="13">
                  <c:v>41153.662942912924</c:v>
                </c:pt>
                <c:pt idx="14">
                  <c:v>17987.532233085069</c:v>
                </c:pt>
                <c:pt idx="15">
                  <c:v>21249.481628977708</c:v>
                </c:pt>
                <c:pt idx="16">
                  <c:v>14155.101665283793</c:v>
                </c:pt>
                <c:pt idx="17">
                  <c:v>17208.175891250874</c:v>
                </c:pt>
                <c:pt idx="18">
                  <c:v>35768.927236487783</c:v>
                </c:pt>
                <c:pt idx="19">
                  <c:v>26515.434331874218</c:v>
                </c:pt>
                <c:pt idx="20">
                  <c:v>15299.694485694679</c:v>
                </c:pt>
                <c:pt idx="21">
                  <c:v>18830.028999863069</c:v>
                </c:pt>
                <c:pt idx="22">
                  <c:v>11747.352584602875</c:v>
                </c:pt>
                <c:pt idx="23">
                  <c:v>23129.416589528293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47-42CB-9359-8A65E119EFFB}"/>
            </c:ext>
          </c:extLst>
        </c:ser>
        <c:ser>
          <c:idx val="3"/>
          <c:order val="3"/>
          <c:tx>
            <c:strRef>
              <c:f>'RF harv Central'!$H$2</c:f>
              <c:strCache>
                <c:ptCount val="1"/>
                <c:pt idx="0">
                  <c:v>PWSO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'RF harv Central'!$A$4:$A$27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Central'!$H$32:$H$55</c:f>
              <c:numCache>
                <c:formatCode>_(* #,##0_);_(* \(#,##0\);_(* "-"??_);_(@_)</c:formatCode>
                <c:ptCount val="24"/>
                <c:pt idx="0">
                  <c:v>6210.8484296374581</c:v>
                </c:pt>
                <c:pt idx="1">
                  <c:v>3885.9375357170275</c:v>
                </c:pt>
                <c:pt idx="2">
                  <c:v>8257.8405477728738</c:v>
                </c:pt>
                <c:pt idx="3">
                  <c:v>8998.1267014057557</c:v>
                </c:pt>
                <c:pt idx="4">
                  <c:v>7467.0971839415743</c:v>
                </c:pt>
                <c:pt idx="5">
                  <c:v>8752.0048103287118</c:v>
                </c:pt>
                <c:pt idx="6">
                  <c:v>10314.910298495874</c:v>
                </c:pt>
                <c:pt idx="7">
                  <c:v>8700.3739169732762</c:v>
                </c:pt>
                <c:pt idx="8">
                  <c:v>7293.5996667101936</c:v>
                </c:pt>
                <c:pt idx="9">
                  <c:v>9945.281928068971</c:v>
                </c:pt>
                <c:pt idx="10">
                  <c:v>11067.568207848319</c:v>
                </c:pt>
                <c:pt idx="11">
                  <c:v>10351.784157265687</c:v>
                </c:pt>
                <c:pt idx="12">
                  <c:v>9550.0066139790742</c:v>
                </c:pt>
                <c:pt idx="13">
                  <c:v>13511.389229897632</c:v>
                </c:pt>
                <c:pt idx="14">
                  <c:v>10965.405775255005</c:v>
                </c:pt>
                <c:pt idx="15">
                  <c:v>14211.254064056518</c:v>
                </c:pt>
                <c:pt idx="16">
                  <c:v>17414.864695871405</c:v>
                </c:pt>
                <c:pt idx="17">
                  <c:v>14750.918130976226</c:v>
                </c:pt>
                <c:pt idx="18">
                  <c:v>20499.475462710096</c:v>
                </c:pt>
                <c:pt idx="19">
                  <c:v>23211.677413459453</c:v>
                </c:pt>
                <c:pt idx="20">
                  <c:v>22024.818525746632</c:v>
                </c:pt>
                <c:pt idx="21">
                  <c:v>24580.990618561074</c:v>
                </c:pt>
                <c:pt idx="22">
                  <c:v>25049.538032354885</c:v>
                </c:pt>
                <c:pt idx="23">
                  <c:v>32867.033801571837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47-42CB-9359-8A65E119E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9798104"/>
        <c:axId val="510424664"/>
      </c:barChart>
      <c:catAx>
        <c:axId val="82979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24664"/>
        <c:crosses val="autoZero"/>
        <c:auto val="1"/>
        <c:lblAlgn val="ctr"/>
        <c:lblOffset val="100"/>
        <c:noMultiLvlLbl val="0"/>
      </c:catAx>
      <c:valAx>
        <c:axId val="51042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Black Rockfish Harvest (#s of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9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'rockfish harvests'!$B$2:$B$26</c:f>
            </c:multiLvlStrRef>
          </c:cat>
          <c:val>
            <c:numRef>
              <c:f>'rockfish harvests'!$D$127:$D$151</c:f>
            </c:numRef>
          </c:val>
          <c:smooth val="0"/>
          <c:extLst>
            <c:ext xmlns:c16="http://schemas.microsoft.com/office/drawing/2014/chart" uri="{C3380CC4-5D6E-409C-BE32-E72D297353CC}">
              <c16:uniqueId val="{00000000-69B0-47A6-89AB-50A2D59D2D17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harvests'!$N$127:$N$150</c:f>
              </c:numRef>
            </c:plus>
            <c:minus>
              <c:numRef>
                <c:f>'rockfish harvests'!$N$127:$N$150</c:f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'rockfish harvests'!$B$2:$B$26</c:f>
            </c:multiLvlStrRef>
          </c:cat>
          <c:val>
            <c:numRef>
              <c:f>'rockfish harvests'!$O$127:$O$151</c:f>
            </c:numRef>
          </c:val>
          <c:smooth val="0"/>
          <c:extLst>
            <c:ext xmlns:c16="http://schemas.microsoft.com/office/drawing/2014/chart" uri="{C3380CC4-5D6E-409C-BE32-E72D297353CC}">
              <c16:uniqueId val="{00000001-69B0-47A6-89AB-50A2D59D2D17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harvests'!$N$127:$N$150</c:f>
              </c:numRef>
            </c:plus>
            <c:minus>
              <c:numRef>
                <c:f>'rockfish harvests'!$N$127:$N$150</c:f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multiLvlStrRef>
              <c:f>'rockfish harvests'!$B$2:$B$26</c:f>
            </c:multiLvlStrRef>
          </c:cat>
          <c:val>
            <c:numRef>
              <c:f>'rockfish harvests'!$K$127:$K$151</c:f>
            </c:numRef>
          </c:val>
          <c:smooth val="0"/>
          <c:extLst>
            <c:ext xmlns:c16="http://schemas.microsoft.com/office/drawing/2014/chart" uri="{C3380CC4-5D6E-409C-BE32-E72D297353CC}">
              <c16:uniqueId val="{00000002-69B0-47A6-89AB-50A2D59D2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'RF harv Central'!$B$2</c:f>
              <c:strCache>
                <c:ptCount val="1"/>
                <c:pt idx="0">
                  <c:v>CI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'RF harv Central'!$A$4:$A$27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Central'!$B$61:$B$84</c:f>
              <c:numCache>
                <c:formatCode>_(* #,##0_);_(* \(#,##0\);_(* "-"??_);_(@_)</c:formatCode>
                <c:ptCount val="24"/>
                <c:pt idx="0">
                  <c:v>114.63402784599876</c:v>
                </c:pt>
                <c:pt idx="1">
                  <c:v>38.800047057367813</c:v>
                </c:pt>
                <c:pt idx="2">
                  <c:v>82.832973413741342</c:v>
                </c:pt>
                <c:pt idx="3">
                  <c:v>26.247090656454695</c:v>
                </c:pt>
                <c:pt idx="4">
                  <c:v>130.71241575619871</c:v>
                </c:pt>
                <c:pt idx="5">
                  <c:v>196.73455169304972</c:v>
                </c:pt>
                <c:pt idx="6">
                  <c:v>156.20412224047752</c:v>
                </c:pt>
                <c:pt idx="7">
                  <c:v>100.95751210525455</c:v>
                </c:pt>
                <c:pt idx="8">
                  <c:v>126.6134894673573</c:v>
                </c:pt>
                <c:pt idx="9">
                  <c:v>123.72875336864286</c:v>
                </c:pt>
                <c:pt idx="10">
                  <c:v>121.12828977583996</c:v>
                </c:pt>
                <c:pt idx="11">
                  <c:v>142</c:v>
                </c:pt>
                <c:pt idx="12">
                  <c:v>185</c:v>
                </c:pt>
                <c:pt idx="13">
                  <c:v>217.90577346278317</c:v>
                </c:pt>
                <c:pt idx="14">
                  <c:v>285.76097223449557</c:v>
                </c:pt>
                <c:pt idx="15">
                  <c:v>340.58643347341899</c:v>
                </c:pt>
                <c:pt idx="16">
                  <c:v>207.87273338704921</c:v>
                </c:pt>
                <c:pt idx="17">
                  <c:v>235.32596925154078</c:v>
                </c:pt>
                <c:pt idx="18">
                  <c:v>185</c:v>
                </c:pt>
                <c:pt idx="19">
                  <c:v>514.05519472633296</c:v>
                </c:pt>
                <c:pt idx="20">
                  <c:v>551.95790333136938</c:v>
                </c:pt>
                <c:pt idx="21">
                  <c:v>546.45169971794257</c:v>
                </c:pt>
                <c:pt idx="22">
                  <c:v>794.25331621737269</c:v>
                </c:pt>
                <c:pt idx="23">
                  <c:v>568.3968155886148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F-4C59-A874-5C1417C84AEA}"/>
            </c:ext>
          </c:extLst>
        </c:ser>
        <c:ser>
          <c:idx val="1"/>
          <c:order val="1"/>
          <c:tx>
            <c:strRef>
              <c:f>'RF harv Central'!$D$2</c:f>
              <c:strCache>
                <c:ptCount val="1"/>
                <c:pt idx="0">
                  <c:v>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'RF harv Central'!$A$4:$A$27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Central'!$D$61:$D$84</c:f>
              <c:numCache>
                <c:formatCode>_(* #,##0_);_(* \(#,##0\);_(* "-"??_);_(@_)</c:formatCode>
                <c:ptCount val="24"/>
                <c:pt idx="0">
                  <c:v>1010.8472744741673</c:v>
                </c:pt>
                <c:pt idx="1">
                  <c:v>1972.8827593606434</c:v>
                </c:pt>
                <c:pt idx="2">
                  <c:v>2251.7961901175809</c:v>
                </c:pt>
                <c:pt idx="3">
                  <c:v>3630.8895239532312</c:v>
                </c:pt>
                <c:pt idx="4">
                  <c:v>2277.5040950429998</c:v>
                </c:pt>
                <c:pt idx="5">
                  <c:v>3741.5840380937025</c:v>
                </c:pt>
                <c:pt idx="6">
                  <c:v>4547.3562745164036</c:v>
                </c:pt>
                <c:pt idx="7">
                  <c:v>4442.565926288662</c:v>
                </c:pt>
                <c:pt idx="8">
                  <c:v>4727.1493236848582</c:v>
                </c:pt>
                <c:pt idx="9">
                  <c:v>4495.907789828324</c:v>
                </c:pt>
                <c:pt idx="10">
                  <c:v>4994.3702105900184</c:v>
                </c:pt>
                <c:pt idx="11">
                  <c:v>3701.4340015587459</c:v>
                </c:pt>
                <c:pt idx="12">
                  <c:v>4968.1559316658286</c:v>
                </c:pt>
                <c:pt idx="13">
                  <c:v>10669.006809314189</c:v>
                </c:pt>
                <c:pt idx="14">
                  <c:v>7206.7994962189441</c:v>
                </c:pt>
                <c:pt idx="15">
                  <c:v>5204.2948050256036</c:v>
                </c:pt>
                <c:pt idx="16">
                  <c:v>6051.9873365581861</c:v>
                </c:pt>
                <c:pt idx="17">
                  <c:v>6603.921463759305</c:v>
                </c:pt>
                <c:pt idx="18">
                  <c:v>7593.0449405866093</c:v>
                </c:pt>
                <c:pt idx="19">
                  <c:v>4799.5903715376362</c:v>
                </c:pt>
                <c:pt idx="20">
                  <c:v>7839.9500647929945</c:v>
                </c:pt>
                <c:pt idx="21">
                  <c:v>11737.347942109271</c:v>
                </c:pt>
                <c:pt idx="22">
                  <c:v>7241.3555109284898</c:v>
                </c:pt>
                <c:pt idx="23">
                  <c:v>9648.7054447608243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CF-4C59-A874-5C1417C84AEA}"/>
            </c:ext>
          </c:extLst>
        </c:ser>
        <c:ser>
          <c:idx val="2"/>
          <c:order val="2"/>
          <c:tx>
            <c:strRef>
              <c:f>'RF harv Central'!$F$2</c:f>
              <c:strCache>
                <c:ptCount val="1"/>
                <c:pt idx="0">
                  <c:v>PWSI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'RF harv Central'!$A$4:$A$27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Central'!$F$61:$F$84</c:f>
              <c:numCache>
                <c:formatCode>_(* #,##0_);_(* \(#,##0\);_(* "-"??_);_(@_)</c:formatCode>
                <c:ptCount val="24"/>
                <c:pt idx="0">
                  <c:v>4323.3091952068589</c:v>
                </c:pt>
                <c:pt idx="1">
                  <c:v>6232.4939588887446</c:v>
                </c:pt>
                <c:pt idx="2">
                  <c:v>4193.5807750539725</c:v>
                </c:pt>
                <c:pt idx="3">
                  <c:v>16006.251354019303</c:v>
                </c:pt>
                <c:pt idx="4">
                  <c:v>12764.663929567156</c:v>
                </c:pt>
                <c:pt idx="5">
                  <c:v>7553.370735548353</c:v>
                </c:pt>
                <c:pt idx="6">
                  <c:v>10754.231952603139</c:v>
                </c:pt>
                <c:pt idx="7">
                  <c:v>15412.96534265212</c:v>
                </c:pt>
                <c:pt idx="8">
                  <c:v>7057.6247000212579</c:v>
                </c:pt>
                <c:pt idx="9">
                  <c:v>6812.5266224150455</c:v>
                </c:pt>
                <c:pt idx="10">
                  <c:v>6020.3625949699981</c:v>
                </c:pt>
                <c:pt idx="11">
                  <c:v>6656.4104345946271</c:v>
                </c:pt>
                <c:pt idx="12">
                  <c:v>5890.5222992868257</c:v>
                </c:pt>
                <c:pt idx="13">
                  <c:v>10013.149281726068</c:v>
                </c:pt>
                <c:pt idx="14">
                  <c:v>11293.970363139695</c:v>
                </c:pt>
                <c:pt idx="15">
                  <c:v>8547.6810594375947</c:v>
                </c:pt>
                <c:pt idx="16">
                  <c:v>14881.883454497516</c:v>
                </c:pt>
                <c:pt idx="17">
                  <c:v>23885.877389538386</c:v>
                </c:pt>
                <c:pt idx="18">
                  <c:v>12059.125859241933</c:v>
                </c:pt>
                <c:pt idx="19">
                  <c:v>10753.720765991142</c:v>
                </c:pt>
                <c:pt idx="20">
                  <c:v>5220.3968911926113</c:v>
                </c:pt>
                <c:pt idx="21">
                  <c:v>12090.512924557934</c:v>
                </c:pt>
                <c:pt idx="22">
                  <c:v>5896.8659756685465</c:v>
                </c:pt>
                <c:pt idx="23">
                  <c:v>8237.8394221007584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CF-4C59-A874-5C1417C84AEA}"/>
            </c:ext>
          </c:extLst>
        </c:ser>
        <c:ser>
          <c:idx val="3"/>
          <c:order val="3"/>
          <c:tx>
            <c:strRef>
              <c:f>'RF harv Central'!$H$2</c:f>
              <c:strCache>
                <c:ptCount val="1"/>
                <c:pt idx="0">
                  <c:v>PWSO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'RF harv Central'!$A$4:$A$27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Central'!$H$61:$H$84</c:f>
              <c:numCache>
                <c:formatCode>_(* #,##0_);_(* \(#,##0\);_(* "-"??_);_(@_)</c:formatCode>
                <c:ptCount val="24"/>
                <c:pt idx="0">
                  <c:v>1524.7131150898849</c:v>
                </c:pt>
                <c:pt idx="1">
                  <c:v>1372.4240179057144</c:v>
                </c:pt>
                <c:pt idx="2">
                  <c:v>2233.1015129593766</c:v>
                </c:pt>
                <c:pt idx="3">
                  <c:v>3273.5906180914117</c:v>
                </c:pt>
                <c:pt idx="4">
                  <c:v>2405.0861038705875</c:v>
                </c:pt>
                <c:pt idx="5">
                  <c:v>2217.1441774115324</c:v>
                </c:pt>
                <c:pt idx="6">
                  <c:v>2785.262202098957</c:v>
                </c:pt>
                <c:pt idx="7">
                  <c:v>1719.0524302587439</c:v>
                </c:pt>
                <c:pt idx="8">
                  <c:v>2735.8421010569841</c:v>
                </c:pt>
                <c:pt idx="9">
                  <c:v>3686.3072569496212</c:v>
                </c:pt>
                <c:pt idx="10">
                  <c:v>3344.2297301840117</c:v>
                </c:pt>
                <c:pt idx="11">
                  <c:v>3440.3571153935532</c:v>
                </c:pt>
                <c:pt idx="12">
                  <c:v>3859.3487313610804</c:v>
                </c:pt>
                <c:pt idx="13">
                  <c:v>3631.4346867570644</c:v>
                </c:pt>
                <c:pt idx="14">
                  <c:v>3898.828160604784</c:v>
                </c:pt>
                <c:pt idx="15">
                  <c:v>3983.719893661133</c:v>
                </c:pt>
                <c:pt idx="16">
                  <c:v>4750.0547256455111</c:v>
                </c:pt>
                <c:pt idx="17">
                  <c:v>4469.9577383771712</c:v>
                </c:pt>
                <c:pt idx="18">
                  <c:v>6063.5322109110748</c:v>
                </c:pt>
                <c:pt idx="19">
                  <c:v>6412.5704511017502</c:v>
                </c:pt>
                <c:pt idx="20">
                  <c:v>4288.0212741982687</c:v>
                </c:pt>
                <c:pt idx="21">
                  <c:v>6165.5368305679594</c:v>
                </c:pt>
                <c:pt idx="22">
                  <c:v>4173.7521858856489</c:v>
                </c:pt>
                <c:pt idx="23">
                  <c:v>5894.1105598690137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CF-4C59-A874-5C1417C84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9798104"/>
        <c:axId val="510424664"/>
      </c:barChart>
      <c:catAx>
        <c:axId val="82979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24664"/>
        <c:crosses val="autoZero"/>
        <c:auto val="1"/>
        <c:lblAlgn val="ctr"/>
        <c:lblOffset val="100"/>
        <c:noMultiLvlLbl val="0"/>
      </c:catAx>
      <c:valAx>
        <c:axId val="51042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Yelloweye Rockfish Harvest (#s of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9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'RF harv SEAK'!$B$2</c:f>
              <c:strCache>
                <c:ptCount val="1"/>
                <c:pt idx="0">
                  <c:v>CSEO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'RF harv SEAK'!$A$4:$A$27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SEAK'!$B$4:$B$27</c:f>
              <c:numCache>
                <c:formatCode>_(* #,##0_);_(* \(#,##0\);_(* "-"??_);_(@_)</c:formatCode>
                <c:ptCount val="24"/>
                <c:pt idx="0">
                  <c:v>10785.556656147837</c:v>
                </c:pt>
                <c:pt idx="1">
                  <c:v>11096.479173461516</c:v>
                </c:pt>
                <c:pt idx="2">
                  <c:v>19409.626034526136</c:v>
                </c:pt>
                <c:pt idx="3">
                  <c:v>17369.053069045251</c:v>
                </c:pt>
                <c:pt idx="4">
                  <c:v>16126.514564669476</c:v>
                </c:pt>
                <c:pt idx="5">
                  <c:v>17586.698831164827</c:v>
                </c:pt>
                <c:pt idx="6">
                  <c:v>25099.50810136646</c:v>
                </c:pt>
                <c:pt idx="7">
                  <c:v>31442.327454565508</c:v>
                </c:pt>
                <c:pt idx="8">
                  <c:v>38863.01153445198</c:v>
                </c:pt>
                <c:pt idx="9">
                  <c:v>44269.608641073173</c:v>
                </c:pt>
                <c:pt idx="10">
                  <c:v>60918.9336607812</c:v>
                </c:pt>
                <c:pt idx="11">
                  <c:v>36524.183265325752</c:v>
                </c:pt>
                <c:pt idx="12">
                  <c:v>50453.51204097856</c:v>
                </c:pt>
                <c:pt idx="13">
                  <c:v>68480.968038392311</c:v>
                </c:pt>
                <c:pt idx="14">
                  <c:v>63827.587639698155</c:v>
                </c:pt>
                <c:pt idx="15">
                  <c:v>70364.987163814178</c:v>
                </c:pt>
                <c:pt idx="16">
                  <c:v>86708.052896462119</c:v>
                </c:pt>
                <c:pt idx="17">
                  <c:v>88259.545990311773</c:v>
                </c:pt>
                <c:pt idx="18">
                  <c:v>63347.772142219961</c:v>
                </c:pt>
                <c:pt idx="19">
                  <c:v>71940.082903438393</c:v>
                </c:pt>
                <c:pt idx="20">
                  <c:v>61699.047320720041</c:v>
                </c:pt>
                <c:pt idx="21">
                  <c:v>69676.250304369401</c:v>
                </c:pt>
                <c:pt idx="22">
                  <c:v>30307.582512931756</c:v>
                </c:pt>
                <c:pt idx="23">
                  <c:v>62821.383245691672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1-487E-9DB1-1FEC84DB5EBD}"/>
            </c:ext>
          </c:extLst>
        </c:ser>
        <c:ser>
          <c:idx val="1"/>
          <c:order val="1"/>
          <c:tx>
            <c:strRef>
              <c:f>'RF harv SEAK'!$D$2</c:f>
              <c:strCache>
                <c:ptCount val="1"/>
                <c:pt idx="0">
                  <c:v>EWYKT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'RF harv SEAK'!$A$4:$A$27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SEAK'!$D$4:$D$27</c:f>
              <c:numCache>
                <c:formatCode>_(* #,##0_);_(* \(#,##0\);_(* "-"??_);_(@_)</c:formatCode>
                <c:ptCount val="24"/>
                <c:pt idx="0">
                  <c:v>1645.0389532640204</c:v>
                </c:pt>
                <c:pt idx="1">
                  <c:v>835.7554222329851</c:v>
                </c:pt>
                <c:pt idx="2">
                  <c:v>1511.4189310065597</c:v>
                </c:pt>
                <c:pt idx="3">
                  <c:v>1314.7705963635044</c:v>
                </c:pt>
                <c:pt idx="4">
                  <c:v>1125.6856592067204</c:v>
                </c:pt>
                <c:pt idx="5">
                  <c:v>2050.9412850272502</c:v>
                </c:pt>
                <c:pt idx="6">
                  <c:v>1892.1099378155513</c:v>
                </c:pt>
                <c:pt idx="7">
                  <c:v>2112.7090311651327</c:v>
                </c:pt>
                <c:pt idx="8">
                  <c:v>3187.9720404633777</c:v>
                </c:pt>
                <c:pt idx="9">
                  <c:v>2886.6967072602351</c:v>
                </c:pt>
                <c:pt idx="10">
                  <c:v>3601.4377697128784</c:v>
                </c:pt>
                <c:pt idx="11">
                  <c:v>3143.852221793461</c:v>
                </c:pt>
                <c:pt idx="12">
                  <c:v>3069.4788131784594</c:v>
                </c:pt>
                <c:pt idx="13">
                  <c:v>4284.4366812227072</c:v>
                </c:pt>
                <c:pt idx="14">
                  <c:v>3776.1442770118629</c:v>
                </c:pt>
                <c:pt idx="15">
                  <c:v>4475.3664881407803</c:v>
                </c:pt>
                <c:pt idx="16">
                  <c:v>5718.1397849462364</c:v>
                </c:pt>
                <c:pt idx="17">
                  <c:v>8126.5678935972783</c:v>
                </c:pt>
                <c:pt idx="18">
                  <c:v>9606.8674308497375</c:v>
                </c:pt>
                <c:pt idx="19">
                  <c:v>7580.0488400488402</c:v>
                </c:pt>
                <c:pt idx="20">
                  <c:v>10630.379506304387</c:v>
                </c:pt>
                <c:pt idx="21">
                  <c:v>10910.494473531124</c:v>
                </c:pt>
                <c:pt idx="22">
                  <c:v>4973.6383877159315</c:v>
                </c:pt>
                <c:pt idx="23">
                  <c:v>8856.750779741571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1-487E-9DB1-1FEC84DB5EBD}"/>
            </c:ext>
          </c:extLst>
        </c:ser>
        <c:ser>
          <c:idx val="2"/>
          <c:order val="2"/>
          <c:tx>
            <c:strRef>
              <c:f>'RF harv SEAK'!$F$2</c:f>
              <c:strCache>
                <c:ptCount val="1"/>
                <c:pt idx="0">
                  <c:v>NSEI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'RF harv SEAK'!$A$4:$A$27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SEAK'!$F$4:$F$27</c:f>
              <c:numCache>
                <c:formatCode>_(* #,##0_);_(* \(#,##0\);_(* "-"??_);_(@_)</c:formatCode>
                <c:ptCount val="24"/>
                <c:pt idx="0">
                  <c:v>8429.4015142904627</c:v>
                </c:pt>
                <c:pt idx="1">
                  <c:v>10148.776127801366</c:v>
                </c:pt>
                <c:pt idx="2">
                  <c:v>15544.550077251628</c:v>
                </c:pt>
                <c:pt idx="3">
                  <c:v>11550.752273697548</c:v>
                </c:pt>
                <c:pt idx="4">
                  <c:v>7907.8472484109971</c:v>
                </c:pt>
                <c:pt idx="5">
                  <c:v>9679.8557786620295</c:v>
                </c:pt>
                <c:pt idx="6">
                  <c:v>9652.7413367049921</c:v>
                </c:pt>
                <c:pt idx="7">
                  <c:v>12246.157961536836</c:v>
                </c:pt>
                <c:pt idx="8">
                  <c:v>10266.803698673171</c:v>
                </c:pt>
                <c:pt idx="9">
                  <c:v>11960.658837400981</c:v>
                </c:pt>
                <c:pt idx="10">
                  <c:v>17421.826440982921</c:v>
                </c:pt>
                <c:pt idx="11">
                  <c:v>14873.068897021491</c:v>
                </c:pt>
                <c:pt idx="12">
                  <c:v>19047.097991231167</c:v>
                </c:pt>
                <c:pt idx="13">
                  <c:v>21134.144125958821</c:v>
                </c:pt>
                <c:pt idx="14">
                  <c:v>30331.837840909095</c:v>
                </c:pt>
                <c:pt idx="15">
                  <c:v>22942.238805970148</c:v>
                </c:pt>
                <c:pt idx="16">
                  <c:v>32276.119924151324</c:v>
                </c:pt>
                <c:pt idx="17">
                  <c:v>31763.885700148439</c:v>
                </c:pt>
                <c:pt idx="18">
                  <c:v>40066.291818701371</c:v>
                </c:pt>
                <c:pt idx="19">
                  <c:v>41111.228360636691</c:v>
                </c:pt>
                <c:pt idx="20">
                  <c:v>50022.26901059274</c:v>
                </c:pt>
                <c:pt idx="21">
                  <c:v>59476.361216730038</c:v>
                </c:pt>
                <c:pt idx="22">
                  <c:v>22443.397890444958</c:v>
                </c:pt>
                <c:pt idx="23">
                  <c:v>41077.489980580918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1-487E-9DB1-1FEC84DB5EBD}"/>
            </c:ext>
          </c:extLst>
        </c:ser>
        <c:ser>
          <c:idx val="3"/>
          <c:order val="3"/>
          <c:tx>
            <c:strRef>
              <c:f>'RF harv SEAK'!$H$2</c:f>
              <c:strCache>
                <c:ptCount val="1"/>
                <c:pt idx="0">
                  <c:v>NSEO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'RF harv SEAK'!$A$4:$A$27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SEAK'!$H$4:$H$27</c:f>
              <c:numCache>
                <c:formatCode>_(* #,##0_);_(* \(#,##0\);_(* "-"??_);_(@_)</c:formatCode>
                <c:ptCount val="24"/>
                <c:pt idx="0">
                  <c:v>1718.6553389715536</c:v>
                </c:pt>
                <c:pt idx="1">
                  <c:v>1639.073791663877</c:v>
                </c:pt>
                <c:pt idx="2">
                  <c:v>4412.1846324621447</c:v>
                </c:pt>
                <c:pt idx="3">
                  <c:v>4344.8464001248803</c:v>
                </c:pt>
                <c:pt idx="4">
                  <c:v>3105.2107593706878</c:v>
                </c:pt>
                <c:pt idx="5">
                  <c:v>4718.26750672244</c:v>
                </c:pt>
                <c:pt idx="6">
                  <c:v>4473.4012073142039</c:v>
                </c:pt>
                <c:pt idx="7">
                  <c:v>4279.0385821589171</c:v>
                </c:pt>
                <c:pt idx="8">
                  <c:v>4680.0071474399028</c:v>
                </c:pt>
                <c:pt idx="9">
                  <c:v>6528.7477079720811</c:v>
                </c:pt>
                <c:pt idx="10">
                  <c:v>7667.3760002203771</c:v>
                </c:pt>
                <c:pt idx="11">
                  <c:v>4312.7076983275492</c:v>
                </c:pt>
                <c:pt idx="12">
                  <c:v>7059.8014948136924</c:v>
                </c:pt>
                <c:pt idx="13">
                  <c:v>11059.863872082973</c:v>
                </c:pt>
                <c:pt idx="14">
                  <c:v>12656.140350877193</c:v>
                </c:pt>
                <c:pt idx="15">
                  <c:v>10533.463803255974</c:v>
                </c:pt>
                <c:pt idx="16">
                  <c:v>18410.250883987203</c:v>
                </c:pt>
                <c:pt idx="17">
                  <c:v>13685.480355422331</c:v>
                </c:pt>
                <c:pt idx="18">
                  <c:v>7499.6278507924235</c:v>
                </c:pt>
                <c:pt idx="19">
                  <c:v>16078.017147192715</c:v>
                </c:pt>
                <c:pt idx="20">
                  <c:v>18860.883640705848</c:v>
                </c:pt>
                <c:pt idx="21">
                  <c:v>18193.663451672481</c:v>
                </c:pt>
                <c:pt idx="22">
                  <c:v>4399.5719163465646</c:v>
                </c:pt>
                <c:pt idx="23">
                  <c:v>15994.894678355353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71-487E-9DB1-1FEC84DB5EBD}"/>
            </c:ext>
          </c:extLst>
        </c:ser>
        <c:ser>
          <c:idx val="4"/>
          <c:order val="4"/>
          <c:tx>
            <c:strRef>
              <c:f>'RF harv SEAK'!$J$2</c:f>
              <c:strCache>
                <c:ptCount val="1"/>
                <c:pt idx="0">
                  <c:v>SSEI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'RF harv SEAK'!$A$4:$A$27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SEAK'!$J$4:$J$27</c:f>
              <c:numCache>
                <c:formatCode>_(* #,##0_);_(* \(#,##0\);_(* "-"??_);_(@_)</c:formatCode>
                <c:ptCount val="24"/>
                <c:pt idx="0">
                  <c:v>13683.476763338715</c:v>
                </c:pt>
                <c:pt idx="1">
                  <c:v>16107.207114806952</c:v>
                </c:pt>
                <c:pt idx="2">
                  <c:v>26202.076811318933</c:v>
                </c:pt>
                <c:pt idx="3">
                  <c:v>20430.145469364368</c:v>
                </c:pt>
                <c:pt idx="4">
                  <c:v>17556.200102204104</c:v>
                </c:pt>
                <c:pt idx="5">
                  <c:v>24615.396707472279</c:v>
                </c:pt>
                <c:pt idx="6">
                  <c:v>28837.801611923707</c:v>
                </c:pt>
                <c:pt idx="7">
                  <c:v>33501.679492927513</c:v>
                </c:pt>
                <c:pt idx="8">
                  <c:v>38714.120329944417</c:v>
                </c:pt>
                <c:pt idx="9">
                  <c:v>44514.463299102848</c:v>
                </c:pt>
                <c:pt idx="10">
                  <c:v>40991.421525823498</c:v>
                </c:pt>
                <c:pt idx="11">
                  <c:v>32426.408678750442</c:v>
                </c:pt>
                <c:pt idx="12">
                  <c:v>43742.978345028649</c:v>
                </c:pt>
                <c:pt idx="13">
                  <c:v>43385.656259472569</c:v>
                </c:pt>
                <c:pt idx="14">
                  <c:v>51250.239687848378</c:v>
                </c:pt>
                <c:pt idx="15">
                  <c:v>59046.842065821518</c:v>
                </c:pt>
                <c:pt idx="16">
                  <c:v>58838.073336968373</c:v>
                </c:pt>
                <c:pt idx="17">
                  <c:v>60956.645359656926</c:v>
                </c:pt>
                <c:pt idx="18">
                  <c:v>66405.532446281708</c:v>
                </c:pt>
                <c:pt idx="19">
                  <c:v>62909.834871736792</c:v>
                </c:pt>
                <c:pt idx="20">
                  <c:v>76774.8595505618</c:v>
                </c:pt>
                <c:pt idx="21">
                  <c:v>105817.34860446323</c:v>
                </c:pt>
                <c:pt idx="22">
                  <c:v>26303.649154865238</c:v>
                </c:pt>
                <c:pt idx="23">
                  <c:v>42574.636497865038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71-487E-9DB1-1FEC84DB5EBD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'RF harv SEAK'!$A$4:$A$27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SEAK'!$L$4:$L$27</c:f>
              <c:numCache>
                <c:formatCode>_(* #,##0_);_(* \(#,##0\);_(* "-"??_);_(@_)</c:formatCode>
                <c:ptCount val="24"/>
                <c:pt idx="0">
                  <c:v>4728.4215757484271</c:v>
                </c:pt>
                <c:pt idx="1">
                  <c:v>6852.8709556215817</c:v>
                </c:pt>
                <c:pt idx="2">
                  <c:v>10258.522162769743</c:v>
                </c:pt>
                <c:pt idx="3">
                  <c:v>8545.304423864347</c:v>
                </c:pt>
                <c:pt idx="4">
                  <c:v>11308.127831232579</c:v>
                </c:pt>
                <c:pt idx="5">
                  <c:v>10237.737892107112</c:v>
                </c:pt>
                <c:pt idx="6">
                  <c:v>14936.467652623209</c:v>
                </c:pt>
                <c:pt idx="7">
                  <c:v>18803.826586634088</c:v>
                </c:pt>
                <c:pt idx="8">
                  <c:v>17825.481274728842</c:v>
                </c:pt>
                <c:pt idx="9">
                  <c:v>17841.811773106623</c:v>
                </c:pt>
                <c:pt idx="10">
                  <c:v>26357.424381738641</c:v>
                </c:pt>
                <c:pt idx="11">
                  <c:v>14318.877895790762</c:v>
                </c:pt>
                <c:pt idx="12">
                  <c:v>18431.194305468358</c:v>
                </c:pt>
                <c:pt idx="13">
                  <c:v>17425.832645403378</c:v>
                </c:pt>
                <c:pt idx="14">
                  <c:v>21501.484048613747</c:v>
                </c:pt>
                <c:pt idx="15">
                  <c:v>22683.680191645457</c:v>
                </c:pt>
                <c:pt idx="16">
                  <c:v>24422.057259158752</c:v>
                </c:pt>
                <c:pt idx="17">
                  <c:v>33215.524335519505</c:v>
                </c:pt>
                <c:pt idx="18">
                  <c:v>27237.761702821725</c:v>
                </c:pt>
                <c:pt idx="19">
                  <c:v>28180.221332705438</c:v>
                </c:pt>
                <c:pt idx="20">
                  <c:v>39816.635899450121</c:v>
                </c:pt>
                <c:pt idx="21">
                  <c:v>39271.985999299963</c:v>
                </c:pt>
                <c:pt idx="22">
                  <c:v>15388.622535579058</c:v>
                </c:pt>
                <c:pt idx="23">
                  <c:v>31069.087000071548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71-487E-9DB1-1FEC84DB5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9798104"/>
        <c:axId val="510424664"/>
      </c:barChart>
      <c:catAx>
        <c:axId val="82979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24664"/>
        <c:crosses val="autoZero"/>
        <c:auto val="1"/>
        <c:lblAlgn val="ctr"/>
        <c:lblOffset val="100"/>
        <c:noMultiLvlLbl val="0"/>
      </c:catAx>
      <c:valAx>
        <c:axId val="51042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Rockfish Harvest (#s of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9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'RF harv SEAK'!$B$2</c:f>
              <c:strCache>
                <c:ptCount val="1"/>
                <c:pt idx="0">
                  <c:v>CSEO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'RF harv SEAK'!$A$4:$A$27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SEAK'!$B$32:$B$55</c:f>
              <c:numCache>
                <c:formatCode>_(* #,##0_);_(* \(#,##0\);_(* "-"??_);_(@_)</c:formatCode>
                <c:ptCount val="24"/>
                <c:pt idx="0">
                  <c:v>5109.2861107933395</c:v>
                </c:pt>
                <c:pt idx="1">
                  <c:v>4526.4484377305489</c:v>
                </c:pt>
                <c:pt idx="2">
                  <c:v>7017.4540045510321</c:v>
                </c:pt>
                <c:pt idx="3">
                  <c:v>5186.799467588633</c:v>
                </c:pt>
                <c:pt idx="4">
                  <c:v>6222.3760168044737</c:v>
                </c:pt>
                <c:pt idx="5">
                  <c:v>7783.1235787198812</c:v>
                </c:pt>
                <c:pt idx="6">
                  <c:v>11311.709402952769</c:v>
                </c:pt>
                <c:pt idx="7">
                  <c:v>14771.632028089245</c:v>
                </c:pt>
                <c:pt idx="8">
                  <c:v>22682.73202205935</c:v>
                </c:pt>
                <c:pt idx="9">
                  <c:v>27069.196654343843</c:v>
                </c:pt>
                <c:pt idx="10">
                  <c:v>41752.648530161903</c:v>
                </c:pt>
                <c:pt idx="11">
                  <c:v>24307.666775303973</c:v>
                </c:pt>
                <c:pt idx="12">
                  <c:v>33554.270625346166</c:v>
                </c:pt>
                <c:pt idx="13">
                  <c:v>50769.780446855933</c:v>
                </c:pt>
                <c:pt idx="14">
                  <c:v>45759.208903555111</c:v>
                </c:pt>
                <c:pt idx="15">
                  <c:v>53329.116116007412</c:v>
                </c:pt>
                <c:pt idx="16">
                  <c:v>65132.033713635894</c:v>
                </c:pt>
                <c:pt idx="17">
                  <c:v>66092.534663024664</c:v>
                </c:pt>
                <c:pt idx="18">
                  <c:v>44433.393824987477</c:v>
                </c:pt>
                <c:pt idx="19">
                  <c:v>50392.762800125296</c:v>
                </c:pt>
                <c:pt idx="20">
                  <c:v>45639.668896178824</c:v>
                </c:pt>
                <c:pt idx="21">
                  <c:v>53287.147799392013</c:v>
                </c:pt>
                <c:pt idx="22">
                  <c:v>27429.026898153828</c:v>
                </c:pt>
                <c:pt idx="23">
                  <c:v>57830.014973251484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E-40D8-BFDF-C49EBB1BB557}"/>
            </c:ext>
          </c:extLst>
        </c:ser>
        <c:ser>
          <c:idx val="1"/>
          <c:order val="1"/>
          <c:tx>
            <c:strRef>
              <c:f>'RF harv SEAK'!$D$2</c:f>
              <c:strCache>
                <c:ptCount val="1"/>
                <c:pt idx="0">
                  <c:v>EWYKT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'RF harv SEAK'!$A$4:$A$27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SEAK'!$D$32:$D$55</c:f>
              <c:numCache>
                <c:formatCode>_(* #,##0_);_(* \(#,##0\);_(* "-"??_);_(@_)</c:formatCode>
                <c:ptCount val="24"/>
                <c:pt idx="0">
                  <c:v>985.83253862133824</c:v>
                </c:pt>
                <c:pt idx="1">
                  <c:v>690.38285707176499</c:v>
                </c:pt>
                <c:pt idx="2">
                  <c:v>1315.4731738538947</c:v>
                </c:pt>
                <c:pt idx="3">
                  <c:v>1116.1910920841854</c:v>
                </c:pt>
                <c:pt idx="4">
                  <c:v>983.46166626138779</c:v>
                </c:pt>
                <c:pt idx="5">
                  <c:v>1537.7931114266105</c:v>
                </c:pt>
                <c:pt idx="6">
                  <c:v>1449.0197488164604</c:v>
                </c:pt>
                <c:pt idx="7">
                  <c:v>1754.3453147693908</c:v>
                </c:pt>
                <c:pt idx="8">
                  <c:v>2688.8985904128322</c:v>
                </c:pt>
                <c:pt idx="9">
                  <c:v>2522.2917795093531</c:v>
                </c:pt>
                <c:pt idx="10">
                  <c:v>3043.2162623164641</c:v>
                </c:pt>
                <c:pt idx="11">
                  <c:v>2800.3494704252598</c:v>
                </c:pt>
                <c:pt idx="12">
                  <c:v>2457.5723339449796</c:v>
                </c:pt>
                <c:pt idx="13">
                  <c:v>3516.3919194144455</c:v>
                </c:pt>
                <c:pt idx="14">
                  <c:v>3087.2658493389422</c:v>
                </c:pt>
                <c:pt idx="15">
                  <c:v>3930.506975198984</c:v>
                </c:pt>
                <c:pt idx="16">
                  <c:v>4904.2041329687736</c:v>
                </c:pt>
                <c:pt idx="17">
                  <c:v>7054.4903416582492</c:v>
                </c:pt>
                <c:pt idx="18">
                  <c:v>8025.2509537542774</c:v>
                </c:pt>
                <c:pt idx="19">
                  <c:v>6490.8694410252392</c:v>
                </c:pt>
                <c:pt idx="20">
                  <c:v>9020.7627217825593</c:v>
                </c:pt>
                <c:pt idx="21">
                  <c:v>9465.8571552228022</c:v>
                </c:pt>
                <c:pt idx="22">
                  <c:v>4818.0518071193155</c:v>
                </c:pt>
                <c:pt idx="23">
                  <c:v>8662.3338727041883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7E-40D8-BFDF-C49EBB1BB557}"/>
            </c:ext>
          </c:extLst>
        </c:ser>
        <c:ser>
          <c:idx val="2"/>
          <c:order val="2"/>
          <c:tx>
            <c:strRef>
              <c:f>'RF harv SEAK'!$F$2</c:f>
              <c:strCache>
                <c:ptCount val="1"/>
                <c:pt idx="0">
                  <c:v>NSEI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'RF harv SEAK'!$A$4:$A$27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SEAK'!$F$32:$F$55</c:f>
              <c:numCache>
                <c:formatCode>_(* #,##0_);_(* \(#,##0\);_(* "-"??_);_(@_)</c:formatCode>
                <c:ptCount val="24"/>
                <c:pt idx="0">
                  <c:v>2545.6840087219839</c:v>
                </c:pt>
                <c:pt idx="1">
                  <c:v>3630.5040680794018</c:v>
                </c:pt>
                <c:pt idx="2">
                  <c:v>5328.7965482081872</c:v>
                </c:pt>
                <c:pt idx="3">
                  <c:v>3789.5842596457151</c:v>
                </c:pt>
                <c:pt idx="4">
                  <c:v>2910.5205549053699</c:v>
                </c:pt>
                <c:pt idx="5">
                  <c:v>3371.7442514051063</c:v>
                </c:pt>
                <c:pt idx="6">
                  <c:v>3210.5587743028509</c:v>
                </c:pt>
                <c:pt idx="7">
                  <c:v>4246.1151225412013</c:v>
                </c:pt>
                <c:pt idx="8">
                  <c:v>4438.9726879623568</c:v>
                </c:pt>
                <c:pt idx="9">
                  <c:v>4775.7531153372838</c:v>
                </c:pt>
                <c:pt idx="10">
                  <c:v>7353.6442227897951</c:v>
                </c:pt>
                <c:pt idx="11">
                  <c:v>5802.7027354693046</c:v>
                </c:pt>
                <c:pt idx="12">
                  <c:v>7658.6840301610364</c:v>
                </c:pt>
                <c:pt idx="13">
                  <c:v>9376.7482891199343</c:v>
                </c:pt>
                <c:pt idx="14">
                  <c:v>13142.249323951939</c:v>
                </c:pt>
                <c:pt idx="15">
                  <c:v>10262.346287632536</c:v>
                </c:pt>
                <c:pt idx="16">
                  <c:v>13291.577311781086</c:v>
                </c:pt>
                <c:pt idx="17">
                  <c:v>13707.06742366379</c:v>
                </c:pt>
                <c:pt idx="18">
                  <c:v>10696.551293926825</c:v>
                </c:pt>
                <c:pt idx="19">
                  <c:v>12258.097150997084</c:v>
                </c:pt>
                <c:pt idx="20">
                  <c:v>10279.09612061026</c:v>
                </c:pt>
                <c:pt idx="21">
                  <c:v>12931.933964741216</c:v>
                </c:pt>
                <c:pt idx="22">
                  <c:v>9519.8411725382866</c:v>
                </c:pt>
                <c:pt idx="23">
                  <c:v>12379.102755669761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7E-40D8-BFDF-C49EBB1BB557}"/>
            </c:ext>
          </c:extLst>
        </c:ser>
        <c:ser>
          <c:idx val="3"/>
          <c:order val="3"/>
          <c:tx>
            <c:strRef>
              <c:f>'RF harv SEAK'!$H$2</c:f>
              <c:strCache>
                <c:ptCount val="1"/>
                <c:pt idx="0">
                  <c:v>NSEO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'RF harv SEAK'!$A$4:$A$27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SEAK'!$H$32:$H$55</c:f>
              <c:numCache>
                <c:formatCode>_(* #,##0_);_(* \(#,##0\);_(* "-"??_);_(@_)</c:formatCode>
                <c:ptCount val="24"/>
                <c:pt idx="0">
                  <c:v>927.74164204660451</c:v>
                </c:pt>
                <c:pt idx="1">
                  <c:v>800.5190215331063</c:v>
                </c:pt>
                <c:pt idx="2">
                  <c:v>2300.548463697311</c:v>
                </c:pt>
                <c:pt idx="3">
                  <c:v>2076.6671376370437</c:v>
                </c:pt>
                <c:pt idx="4">
                  <c:v>1299.295531696207</c:v>
                </c:pt>
                <c:pt idx="5">
                  <c:v>2333.4453071080738</c:v>
                </c:pt>
                <c:pt idx="6">
                  <c:v>1880.5679839184638</c:v>
                </c:pt>
                <c:pt idx="7">
                  <c:v>2018.4761173615548</c:v>
                </c:pt>
                <c:pt idx="8">
                  <c:v>1962.5133875616009</c:v>
                </c:pt>
                <c:pt idx="9">
                  <c:v>3195.8458360784375</c:v>
                </c:pt>
                <c:pt idx="10">
                  <c:v>4710.1009184342602</c:v>
                </c:pt>
                <c:pt idx="11">
                  <c:v>2449.2800469054973</c:v>
                </c:pt>
                <c:pt idx="12">
                  <c:v>4214.0900257706062</c:v>
                </c:pt>
                <c:pt idx="13">
                  <c:v>7835.2318261751498</c:v>
                </c:pt>
                <c:pt idx="14">
                  <c:v>8951.0314088624382</c:v>
                </c:pt>
                <c:pt idx="15">
                  <c:v>7334.2180377142668</c:v>
                </c:pt>
                <c:pt idx="16">
                  <c:v>13519.430448069656</c:v>
                </c:pt>
                <c:pt idx="17">
                  <c:v>9065.0575213470729</c:v>
                </c:pt>
                <c:pt idx="18">
                  <c:v>5047.2935321359719</c:v>
                </c:pt>
                <c:pt idx="19">
                  <c:v>11868.906769601883</c:v>
                </c:pt>
                <c:pt idx="20">
                  <c:v>14177.892546843908</c:v>
                </c:pt>
                <c:pt idx="21">
                  <c:v>13947.828265085333</c:v>
                </c:pt>
                <c:pt idx="22">
                  <c:v>4008.9990910922984</c:v>
                </c:pt>
                <c:pt idx="23">
                  <c:v>13379.926961517056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7E-40D8-BFDF-C49EBB1BB557}"/>
            </c:ext>
          </c:extLst>
        </c:ser>
        <c:ser>
          <c:idx val="4"/>
          <c:order val="4"/>
          <c:tx>
            <c:strRef>
              <c:f>'RF harv SEAK'!$J$2</c:f>
              <c:strCache>
                <c:ptCount val="1"/>
                <c:pt idx="0">
                  <c:v>SSEI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'RF harv SEAK'!$A$4:$A$27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SEAK'!$J$32:$J$55</c:f>
              <c:numCache>
                <c:formatCode>_(* #,##0_);_(* \(#,##0\);_(* "-"??_);_(@_)</c:formatCode>
                <c:ptCount val="24"/>
                <c:pt idx="0">
                  <c:v>3052.2856988832837</c:v>
                </c:pt>
                <c:pt idx="1">
                  <c:v>4066.8585562044118</c:v>
                </c:pt>
                <c:pt idx="2">
                  <c:v>5687.2255205154252</c:v>
                </c:pt>
                <c:pt idx="3">
                  <c:v>4871.5594080472574</c:v>
                </c:pt>
                <c:pt idx="4">
                  <c:v>4260.7618047507349</c:v>
                </c:pt>
                <c:pt idx="5">
                  <c:v>6042.764817621307</c:v>
                </c:pt>
                <c:pt idx="6">
                  <c:v>5961.1293542103658</c:v>
                </c:pt>
                <c:pt idx="7">
                  <c:v>6616.7329098112286</c:v>
                </c:pt>
                <c:pt idx="8">
                  <c:v>7642.4116841430741</c:v>
                </c:pt>
                <c:pt idx="9">
                  <c:v>8023.8485794306507</c:v>
                </c:pt>
                <c:pt idx="10">
                  <c:v>10189.302581632935</c:v>
                </c:pt>
                <c:pt idx="11">
                  <c:v>7132.9300841933937</c:v>
                </c:pt>
                <c:pt idx="12">
                  <c:v>10378.466905572745</c:v>
                </c:pt>
                <c:pt idx="13">
                  <c:v>10330.75373913351</c:v>
                </c:pt>
                <c:pt idx="14">
                  <c:v>9132.7127243967952</c:v>
                </c:pt>
                <c:pt idx="15">
                  <c:v>13438.762813164891</c:v>
                </c:pt>
                <c:pt idx="16">
                  <c:v>11516.913987580756</c:v>
                </c:pt>
                <c:pt idx="17">
                  <c:v>11916.402701481784</c:v>
                </c:pt>
                <c:pt idx="18">
                  <c:v>13195.704225544891</c:v>
                </c:pt>
                <c:pt idx="19">
                  <c:v>15084.5663312591</c:v>
                </c:pt>
                <c:pt idx="20">
                  <c:v>24352.02165571817</c:v>
                </c:pt>
                <c:pt idx="21">
                  <c:v>31064.06631338712</c:v>
                </c:pt>
                <c:pt idx="22">
                  <c:v>19234.474597945387</c:v>
                </c:pt>
                <c:pt idx="23">
                  <c:v>19830.006245034267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7E-40D8-BFDF-C49EBB1BB557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'RF harv SEAK'!$A$4:$A$27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SEAK'!$L$32:$L$55</c:f>
              <c:numCache>
                <c:formatCode>_(* #,##0_);_(* \(#,##0\);_(* "-"??_);_(@_)</c:formatCode>
                <c:ptCount val="24"/>
                <c:pt idx="0">
                  <c:v>2390.8323813353122</c:v>
                </c:pt>
                <c:pt idx="1">
                  <c:v>2923.2446881694618</c:v>
                </c:pt>
                <c:pt idx="2">
                  <c:v>4182.0128461283412</c:v>
                </c:pt>
                <c:pt idx="3">
                  <c:v>3570.2041663979758</c:v>
                </c:pt>
                <c:pt idx="4">
                  <c:v>5713.3965232358623</c:v>
                </c:pt>
                <c:pt idx="5">
                  <c:v>4822.9945145784895</c:v>
                </c:pt>
                <c:pt idx="6">
                  <c:v>7084.9063392254411</c:v>
                </c:pt>
                <c:pt idx="7">
                  <c:v>9123.2044032943159</c:v>
                </c:pt>
                <c:pt idx="8">
                  <c:v>7054.3156164025404</c:v>
                </c:pt>
                <c:pt idx="9">
                  <c:v>9451.4036474529166</c:v>
                </c:pt>
                <c:pt idx="10">
                  <c:v>16216.445896090258</c:v>
                </c:pt>
                <c:pt idx="11">
                  <c:v>8820.912730723081</c:v>
                </c:pt>
                <c:pt idx="12">
                  <c:v>10594.470819155009</c:v>
                </c:pt>
                <c:pt idx="13">
                  <c:v>11432.008772355892</c:v>
                </c:pt>
                <c:pt idx="14">
                  <c:v>14048.918638176565</c:v>
                </c:pt>
                <c:pt idx="15">
                  <c:v>15766.799257114304</c:v>
                </c:pt>
                <c:pt idx="16">
                  <c:v>16445.401669606108</c:v>
                </c:pt>
                <c:pt idx="17">
                  <c:v>22605.065662922541</c:v>
                </c:pt>
                <c:pt idx="18">
                  <c:v>19470.20343475249</c:v>
                </c:pt>
                <c:pt idx="19">
                  <c:v>21141.518353635885</c:v>
                </c:pt>
                <c:pt idx="20">
                  <c:v>31373.066871077182</c:v>
                </c:pt>
                <c:pt idx="21">
                  <c:v>28436.467670498958</c:v>
                </c:pt>
                <c:pt idx="22">
                  <c:v>15013.58393140593</c:v>
                </c:pt>
                <c:pt idx="23">
                  <c:v>30072.205736176547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7E-40D8-BFDF-C49EBB1B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9798104"/>
        <c:axId val="510424664"/>
      </c:barChart>
      <c:catAx>
        <c:axId val="82979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24664"/>
        <c:crosses val="autoZero"/>
        <c:auto val="1"/>
        <c:lblAlgn val="ctr"/>
        <c:lblOffset val="100"/>
        <c:noMultiLvlLbl val="0"/>
      </c:catAx>
      <c:valAx>
        <c:axId val="51042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Black Rockfish Harvest (#s of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9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'RF harv SEAK'!$B$2</c:f>
              <c:strCache>
                <c:ptCount val="1"/>
                <c:pt idx="0">
                  <c:v>CSEO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'RF harv SEAK'!$A$4:$A$27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SEAK'!$B$60:$B$83</c:f>
              <c:numCache>
                <c:formatCode>_(* #,##0_);_(* \(#,##0\);_(* "-"??_);_(@_)</c:formatCode>
                <c:ptCount val="24"/>
                <c:pt idx="0">
                  <c:v>2515.5388090049355</c:v>
                </c:pt>
                <c:pt idx="1">
                  <c:v>2944.9164004214335</c:v>
                </c:pt>
                <c:pt idx="2">
                  <c:v>5591.0830746837464</c:v>
                </c:pt>
                <c:pt idx="3">
                  <c:v>5537.4506131992603</c:v>
                </c:pt>
                <c:pt idx="4">
                  <c:v>4453.8048147299869</c:v>
                </c:pt>
                <c:pt idx="5">
                  <c:v>4369.6124006404098</c:v>
                </c:pt>
                <c:pt idx="6">
                  <c:v>6136.674712454068</c:v>
                </c:pt>
                <c:pt idx="7">
                  <c:v>7393.5234814908372</c:v>
                </c:pt>
                <c:pt idx="8">
                  <c:v>10677.583109062649</c:v>
                </c:pt>
                <c:pt idx="9">
                  <c:v>11046.580838639587</c:v>
                </c:pt>
                <c:pt idx="10">
                  <c:v>9731.8635334912942</c:v>
                </c:pt>
                <c:pt idx="11">
                  <c:v>6903.7183265325748</c:v>
                </c:pt>
                <c:pt idx="12">
                  <c:v>7814.7817334679958</c:v>
                </c:pt>
                <c:pt idx="13">
                  <c:v>5902.3193343444473</c:v>
                </c:pt>
                <c:pt idx="14">
                  <c:v>5442.0792233162138</c:v>
                </c:pt>
                <c:pt idx="15">
                  <c:v>5170.6065677676406</c:v>
                </c:pt>
                <c:pt idx="16">
                  <c:v>5466.3257496092938</c:v>
                </c:pt>
                <c:pt idx="17">
                  <c:v>6345.524816385212</c:v>
                </c:pt>
                <c:pt idx="18">
                  <c:v>6477.1697656842371</c:v>
                </c:pt>
                <c:pt idx="19">
                  <c:v>7899.5093964802527</c:v>
                </c:pt>
                <c:pt idx="20">
                  <c:v>5408.5298174190739</c:v>
                </c:pt>
                <c:pt idx="21">
                  <c:v>5829.247373041726</c:v>
                </c:pt>
                <c:pt idx="22">
                  <c:v>24.079952737653379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B-491C-B6D5-728D53806619}"/>
            </c:ext>
          </c:extLst>
        </c:ser>
        <c:ser>
          <c:idx val="1"/>
          <c:order val="1"/>
          <c:tx>
            <c:strRef>
              <c:f>'RF harv SEAK'!$D$2</c:f>
              <c:strCache>
                <c:ptCount val="1"/>
                <c:pt idx="0">
                  <c:v>EWYKT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'RF harv SEAK'!$A$4:$A$27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SEAK'!$D$60:$D$83</c:f>
              <c:numCache>
                <c:formatCode>_(* #,##0_);_(* \(#,##0\);_(* "-"??_);_(@_)</c:formatCode>
                <c:ptCount val="24"/>
                <c:pt idx="0">
                  <c:v>121.34687293521577</c:v>
                </c:pt>
                <c:pt idx="1">
                  <c:v>24.875346804447553</c:v>
                </c:pt>
                <c:pt idx="2">
                  <c:v>31.995229369786756</c:v>
                </c:pt>
                <c:pt idx="3">
                  <c:v>33.28990312474027</c:v>
                </c:pt>
                <c:pt idx="4">
                  <c:v>23.10904746988788</c:v>
                </c:pt>
                <c:pt idx="5">
                  <c:v>91.390371521632247</c:v>
                </c:pt>
                <c:pt idx="6">
                  <c:v>78.430330777556222</c:v>
                </c:pt>
                <c:pt idx="7">
                  <c:v>61.112173226217351</c:v>
                </c:pt>
                <c:pt idx="8">
                  <c:v>167</c:v>
                </c:pt>
                <c:pt idx="9">
                  <c:v>111.80061611803444</c:v>
                </c:pt>
                <c:pt idx="10">
                  <c:v>194.33303416475843</c:v>
                </c:pt>
                <c:pt idx="11">
                  <c:v>89.153940965522821</c:v>
                </c:pt>
                <c:pt idx="12">
                  <c:v>128.46983294728582</c:v>
                </c:pt>
                <c:pt idx="13">
                  <c:v>137.02240360370305</c:v>
                </c:pt>
                <c:pt idx="14">
                  <c:v>158.89209492578712</c:v>
                </c:pt>
                <c:pt idx="15">
                  <c:v>65.047638196801842</c:v>
                </c:pt>
                <c:pt idx="16">
                  <c:v>140.65357318107527</c:v>
                </c:pt>
                <c:pt idx="17">
                  <c:v>215</c:v>
                </c:pt>
                <c:pt idx="18">
                  <c:v>393.04502865686516</c:v>
                </c:pt>
                <c:pt idx="19">
                  <c:v>230</c:v>
                </c:pt>
                <c:pt idx="20">
                  <c:v>326.56336494381389</c:v>
                </c:pt>
                <c:pt idx="21">
                  <c:v>160.62802312037775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5B-491C-B6D5-728D53806619}"/>
            </c:ext>
          </c:extLst>
        </c:ser>
        <c:ser>
          <c:idx val="2"/>
          <c:order val="2"/>
          <c:tx>
            <c:strRef>
              <c:f>'RF harv SEAK'!$F$2</c:f>
              <c:strCache>
                <c:ptCount val="1"/>
                <c:pt idx="0">
                  <c:v>NSEI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'RF harv SEAK'!$A$4:$A$27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SEAK'!$F$60:$F$83</c:f>
              <c:numCache>
                <c:formatCode>_(* #,##0_);_(* \(#,##0\);_(* "-"??_);_(@_)</c:formatCode>
                <c:ptCount val="24"/>
                <c:pt idx="0">
                  <c:v>1223.8929706589613</c:v>
                </c:pt>
                <c:pt idx="1">
                  <c:v>1232.3572886370146</c:v>
                </c:pt>
                <c:pt idx="2">
                  <c:v>1986.4636994332145</c:v>
                </c:pt>
                <c:pt idx="3">
                  <c:v>1548.6288232976442</c:v>
                </c:pt>
                <c:pt idx="4">
                  <c:v>925.42055326575803</c:v>
                </c:pt>
                <c:pt idx="5">
                  <c:v>1214.2280504293637</c:v>
                </c:pt>
                <c:pt idx="6">
                  <c:v>1275.5342998595336</c:v>
                </c:pt>
                <c:pt idx="7">
                  <c:v>1544.473452688582</c:v>
                </c:pt>
                <c:pt idx="8">
                  <c:v>2006.5489857885264</c:v>
                </c:pt>
                <c:pt idx="9">
                  <c:v>2237.0348480921975</c:v>
                </c:pt>
                <c:pt idx="10">
                  <c:v>2668.2194903680274</c:v>
                </c:pt>
                <c:pt idx="11">
                  <c:v>2160.0104384189572</c:v>
                </c:pt>
                <c:pt idx="12">
                  <c:v>2523.5439290308941</c:v>
                </c:pt>
                <c:pt idx="13">
                  <c:v>2590.2563911614643</c:v>
                </c:pt>
                <c:pt idx="14">
                  <c:v>2279.4500443035918</c:v>
                </c:pt>
                <c:pt idx="15">
                  <c:v>1815.7719908065669</c:v>
                </c:pt>
                <c:pt idx="16">
                  <c:v>2013.2980849917385</c:v>
                </c:pt>
                <c:pt idx="17">
                  <c:v>2262.6733731446816</c:v>
                </c:pt>
                <c:pt idx="18">
                  <c:v>2551.1537156688955</c:v>
                </c:pt>
                <c:pt idx="19">
                  <c:v>2552.4618918452034</c:v>
                </c:pt>
                <c:pt idx="20">
                  <c:v>2615.5254131869192</c:v>
                </c:pt>
                <c:pt idx="21">
                  <c:v>2865.0364244024122</c:v>
                </c:pt>
                <c:pt idx="22">
                  <c:v>73.381648414501143</c:v>
                </c:pt>
                <c:pt idx="23">
                  <c:v>98.36297595929662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5B-491C-B6D5-728D53806619}"/>
            </c:ext>
          </c:extLst>
        </c:ser>
        <c:ser>
          <c:idx val="3"/>
          <c:order val="3"/>
          <c:tx>
            <c:strRef>
              <c:f>'RF harv SEAK'!$H$2</c:f>
              <c:strCache>
                <c:ptCount val="1"/>
                <c:pt idx="0">
                  <c:v>NSEO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'RF harv SEAK'!$A$4:$A$27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SEAK'!$H$60:$H$83</c:f>
              <c:numCache>
                <c:formatCode>_(* #,##0_);_(* \(#,##0\);_(* "-"??_);_(@_)</c:formatCode>
                <c:ptCount val="24"/>
                <c:pt idx="0">
                  <c:v>342.99732445552303</c:v>
                </c:pt>
                <c:pt idx="1">
                  <c:v>366.34864072453263</c:v>
                </c:pt>
                <c:pt idx="2">
                  <c:v>918.35018726442809</c:v>
                </c:pt>
                <c:pt idx="3">
                  <c:v>992.22681808320544</c:v>
                </c:pt>
                <c:pt idx="4">
                  <c:v>795.21101488297086</c:v>
                </c:pt>
                <c:pt idx="5">
                  <c:v>1041.048890528622</c:v>
                </c:pt>
                <c:pt idx="6">
                  <c:v>1141.4979449082671</c:v>
                </c:pt>
                <c:pt idx="7">
                  <c:v>989.64744021132879</c:v>
                </c:pt>
                <c:pt idx="8">
                  <c:v>1569.972512726144</c:v>
                </c:pt>
                <c:pt idx="9">
                  <c:v>2015.5440678710888</c:v>
                </c:pt>
                <c:pt idx="10">
                  <c:v>1535.2130694031912</c:v>
                </c:pt>
                <c:pt idx="11">
                  <c:v>924.9325461128285</c:v>
                </c:pt>
                <c:pt idx="12">
                  <c:v>1401.5633682971802</c:v>
                </c:pt>
                <c:pt idx="13">
                  <c:v>1278.5468817012531</c:v>
                </c:pt>
                <c:pt idx="14">
                  <c:v>1289.3926530526314</c:v>
                </c:pt>
                <c:pt idx="15">
                  <c:v>1178.8122609784828</c:v>
                </c:pt>
                <c:pt idx="16">
                  <c:v>1507.8951098995144</c:v>
                </c:pt>
                <c:pt idx="17">
                  <c:v>1721.3862615861776</c:v>
                </c:pt>
                <c:pt idx="18">
                  <c:v>879.94129841344034</c:v>
                </c:pt>
                <c:pt idx="19">
                  <c:v>1465.4579108223247</c:v>
                </c:pt>
                <c:pt idx="20">
                  <c:v>1656.6633007639875</c:v>
                </c:pt>
                <c:pt idx="21">
                  <c:v>1150.6473248087632</c:v>
                </c:pt>
                <c:pt idx="22">
                  <c:v>5.9339781522880095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5B-491C-B6D5-728D53806619}"/>
            </c:ext>
          </c:extLst>
        </c:ser>
        <c:ser>
          <c:idx val="4"/>
          <c:order val="4"/>
          <c:tx>
            <c:strRef>
              <c:f>'RF harv SEAK'!$J$2</c:f>
              <c:strCache>
                <c:ptCount val="1"/>
                <c:pt idx="0">
                  <c:v>SSEI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'RF harv SEAK'!$A$4:$A$27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SEAK'!$J$60:$J$83</c:f>
              <c:numCache>
                <c:formatCode>_(* #,##0_);_(* \(#,##0\);_(* "-"??_);_(@_)</c:formatCode>
                <c:ptCount val="24"/>
                <c:pt idx="0">
                  <c:v>2561.3131240817747</c:v>
                </c:pt>
                <c:pt idx="1">
                  <c:v>2863.8109818297603</c:v>
                </c:pt>
                <c:pt idx="2">
                  <c:v>4954.8252235415457</c:v>
                </c:pt>
                <c:pt idx="3">
                  <c:v>3723.900350612822</c:v>
                </c:pt>
                <c:pt idx="4">
                  <c:v>3176.2891099504222</c:v>
                </c:pt>
                <c:pt idx="5">
                  <c:v>4431.5043040824949</c:v>
                </c:pt>
                <c:pt idx="6">
                  <c:v>5548.3638703764154</c:v>
                </c:pt>
                <c:pt idx="7">
                  <c:v>6544.0938598628691</c:v>
                </c:pt>
                <c:pt idx="8">
                  <c:v>9387.9338506472886</c:v>
                </c:pt>
                <c:pt idx="9">
                  <c:v>9282.8104111834873</c:v>
                </c:pt>
                <c:pt idx="10">
                  <c:v>8134.3774814509916</c:v>
                </c:pt>
                <c:pt idx="11">
                  <c:v>6568.5722189691242</c:v>
                </c:pt>
                <c:pt idx="12">
                  <c:v>9807.9321537632131</c:v>
                </c:pt>
                <c:pt idx="13">
                  <c:v>9576.4097096110927</c:v>
                </c:pt>
                <c:pt idx="14">
                  <c:v>11233.063873835945</c:v>
                </c:pt>
                <c:pt idx="15">
                  <c:v>9576.9507179541833</c:v>
                </c:pt>
                <c:pt idx="16">
                  <c:v>8484.6414185115264</c:v>
                </c:pt>
                <c:pt idx="17">
                  <c:v>9919.0883221388831</c:v>
                </c:pt>
                <c:pt idx="18">
                  <c:v>10566.120452679812</c:v>
                </c:pt>
                <c:pt idx="19">
                  <c:v>11051.378622936589</c:v>
                </c:pt>
                <c:pt idx="20">
                  <c:v>10992.016273543904</c:v>
                </c:pt>
                <c:pt idx="21">
                  <c:v>16546.1076110555</c:v>
                </c:pt>
                <c:pt idx="22">
                  <c:v>164.20637897805707</c:v>
                </c:pt>
                <c:pt idx="23">
                  <c:v>147.86636497865038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5B-491C-B6D5-728D53806619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'RF harv SEAK'!$A$4:$A$27</c:f>
              <c:numCache>
                <c:formatCode>General</c:formatCode>
                <c:ptCount val="2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</c:numCache>
            </c:numRef>
          </c:cat>
          <c:val>
            <c:numRef>
              <c:f>'RF harv SEAK'!$L$60:$L$83</c:f>
              <c:numCache>
                <c:formatCode>_(* #,##0_);_(* \(#,##0\);_(* "-"??_);_(@_)</c:formatCode>
                <c:ptCount val="24"/>
                <c:pt idx="0">
                  <c:v>842.02559660895747</c:v>
                </c:pt>
                <c:pt idx="1">
                  <c:v>1417.4985746823245</c:v>
                </c:pt>
                <c:pt idx="2">
                  <c:v>2192.5427816172232</c:v>
                </c:pt>
                <c:pt idx="3">
                  <c:v>1794.8620336986423</c:v>
                </c:pt>
                <c:pt idx="4">
                  <c:v>2015.3003961255322</c:v>
                </c:pt>
                <c:pt idx="5">
                  <c:v>1951.7580529069596</c:v>
                </c:pt>
                <c:pt idx="6">
                  <c:v>2829.9481871126836</c:v>
                </c:pt>
                <c:pt idx="7">
                  <c:v>3488.489862243865</c:v>
                </c:pt>
                <c:pt idx="8">
                  <c:v>5454.9226157276134</c:v>
                </c:pt>
                <c:pt idx="9">
                  <c:v>4433.0659266974953</c:v>
                </c:pt>
                <c:pt idx="10">
                  <c:v>4501.5139761225073</c:v>
                </c:pt>
                <c:pt idx="11">
                  <c:v>2352.5815805269799</c:v>
                </c:pt>
                <c:pt idx="12">
                  <c:v>3507.1100554541044</c:v>
                </c:pt>
                <c:pt idx="13">
                  <c:v>2091.2986767456268</c:v>
                </c:pt>
                <c:pt idx="14">
                  <c:v>2750.5950075531855</c:v>
                </c:pt>
                <c:pt idx="15">
                  <c:v>2866.9837745270725</c:v>
                </c:pt>
                <c:pt idx="16">
                  <c:v>2149.8134685894556</c:v>
                </c:pt>
                <c:pt idx="17">
                  <c:v>2859.3397573578113</c:v>
                </c:pt>
                <c:pt idx="18">
                  <c:v>3005.0123283476919</c:v>
                </c:pt>
                <c:pt idx="19">
                  <c:v>2686.076787727111</c:v>
                </c:pt>
                <c:pt idx="20">
                  <c:v>3734.2355461517818</c:v>
                </c:pt>
                <c:pt idx="21">
                  <c:v>5734.8680560534049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5B-491C-B6D5-728D53806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9798104"/>
        <c:axId val="510424664"/>
      </c:barChart>
      <c:catAx>
        <c:axId val="82979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24664"/>
        <c:crosses val="autoZero"/>
        <c:auto val="1"/>
        <c:lblAlgn val="ctr"/>
        <c:lblOffset val="100"/>
        <c:noMultiLvlLbl val="0"/>
      </c:catAx>
      <c:valAx>
        <c:axId val="51042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Yelloweye Rockfish Harvest (#s of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9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'SEAK est vs SWHS'!$B$2:$B$12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'SEAK est vs SWHS'!$C$2:$C$12</c:f>
              <c:numCache>
                <c:formatCode>_(* #,##0_);_(* \(#,##0\);_(* "-"??_);_(@_)</c:formatCode>
                <c:ptCount val="11"/>
                <c:pt idx="0">
                  <c:v>68480.968038392311</c:v>
                </c:pt>
                <c:pt idx="1">
                  <c:v>63827.587639698155</c:v>
                </c:pt>
                <c:pt idx="2">
                  <c:v>70364.987163814178</c:v>
                </c:pt>
                <c:pt idx="3">
                  <c:v>86708.052896462119</c:v>
                </c:pt>
                <c:pt idx="4">
                  <c:v>88259.545990311773</c:v>
                </c:pt>
                <c:pt idx="5">
                  <c:v>63347.772142219961</c:v>
                </c:pt>
                <c:pt idx="6">
                  <c:v>71940.082903438393</c:v>
                </c:pt>
                <c:pt idx="7">
                  <c:v>61699.047320720041</c:v>
                </c:pt>
                <c:pt idx="8">
                  <c:v>69676.250304369401</c:v>
                </c:pt>
                <c:pt idx="9">
                  <c:v>30307.582512931756</c:v>
                </c:pt>
                <c:pt idx="10">
                  <c:v>62821.383245691672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E-4A8F-861E-0F9A85BADE5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'SEAK est vs SWHS'!$B$2:$B$12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'SEAK est vs SWHS'!$D$2:$D$12</c:f>
              <c:numCache>
                <c:formatCode>_(* #,##0_);_(* \(#,##0\);_(* "-"??_);_(@_)</c:formatCode>
                <c:ptCount val="11"/>
                <c:pt idx="0">
                  <c:v>48501</c:v>
                </c:pt>
                <c:pt idx="1">
                  <c:v>57929</c:v>
                </c:pt>
                <c:pt idx="2">
                  <c:v>56862</c:v>
                </c:pt>
                <c:pt idx="3">
                  <c:v>78770</c:v>
                </c:pt>
                <c:pt idx="4">
                  <c:v>76651</c:v>
                </c:pt>
                <c:pt idx="5">
                  <c:v>63372</c:v>
                </c:pt>
                <c:pt idx="6">
                  <c:v>55161</c:v>
                </c:pt>
                <c:pt idx="7">
                  <c:v>53273</c:v>
                </c:pt>
                <c:pt idx="8">
                  <c:v>51643</c:v>
                </c:pt>
                <c:pt idx="9">
                  <c:v>29381</c:v>
                </c:pt>
                <c:pt idx="10">
                  <c:v>64044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E-4A8F-861E-0F9A85BAD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071584"/>
        <c:axId val="669065024"/>
      </c:barChart>
      <c:catAx>
        <c:axId val="6690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65024"/>
        <c:crosses val="autoZero"/>
        <c:auto val="1"/>
        <c:lblAlgn val="ctr"/>
        <c:lblOffset val="100"/>
        <c:noMultiLvlLbl val="0"/>
      </c:catAx>
      <c:valAx>
        <c:axId val="6690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total rockfish estimated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7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EWYKT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'SEAK est vs SWHS'!$B$2:$B$12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'SEAK est vs SWHS'!$C$13:$C$23</c:f>
              <c:numCache>
                <c:formatCode>_(* #,##0_);_(* \(#,##0\);_(* "-"??_);_(@_)</c:formatCode>
                <c:ptCount val="11"/>
                <c:pt idx="0">
                  <c:v>4284.4366812227072</c:v>
                </c:pt>
                <c:pt idx="1">
                  <c:v>3776.1442770118629</c:v>
                </c:pt>
                <c:pt idx="2">
                  <c:v>4475.3664881407803</c:v>
                </c:pt>
                <c:pt idx="3">
                  <c:v>5718.1397849462364</c:v>
                </c:pt>
                <c:pt idx="4">
                  <c:v>8126.5678935972783</c:v>
                </c:pt>
                <c:pt idx="5">
                  <c:v>9606.8674308497375</c:v>
                </c:pt>
                <c:pt idx="6">
                  <c:v>7580.0488400488402</c:v>
                </c:pt>
                <c:pt idx="7">
                  <c:v>10630.379506304387</c:v>
                </c:pt>
                <c:pt idx="8">
                  <c:v>10910.494473531124</c:v>
                </c:pt>
                <c:pt idx="9">
                  <c:v>4973.6383877159315</c:v>
                </c:pt>
                <c:pt idx="10">
                  <c:v>8856.750779741571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9-4B49-9FCE-0DED72C2596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'SEAK est vs SWHS'!$B$2:$B$12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'SEAK est vs SWHS'!$D$13:$D$23</c:f>
              <c:numCache>
                <c:formatCode>_(* #,##0_);_(* \(#,##0\);_(* "-"??_);_(@_)</c:formatCode>
                <c:ptCount val="11"/>
                <c:pt idx="0">
                  <c:v>2756</c:v>
                </c:pt>
                <c:pt idx="1">
                  <c:v>3634</c:v>
                </c:pt>
                <c:pt idx="2">
                  <c:v>4518</c:v>
                </c:pt>
                <c:pt idx="3">
                  <c:v>6796</c:v>
                </c:pt>
                <c:pt idx="4">
                  <c:v>4586</c:v>
                </c:pt>
                <c:pt idx="5">
                  <c:v>5141</c:v>
                </c:pt>
                <c:pt idx="6">
                  <c:v>5890</c:v>
                </c:pt>
                <c:pt idx="7">
                  <c:v>6913</c:v>
                </c:pt>
                <c:pt idx="8">
                  <c:v>7115</c:v>
                </c:pt>
                <c:pt idx="9">
                  <c:v>3192</c:v>
                </c:pt>
                <c:pt idx="10">
                  <c:v>8121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C9-4B49-9FCE-0DED72C25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071584"/>
        <c:axId val="669065024"/>
      </c:barChart>
      <c:catAx>
        <c:axId val="6690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65024"/>
        <c:crosses val="autoZero"/>
        <c:auto val="1"/>
        <c:lblAlgn val="ctr"/>
        <c:lblOffset val="100"/>
        <c:noMultiLvlLbl val="0"/>
      </c:catAx>
      <c:valAx>
        <c:axId val="6690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total rockfish estimated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7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NSEI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'SEAK est vs SWHS'!$B$2:$B$12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'SEAK est vs SWHS'!$C$24:$C$34</c:f>
              <c:numCache>
                <c:formatCode>_(* #,##0_);_(* \(#,##0\);_(* "-"??_);_(@_)</c:formatCode>
                <c:ptCount val="11"/>
                <c:pt idx="0">
                  <c:v>21134.144125958821</c:v>
                </c:pt>
                <c:pt idx="1">
                  <c:v>30331.837840909095</c:v>
                </c:pt>
                <c:pt idx="2">
                  <c:v>22942.238805970148</c:v>
                </c:pt>
                <c:pt idx="3">
                  <c:v>32276.119924151324</c:v>
                </c:pt>
                <c:pt idx="4">
                  <c:v>31763.885700148439</c:v>
                </c:pt>
                <c:pt idx="5">
                  <c:v>40066.291818701371</c:v>
                </c:pt>
                <c:pt idx="6">
                  <c:v>41111.228360636691</c:v>
                </c:pt>
                <c:pt idx="7">
                  <c:v>50022.26901059274</c:v>
                </c:pt>
                <c:pt idx="8">
                  <c:v>59476.361216730038</c:v>
                </c:pt>
                <c:pt idx="9">
                  <c:v>22443.397890444958</c:v>
                </c:pt>
                <c:pt idx="10">
                  <c:v>41077.489980580918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F-4DB9-BE74-1C3FC46F818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'SEAK est vs SWHS'!$B$2:$B$12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'SEAK est vs SWHS'!$D$24:$D$34</c:f>
              <c:numCache>
                <c:formatCode>_(* #,##0_);_(* \(#,##0\);_(* "-"??_);_(@_)</c:formatCode>
                <c:ptCount val="11"/>
                <c:pt idx="0">
                  <c:v>11825</c:v>
                </c:pt>
                <c:pt idx="1">
                  <c:v>17511</c:v>
                </c:pt>
                <c:pt idx="2">
                  <c:v>21959</c:v>
                </c:pt>
                <c:pt idx="3">
                  <c:v>35145</c:v>
                </c:pt>
                <c:pt idx="4">
                  <c:v>29054</c:v>
                </c:pt>
                <c:pt idx="5">
                  <c:v>35220</c:v>
                </c:pt>
                <c:pt idx="6">
                  <c:v>29117</c:v>
                </c:pt>
                <c:pt idx="7">
                  <c:v>32006</c:v>
                </c:pt>
                <c:pt idx="8">
                  <c:v>24998</c:v>
                </c:pt>
                <c:pt idx="9">
                  <c:v>14399</c:v>
                </c:pt>
                <c:pt idx="10">
                  <c:v>29990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9F-4DB9-BE74-1C3FC46F8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071584"/>
        <c:axId val="669065024"/>
      </c:barChart>
      <c:catAx>
        <c:axId val="6690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65024"/>
        <c:crosses val="autoZero"/>
        <c:auto val="1"/>
        <c:lblAlgn val="ctr"/>
        <c:lblOffset val="100"/>
        <c:noMultiLvlLbl val="0"/>
      </c:catAx>
      <c:valAx>
        <c:axId val="6690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total rockfish estimated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7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'SEAK est vs SWHS'!$B$2:$B$12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'SEAK est vs SWHS'!$C$35:$C$45</c:f>
              <c:numCache>
                <c:formatCode>_(* #,##0_);_(* \(#,##0\);_(* "-"??_);_(@_)</c:formatCode>
                <c:ptCount val="11"/>
                <c:pt idx="0">
                  <c:v>11059.863872082973</c:v>
                </c:pt>
                <c:pt idx="1">
                  <c:v>12656.140350877193</c:v>
                </c:pt>
                <c:pt idx="2">
                  <c:v>10533.463803255974</c:v>
                </c:pt>
                <c:pt idx="3">
                  <c:v>18410.250883987203</c:v>
                </c:pt>
                <c:pt idx="4">
                  <c:v>13685.480355422331</c:v>
                </c:pt>
                <c:pt idx="5">
                  <c:v>7499.6278507924235</c:v>
                </c:pt>
                <c:pt idx="6">
                  <c:v>16078.017147192715</c:v>
                </c:pt>
                <c:pt idx="7">
                  <c:v>18860.883640705848</c:v>
                </c:pt>
                <c:pt idx="8">
                  <c:v>18193.663451672481</c:v>
                </c:pt>
                <c:pt idx="9">
                  <c:v>4399.5719163465646</c:v>
                </c:pt>
                <c:pt idx="10">
                  <c:v>15994.894678355353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B-47C6-8870-CB91D7B4F4A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'SEAK est vs SWHS'!$B$2:$B$12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'SEAK est vs SWHS'!$D$35:$D$45</c:f>
              <c:numCache>
                <c:formatCode>_(* #,##0_);_(* \(#,##0\);_(* "-"??_);_(@_)</c:formatCode>
                <c:ptCount val="11"/>
                <c:pt idx="0">
                  <c:v>5719</c:v>
                </c:pt>
                <c:pt idx="1">
                  <c:v>7214</c:v>
                </c:pt>
                <c:pt idx="2">
                  <c:v>8726</c:v>
                </c:pt>
                <c:pt idx="3">
                  <c:v>12585</c:v>
                </c:pt>
                <c:pt idx="4">
                  <c:v>13962</c:v>
                </c:pt>
                <c:pt idx="5">
                  <c:v>13291</c:v>
                </c:pt>
                <c:pt idx="6">
                  <c:v>11503</c:v>
                </c:pt>
                <c:pt idx="7">
                  <c:v>12895</c:v>
                </c:pt>
                <c:pt idx="8">
                  <c:v>15348</c:v>
                </c:pt>
                <c:pt idx="9">
                  <c:v>6221</c:v>
                </c:pt>
                <c:pt idx="10">
                  <c:v>13311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1B-47C6-8870-CB91D7B4F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071584"/>
        <c:axId val="669065024"/>
      </c:barChart>
      <c:catAx>
        <c:axId val="6690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65024"/>
        <c:crosses val="autoZero"/>
        <c:auto val="1"/>
        <c:lblAlgn val="ctr"/>
        <c:lblOffset val="100"/>
        <c:noMultiLvlLbl val="0"/>
      </c:catAx>
      <c:valAx>
        <c:axId val="6690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total rockfish estimated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7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SSEI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'SEAK est vs SWHS'!$B$2:$B$12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'SEAK est vs SWHS'!$C$46:$C$56</c:f>
              <c:numCache>
                <c:formatCode>_(* #,##0_);_(* \(#,##0\);_(* "-"??_);_(@_)</c:formatCode>
                <c:ptCount val="11"/>
                <c:pt idx="0">
                  <c:v>43385.656259472569</c:v>
                </c:pt>
                <c:pt idx="1">
                  <c:v>51250.239687848378</c:v>
                </c:pt>
                <c:pt idx="2">
                  <c:v>59046.842065821518</c:v>
                </c:pt>
                <c:pt idx="3">
                  <c:v>58838.073336968373</c:v>
                </c:pt>
                <c:pt idx="4">
                  <c:v>60956.645359656926</c:v>
                </c:pt>
                <c:pt idx="5">
                  <c:v>66405.532446281708</c:v>
                </c:pt>
                <c:pt idx="6">
                  <c:v>62909.834871736792</c:v>
                </c:pt>
                <c:pt idx="7">
                  <c:v>76774.8595505618</c:v>
                </c:pt>
                <c:pt idx="8">
                  <c:v>105817.34860446323</c:v>
                </c:pt>
                <c:pt idx="9">
                  <c:v>26303.649154865238</c:v>
                </c:pt>
                <c:pt idx="10">
                  <c:v>42574.636497865038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0-407C-9F58-119339BC6DD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'SEAK est vs SWHS'!$B$2:$B$12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'SEAK est vs SWHS'!$D$46:$D$56</c:f>
              <c:numCache>
                <c:formatCode>_(* #,##0_);_(* \(#,##0\);_(* "-"??_);_(@_)</c:formatCode>
                <c:ptCount val="11"/>
                <c:pt idx="0">
                  <c:v>24780</c:v>
                </c:pt>
                <c:pt idx="1">
                  <c:v>26385</c:v>
                </c:pt>
                <c:pt idx="2">
                  <c:v>38158</c:v>
                </c:pt>
                <c:pt idx="3">
                  <c:v>50413</c:v>
                </c:pt>
                <c:pt idx="4">
                  <c:v>51671</c:v>
                </c:pt>
                <c:pt idx="5">
                  <c:v>47392</c:v>
                </c:pt>
                <c:pt idx="6">
                  <c:v>36726</c:v>
                </c:pt>
                <c:pt idx="7">
                  <c:v>47450</c:v>
                </c:pt>
                <c:pt idx="8">
                  <c:v>47461</c:v>
                </c:pt>
                <c:pt idx="9">
                  <c:v>20736</c:v>
                </c:pt>
                <c:pt idx="10">
                  <c:v>37582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E0-407C-9F58-119339BC6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071584"/>
        <c:axId val="669065024"/>
      </c:barChart>
      <c:catAx>
        <c:axId val="6690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65024"/>
        <c:crosses val="autoZero"/>
        <c:auto val="1"/>
        <c:lblAlgn val="ctr"/>
        <c:lblOffset val="100"/>
        <c:noMultiLvlLbl val="0"/>
      </c:catAx>
      <c:valAx>
        <c:axId val="6690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total rockfish estimated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7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'SEAK est vs SWHS'!$B$2:$B$12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'SEAK est vs SWHS'!$C$57:$C$67</c:f>
              <c:numCache>
                <c:formatCode>_(* #,##0_);_(* \(#,##0\);_(* "-"??_);_(@_)</c:formatCode>
                <c:ptCount val="11"/>
                <c:pt idx="0">
                  <c:v>17425.832645403378</c:v>
                </c:pt>
                <c:pt idx="1">
                  <c:v>21501.484048613747</c:v>
                </c:pt>
                <c:pt idx="2">
                  <c:v>22683.680191645457</c:v>
                </c:pt>
                <c:pt idx="3">
                  <c:v>24422.057259158752</c:v>
                </c:pt>
                <c:pt idx="4">
                  <c:v>33215.524335519505</c:v>
                </c:pt>
                <c:pt idx="5">
                  <c:v>27237.761702821725</c:v>
                </c:pt>
                <c:pt idx="6">
                  <c:v>28180.221332705438</c:v>
                </c:pt>
                <c:pt idx="7">
                  <c:v>39816.635899450121</c:v>
                </c:pt>
                <c:pt idx="8">
                  <c:v>39271.985999299963</c:v>
                </c:pt>
                <c:pt idx="9">
                  <c:v>15388.622535579058</c:v>
                </c:pt>
                <c:pt idx="10">
                  <c:v>31069.087000071548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4-4608-AC36-2395BE269C6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'SEAK est vs SWHS'!$B$2:$B$12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'SEAK est vs SWHS'!$D$57:$D$67</c:f>
              <c:numCache>
                <c:formatCode>_(* #,##0_);_(* \(#,##0\);_(* "-"??_);_(@_)</c:formatCode>
                <c:ptCount val="11"/>
                <c:pt idx="0">
                  <c:v>15576</c:v>
                </c:pt>
                <c:pt idx="1">
                  <c:v>15847</c:v>
                </c:pt>
                <c:pt idx="2">
                  <c:v>9700</c:v>
                </c:pt>
                <c:pt idx="3">
                  <c:v>9754</c:v>
                </c:pt>
                <c:pt idx="4">
                  <c:v>10892</c:v>
                </c:pt>
                <c:pt idx="5">
                  <c:v>9431</c:v>
                </c:pt>
                <c:pt idx="6">
                  <c:v>11530</c:v>
                </c:pt>
                <c:pt idx="7">
                  <c:v>11285</c:v>
                </c:pt>
                <c:pt idx="8">
                  <c:v>9794</c:v>
                </c:pt>
                <c:pt idx="9">
                  <c:v>9340</c:v>
                </c:pt>
                <c:pt idx="10">
                  <c:v>14771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4-4608-AC36-2395BE269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071584"/>
        <c:axId val="669065024"/>
      </c:barChart>
      <c:catAx>
        <c:axId val="6690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65024"/>
        <c:crosses val="autoZero"/>
        <c:auto val="1"/>
        <c:lblAlgn val="ctr"/>
        <c:lblOffset val="100"/>
        <c:noMultiLvlLbl val="0"/>
      </c:catAx>
      <c:valAx>
        <c:axId val="6690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total rockfish estimated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7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NORTHEAST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'rockfish harvests'!$B$2:$B$26</c:f>
            </c:multiLvlStrRef>
          </c:cat>
          <c:val>
            <c:numRef>
              <c:f>'rockfish harvests'!$D$152:$D$176</c:f>
            </c:numRef>
          </c:val>
          <c:smooth val="0"/>
          <c:extLst>
            <c:ext xmlns:c16="http://schemas.microsoft.com/office/drawing/2014/chart" uri="{C3380CC4-5D6E-409C-BE32-E72D297353CC}">
              <c16:uniqueId val="{00000000-7546-404E-83CA-3AFD902F0123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harvests'!$N$152:$N$175</c:f>
              </c:numRef>
            </c:plus>
            <c:minus>
              <c:numRef>
                <c:f>'rockfish harvests'!$N$152:$N$175</c:f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'rockfish harvests'!$B$2:$B$26</c:f>
            </c:multiLvlStrRef>
          </c:cat>
          <c:val>
            <c:numRef>
              <c:f>'rockfish harvests'!$O$152:$O$176</c:f>
            </c:numRef>
          </c:val>
          <c:smooth val="0"/>
          <c:extLst>
            <c:ext xmlns:c16="http://schemas.microsoft.com/office/drawing/2014/chart" uri="{C3380CC4-5D6E-409C-BE32-E72D297353CC}">
              <c16:uniqueId val="{00000001-7546-404E-83CA-3AFD902F0123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harvests'!$N$152:$N$175</c:f>
              </c:numRef>
            </c:plus>
            <c:minus>
              <c:numRef>
                <c:f>'rockfish harvests'!$N$152:$N$175</c:f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multiLvlStrRef>
              <c:f>'rockfish harvests'!$B$2:$B$26</c:f>
            </c:multiLvlStrRef>
          </c:cat>
          <c:val>
            <c:numRef>
              <c:f>'rockfish harvests'!$K$152:$K$176</c:f>
            </c:numRef>
          </c:val>
          <c:smooth val="0"/>
          <c:extLst>
            <c:ext xmlns:c16="http://schemas.microsoft.com/office/drawing/2014/chart" uri="{C3380CC4-5D6E-409C-BE32-E72D297353CC}">
              <c16:uniqueId val="{00000002-7546-404E-83CA-3AFD902F0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'logbook v guiSWHS'!$C$2:$C$12</c:f>
              <c:numCache>
                <c:formatCode>General</c:formatCode>
                <c:ptCount val="11"/>
                <c:pt idx="0">
                  <c:v>11926</c:v>
                </c:pt>
                <c:pt idx="1">
                  <c:v>14290</c:v>
                </c:pt>
                <c:pt idx="2">
                  <c:v>15619</c:v>
                </c:pt>
                <c:pt idx="3">
                  <c:v>18453</c:v>
                </c:pt>
                <c:pt idx="4">
                  <c:v>17669</c:v>
                </c:pt>
                <c:pt idx="5">
                  <c:v>17707</c:v>
                </c:pt>
                <c:pt idx="6">
                  <c:v>20760</c:v>
                </c:pt>
                <c:pt idx="7">
                  <c:v>26949</c:v>
                </c:pt>
                <c:pt idx="8">
                  <c:v>22912</c:v>
                </c:pt>
                <c:pt idx="9">
                  <c:v>12619</c:v>
                </c:pt>
                <c:pt idx="10">
                  <c:v>29399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1B-4C62-807B-3A17ADEB4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guiSWHS'!$G$2:$G$12</c:f>
                <c:numCache>
                  <c:formatCode>General</c:formatCode>
                  <c:ptCount val="11"/>
                  <c:pt idx="0">
                    <c:v>3854.4724029916301</c:v>
                  </c:pt>
                  <c:pt idx="1">
                    <c:v>2636.8125861731246</c:v>
                  </c:pt>
                  <c:pt idx="2">
                    <c:v>2074.9715667940195</c:v>
                  </c:pt>
                  <c:pt idx="3">
                    <c:v>2626.6606701499413</c:v>
                  </c:pt>
                  <c:pt idx="4">
                    <c:v>2116.2818181693806</c:v>
                  </c:pt>
                  <c:pt idx="5">
                    <c:v>2269.3745384653898</c:v>
                  </c:pt>
                  <c:pt idx="6">
                    <c:v>3200.116538858862</c:v>
                  </c:pt>
                  <c:pt idx="7">
                    <c:v>2343.0648412520886</c:v>
                  </c:pt>
                  <c:pt idx="8">
                    <c:v>2076.4464903589424</c:v>
                  </c:pt>
                  <c:pt idx="9">
                    <c:v>1915.4055914262469</c:v>
                  </c:pt>
                  <c:pt idx="10">
                    <c:v>3863.5179895104238</c:v>
                  </c:pt>
                </c:numCache>
              </c:numRef>
            </c:plus>
            <c:minus>
              <c:numRef>
                <c:f>'logbook v guiSWHS'!$G$2:$G$12</c:f>
                <c:numCache>
                  <c:formatCode>General</c:formatCode>
                  <c:ptCount val="11"/>
                  <c:pt idx="0">
                    <c:v>3854.4724029916301</c:v>
                  </c:pt>
                  <c:pt idx="1">
                    <c:v>2636.8125861731246</c:v>
                  </c:pt>
                  <c:pt idx="2">
                    <c:v>2074.9715667940195</c:v>
                  </c:pt>
                  <c:pt idx="3">
                    <c:v>2626.6606701499413</c:v>
                  </c:pt>
                  <c:pt idx="4">
                    <c:v>2116.2818181693806</c:v>
                  </c:pt>
                  <c:pt idx="5">
                    <c:v>2269.3745384653898</c:v>
                  </c:pt>
                  <c:pt idx="6">
                    <c:v>3200.116538858862</c:v>
                  </c:pt>
                  <c:pt idx="7">
                    <c:v>2343.0648412520886</c:v>
                  </c:pt>
                  <c:pt idx="8">
                    <c:v>2076.4464903589424</c:v>
                  </c:pt>
                  <c:pt idx="9">
                    <c:v>1915.4055914262469</c:v>
                  </c:pt>
                  <c:pt idx="10">
                    <c:v>3863.5179895104238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'logbook v guiSWHS'!$D$2:$D$12</c:f>
              <c:numCache>
                <c:formatCode>General</c:formatCode>
                <c:ptCount val="11"/>
                <c:pt idx="0">
                  <c:v>10660</c:v>
                </c:pt>
                <c:pt idx="1">
                  <c:v>10532</c:v>
                </c:pt>
                <c:pt idx="2">
                  <c:v>6679</c:v>
                </c:pt>
                <c:pt idx="3">
                  <c:v>7370</c:v>
                </c:pt>
                <c:pt idx="4">
                  <c:v>5794</c:v>
                </c:pt>
                <c:pt idx="5">
                  <c:v>6131</c:v>
                </c:pt>
                <c:pt idx="6">
                  <c:v>8494</c:v>
                </c:pt>
                <c:pt idx="7">
                  <c:v>7638</c:v>
                </c:pt>
                <c:pt idx="8">
                  <c:v>5714</c:v>
                </c:pt>
                <c:pt idx="9">
                  <c:v>7659</c:v>
                </c:pt>
                <c:pt idx="10">
                  <c:v>13977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1B-4C62-807B-3A17ADEB4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SSEI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'logbook v guiSWHS'!$C$14:$C$24</c:f>
              <c:numCache>
                <c:formatCode>General</c:formatCode>
                <c:ptCount val="11"/>
                <c:pt idx="0">
                  <c:v>17328</c:v>
                </c:pt>
                <c:pt idx="1">
                  <c:v>20908</c:v>
                </c:pt>
                <c:pt idx="2">
                  <c:v>24779</c:v>
                </c:pt>
                <c:pt idx="3">
                  <c:v>25686</c:v>
                </c:pt>
                <c:pt idx="4">
                  <c:v>29160</c:v>
                </c:pt>
                <c:pt idx="5">
                  <c:v>32540</c:v>
                </c:pt>
                <c:pt idx="6">
                  <c:v>30249</c:v>
                </c:pt>
                <c:pt idx="7">
                  <c:v>42049</c:v>
                </c:pt>
                <c:pt idx="8">
                  <c:v>35867</c:v>
                </c:pt>
                <c:pt idx="9">
                  <c:v>11107</c:v>
                </c:pt>
                <c:pt idx="10">
                  <c:v>28388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B-4265-A578-D21A801C3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guiSWHS'!$G$14:$G$24</c:f>
                <c:numCache>
                  <c:formatCode>General</c:formatCode>
                  <c:ptCount val="11"/>
                  <c:pt idx="0">
                    <c:v>2448.6377800412611</c:v>
                  </c:pt>
                  <c:pt idx="1">
                    <c:v>2230.6140040142195</c:v>
                  </c:pt>
                  <c:pt idx="2">
                    <c:v>3551.6665507166285</c:v>
                  </c:pt>
                  <c:pt idx="3">
                    <c:v>3795.8266059200118</c:v>
                  </c:pt>
                  <c:pt idx="4">
                    <c:v>4297.3453597524858</c:v>
                  </c:pt>
                  <c:pt idx="5">
                    <c:v>4958.4297115917707</c:v>
                  </c:pt>
                  <c:pt idx="6">
                    <c:v>3262.3530751620592</c:v>
                  </c:pt>
                  <c:pt idx="7">
                    <c:v>4112.306965611544</c:v>
                  </c:pt>
                  <c:pt idx="8">
                    <c:v>3210.9592002614672</c:v>
                  </c:pt>
                  <c:pt idx="9">
                    <c:v>1855.6500861268028</c:v>
                  </c:pt>
                  <c:pt idx="10">
                    <c:v>5419.5776802898945</c:v>
                  </c:pt>
                </c:numCache>
              </c:numRef>
            </c:plus>
            <c:minus>
              <c:numRef>
                <c:f>'logbook v guiSWHS'!$G$14:$G$24</c:f>
                <c:numCache>
                  <c:formatCode>General</c:formatCode>
                  <c:ptCount val="11"/>
                  <c:pt idx="0">
                    <c:v>2448.6377800412611</c:v>
                  </c:pt>
                  <c:pt idx="1">
                    <c:v>2230.6140040142195</c:v>
                  </c:pt>
                  <c:pt idx="2">
                    <c:v>3551.6665507166285</c:v>
                  </c:pt>
                  <c:pt idx="3">
                    <c:v>3795.8266059200118</c:v>
                  </c:pt>
                  <c:pt idx="4">
                    <c:v>4297.3453597524858</c:v>
                  </c:pt>
                  <c:pt idx="5">
                    <c:v>4958.4297115917707</c:v>
                  </c:pt>
                  <c:pt idx="6">
                    <c:v>3262.3530751620592</c:v>
                  </c:pt>
                  <c:pt idx="7">
                    <c:v>4112.306965611544</c:v>
                  </c:pt>
                  <c:pt idx="8">
                    <c:v>3210.9592002614672</c:v>
                  </c:pt>
                  <c:pt idx="9">
                    <c:v>1855.6500861268028</c:v>
                  </c:pt>
                  <c:pt idx="10">
                    <c:v>5419.5776802898945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guiSWHS'!$D$14:$D$24</c:f>
              <c:numCache>
                <c:formatCode>General</c:formatCode>
                <c:ptCount val="11"/>
                <c:pt idx="0">
                  <c:v>9897</c:v>
                </c:pt>
                <c:pt idx="1">
                  <c:v>10764</c:v>
                </c:pt>
                <c:pt idx="2">
                  <c:v>16013</c:v>
                </c:pt>
                <c:pt idx="3">
                  <c:v>22008</c:v>
                </c:pt>
                <c:pt idx="4">
                  <c:v>24718</c:v>
                </c:pt>
                <c:pt idx="5">
                  <c:v>23223</c:v>
                </c:pt>
                <c:pt idx="6">
                  <c:v>17659</c:v>
                </c:pt>
                <c:pt idx="7">
                  <c:v>25988</c:v>
                </c:pt>
                <c:pt idx="8">
                  <c:v>16087</c:v>
                </c:pt>
                <c:pt idx="9">
                  <c:v>8756</c:v>
                </c:pt>
                <c:pt idx="10">
                  <c:v>25059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B-4265-A578-D21A801C3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'logbook v guiSWHS'!$C$26:$C$36</c:f>
              <c:numCache>
                <c:formatCode>General</c:formatCode>
                <c:ptCount val="11"/>
                <c:pt idx="0">
                  <c:v>8950</c:v>
                </c:pt>
                <c:pt idx="1">
                  <c:v>8600</c:v>
                </c:pt>
                <c:pt idx="2">
                  <c:v>6970</c:v>
                </c:pt>
                <c:pt idx="3">
                  <c:v>8688</c:v>
                </c:pt>
                <c:pt idx="4">
                  <c:v>9156</c:v>
                </c:pt>
                <c:pt idx="5">
                  <c:v>5839</c:v>
                </c:pt>
                <c:pt idx="6">
                  <c:v>9211</c:v>
                </c:pt>
                <c:pt idx="7">
                  <c:v>11024</c:v>
                </c:pt>
                <c:pt idx="8">
                  <c:v>11553</c:v>
                </c:pt>
                <c:pt idx="9">
                  <c:v>3314</c:v>
                </c:pt>
                <c:pt idx="10">
                  <c:v>9732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3-4B61-9D79-869580D5D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guiSWHS'!$G$26:$G$36</c:f>
                <c:numCache>
                  <c:formatCode>General</c:formatCode>
                  <c:ptCount val="11"/>
                  <c:pt idx="0">
                    <c:v>2077.055543547121</c:v>
                  </c:pt>
                  <c:pt idx="1">
                    <c:v>1771.7728952016525</c:v>
                  </c:pt>
                  <c:pt idx="2">
                    <c:v>2389.2442441359995</c:v>
                  </c:pt>
                  <c:pt idx="3">
                    <c:v>2664.4357077629033</c:v>
                  </c:pt>
                  <c:pt idx="4">
                    <c:v>2974.0030129193301</c:v>
                  </c:pt>
                  <c:pt idx="5">
                    <c:v>3382.6179587306874</c:v>
                  </c:pt>
                  <c:pt idx="6">
                    <c:v>2797.5905977950333</c:v>
                  </c:pt>
                  <c:pt idx="7">
                    <c:v>2935.5887742647451</c:v>
                  </c:pt>
                  <c:pt idx="8">
                    <c:v>3095.4136766885977</c:v>
                  </c:pt>
                  <c:pt idx="9">
                    <c:v>1438.7822870281352</c:v>
                  </c:pt>
                  <c:pt idx="10">
                    <c:v>2729.9039676859775</c:v>
                  </c:pt>
                </c:numCache>
              </c:numRef>
            </c:plus>
            <c:minus>
              <c:numRef>
                <c:f>'logbook v guiSWHS'!$G$26:$G$36</c:f>
                <c:numCache>
                  <c:formatCode>General</c:formatCode>
                  <c:ptCount val="11"/>
                  <c:pt idx="0">
                    <c:v>2077.055543547121</c:v>
                  </c:pt>
                  <c:pt idx="1">
                    <c:v>1771.7728952016525</c:v>
                  </c:pt>
                  <c:pt idx="2">
                    <c:v>2389.2442441359995</c:v>
                  </c:pt>
                  <c:pt idx="3">
                    <c:v>2664.4357077629033</c:v>
                  </c:pt>
                  <c:pt idx="4">
                    <c:v>2974.0030129193301</c:v>
                  </c:pt>
                  <c:pt idx="5">
                    <c:v>3382.6179587306874</c:v>
                  </c:pt>
                  <c:pt idx="6">
                    <c:v>2797.5905977950333</c:v>
                  </c:pt>
                  <c:pt idx="7">
                    <c:v>2935.5887742647451</c:v>
                  </c:pt>
                  <c:pt idx="8">
                    <c:v>3095.4136766885977</c:v>
                  </c:pt>
                  <c:pt idx="9">
                    <c:v>1438.7822870281352</c:v>
                  </c:pt>
                  <c:pt idx="10">
                    <c:v>2729.9039676859775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'logbook v guiSWHS'!$D$26:$D$36</c:f>
              <c:numCache>
                <c:formatCode>General</c:formatCode>
                <c:ptCount val="11"/>
                <c:pt idx="0">
                  <c:v>4628</c:v>
                </c:pt>
                <c:pt idx="1">
                  <c:v>4902</c:v>
                </c:pt>
                <c:pt idx="2">
                  <c:v>5774</c:v>
                </c:pt>
                <c:pt idx="3">
                  <c:v>5939</c:v>
                </c:pt>
                <c:pt idx="4">
                  <c:v>9341</c:v>
                </c:pt>
                <c:pt idx="5">
                  <c:v>10348</c:v>
                </c:pt>
                <c:pt idx="6">
                  <c:v>6590</c:v>
                </c:pt>
                <c:pt idx="7">
                  <c:v>7537</c:v>
                </c:pt>
                <c:pt idx="8">
                  <c:v>9746</c:v>
                </c:pt>
                <c:pt idx="9">
                  <c:v>4686</c:v>
                </c:pt>
                <c:pt idx="10">
                  <c:v>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73-4B61-9D79-869580D5D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NSEI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'logbook v guiSWHS'!$C$38:$C$48</c:f>
              <c:numCache>
                <c:formatCode>General</c:formatCode>
                <c:ptCount val="11"/>
                <c:pt idx="0">
                  <c:v>13281</c:v>
                </c:pt>
                <c:pt idx="1">
                  <c:v>15243</c:v>
                </c:pt>
                <c:pt idx="2">
                  <c:v>14770</c:v>
                </c:pt>
                <c:pt idx="3">
                  <c:v>19857</c:v>
                </c:pt>
                <c:pt idx="4">
                  <c:v>22095</c:v>
                </c:pt>
                <c:pt idx="5">
                  <c:v>25877</c:v>
                </c:pt>
                <c:pt idx="6">
                  <c:v>24305</c:v>
                </c:pt>
                <c:pt idx="7">
                  <c:v>34673</c:v>
                </c:pt>
                <c:pt idx="8">
                  <c:v>36293</c:v>
                </c:pt>
                <c:pt idx="9">
                  <c:v>17585</c:v>
                </c:pt>
                <c:pt idx="10">
                  <c:v>33151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4-498A-B57A-CE8F6129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guiSWHS'!$G$38:$G$48</c:f>
                <c:numCache>
                  <c:formatCode>General</c:formatCode>
                  <c:ptCount val="11"/>
                  <c:pt idx="0">
                    <c:v>2185.2582289913703</c:v>
                  </c:pt>
                  <c:pt idx="1">
                    <c:v>2785.768303432867</c:v>
                  </c:pt>
                  <c:pt idx="2">
                    <c:v>3607.1746425913043</c:v>
                  </c:pt>
                  <c:pt idx="3">
                    <c:v>5592.0206396278727</c:v>
                  </c:pt>
                  <c:pt idx="4">
                    <c:v>6594.1656620871108</c:v>
                  </c:pt>
                  <c:pt idx="5">
                    <c:v>5141.0157036749979</c:v>
                  </c:pt>
                  <c:pt idx="6">
                    <c:v>4456.7630123876752</c:v>
                  </c:pt>
                  <c:pt idx="7">
                    <c:v>5540.7361844338839</c:v>
                  </c:pt>
                  <c:pt idx="8">
                    <c:v>4216.164546214558</c:v>
                  </c:pt>
                  <c:pt idx="9">
                    <c:v>3602.6392275718767</c:v>
                  </c:pt>
                  <c:pt idx="10">
                    <c:v>6056.9624052150493</c:v>
                  </c:pt>
                </c:numCache>
              </c:numRef>
            </c:plus>
            <c:minus>
              <c:numRef>
                <c:f>'logbook v guiSWHS'!$G$38:$G$48</c:f>
                <c:numCache>
                  <c:formatCode>General</c:formatCode>
                  <c:ptCount val="11"/>
                  <c:pt idx="0">
                    <c:v>2185.2582289913703</c:v>
                  </c:pt>
                  <c:pt idx="1">
                    <c:v>2785.768303432867</c:v>
                  </c:pt>
                  <c:pt idx="2">
                    <c:v>3607.1746425913043</c:v>
                  </c:pt>
                  <c:pt idx="3">
                    <c:v>5592.0206396278727</c:v>
                  </c:pt>
                  <c:pt idx="4">
                    <c:v>6594.1656620871108</c:v>
                  </c:pt>
                  <c:pt idx="5">
                    <c:v>5141.0157036749979</c:v>
                  </c:pt>
                  <c:pt idx="6">
                    <c:v>4456.7630123876752</c:v>
                  </c:pt>
                  <c:pt idx="7">
                    <c:v>5540.7361844338839</c:v>
                  </c:pt>
                  <c:pt idx="8">
                    <c:v>4216.164546214558</c:v>
                  </c:pt>
                  <c:pt idx="9">
                    <c:v>3602.6392275718767</c:v>
                  </c:pt>
                  <c:pt idx="10">
                    <c:v>6056.9624052150493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guiSWHS'!$D$38:$D$48</c:f>
              <c:numCache>
                <c:formatCode>General</c:formatCode>
                <c:ptCount val="11"/>
                <c:pt idx="0">
                  <c:v>7431</c:v>
                </c:pt>
                <c:pt idx="1">
                  <c:v>8800</c:v>
                </c:pt>
                <c:pt idx="2">
                  <c:v>14137</c:v>
                </c:pt>
                <c:pt idx="3">
                  <c:v>21622</c:v>
                </c:pt>
                <c:pt idx="4">
                  <c:v>20210</c:v>
                </c:pt>
                <c:pt idx="5">
                  <c:v>22747</c:v>
                </c:pt>
                <c:pt idx="6">
                  <c:v>17214</c:v>
                </c:pt>
                <c:pt idx="7">
                  <c:v>22185</c:v>
                </c:pt>
                <c:pt idx="8">
                  <c:v>15254</c:v>
                </c:pt>
                <c:pt idx="9">
                  <c:v>11282</c:v>
                </c:pt>
                <c:pt idx="10">
                  <c:v>24203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14-498A-B57A-CE8F6129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IBS/EYKT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'logbook v guiSWHS'!$C$50:$C$60</c:f>
              <c:numCache>
                <c:formatCode>General</c:formatCode>
                <c:ptCount val="11"/>
                <c:pt idx="0">
                  <c:v>2848</c:v>
                </c:pt>
                <c:pt idx="1">
                  <c:v>3241</c:v>
                </c:pt>
                <c:pt idx="2">
                  <c:v>3884</c:v>
                </c:pt>
                <c:pt idx="3">
                  <c:v>4695</c:v>
                </c:pt>
                <c:pt idx="4">
                  <c:v>5729</c:v>
                </c:pt>
                <c:pt idx="5">
                  <c:v>7499</c:v>
                </c:pt>
                <c:pt idx="6">
                  <c:v>6324</c:v>
                </c:pt>
                <c:pt idx="7">
                  <c:v>8659</c:v>
                </c:pt>
                <c:pt idx="8">
                  <c:v>7908</c:v>
                </c:pt>
                <c:pt idx="9">
                  <c:v>4059</c:v>
                </c:pt>
                <c:pt idx="10">
                  <c:v>7343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D-4FB0-99B0-ECEBFBAA9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guiSWHS'!$G$50:$G$60</c:f>
                <c:numCache>
                  <c:formatCode>General</c:formatCode>
                  <c:ptCount val="11"/>
                  <c:pt idx="0">
                    <c:v>822.39195820576788</c:v>
                  </c:pt>
                  <c:pt idx="1">
                    <c:v>1443.4112211008528</c:v>
                  </c:pt>
                  <c:pt idx="2">
                    <c:v>1686.7436416341491</c:v>
                  </c:pt>
                  <c:pt idx="3">
                    <c:v>1899.3530917647804</c:v>
                  </c:pt>
                  <c:pt idx="4">
                    <c:v>1358.2003311420717</c:v>
                  </c:pt>
                  <c:pt idx="5">
                    <c:v>1501.5836852356174</c:v>
                  </c:pt>
                  <c:pt idx="6">
                    <c:v>1914.3095929595693</c:v>
                  </c:pt>
                  <c:pt idx="7">
                    <c:v>1756.1967841023791</c:v>
                  </c:pt>
                  <c:pt idx="8">
                    <c:v>1862.4958855601749</c:v>
                  </c:pt>
                  <c:pt idx="9">
                    <c:v>909.58409663331338</c:v>
                  </c:pt>
                  <c:pt idx="10">
                    <c:v>2198.6279647370193</c:v>
                  </c:pt>
                </c:numCache>
              </c:numRef>
            </c:plus>
            <c:minus>
              <c:numRef>
                <c:f>'logbook v guiSWHS'!$G$50:$G$60</c:f>
                <c:numCache>
                  <c:formatCode>General</c:formatCode>
                  <c:ptCount val="11"/>
                  <c:pt idx="0">
                    <c:v>822.39195820576788</c:v>
                  </c:pt>
                  <c:pt idx="1">
                    <c:v>1443.4112211008528</c:v>
                  </c:pt>
                  <c:pt idx="2">
                    <c:v>1686.7436416341491</c:v>
                  </c:pt>
                  <c:pt idx="3">
                    <c:v>1899.3530917647804</c:v>
                  </c:pt>
                  <c:pt idx="4">
                    <c:v>1358.2003311420717</c:v>
                  </c:pt>
                  <c:pt idx="5">
                    <c:v>1501.5836852356174</c:v>
                  </c:pt>
                  <c:pt idx="6">
                    <c:v>1914.3095929595693</c:v>
                  </c:pt>
                  <c:pt idx="7">
                    <c:v>1756.1967841023791</c:v>
                  </c:pt>
                  <c:pt idx="8">
                    <c:v>1862.4958855601749</c:v>
                  </c:pt>
                  <c:pt idx="9">
                    <c:v>909.58409663331338</c:v>
                  </c:pt>
                  <c:pt idx="10">
                    <c:v>2198.6279647370193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guiSWHS'!$D$50:$D$60</c:f>
              <c:numCache>
                <c:formatCode>General</c:formatCode>
                <c:ptCount val="11"/>
                <c:pt idx="0">
                  <c:v>1832</c:v>
                </c:pt>
                <c:pt idx="1">
                  <c:v>3119</c:v>
                </c:pt>
                <c:pt idx="2">
                  <c:v>3921</c:v>
                </c:pt>
                <c:pt idx="3">
                  <c:v>5580</c:v>
                </c:pt>
                <c:pt idx="4">
                  <c:v>3233</c:v>
                </c:pt>
                <c:pt idx="5">
                  <c:v>4013</c:v>
                </c:pt>
                <c:pt idx="6">
                  <c:v>4914</c:v>
                </c:pt>
                <c:pt idx="7">
                  <c:v>5631</c:v>
                </c:pt>
                <c:pt idx="8">
                  <c:v>5157</c:v>
                </c:pt>
                <c:pt idx="9">
                  <c:v>2605</c:v>
                </c:pt>
                <c:pt idx="10">
                  <c:v>6733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ED-4FB0-99B0-ECEBFBAA9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'logbook v guiSWHS'!$C$62:$C$72</c:f>
              <c:numCache>
                <c:formatCode>General</c:formatCode>
                <c:ptCount val="11"/>
                <c:pt idx="0">
                  <c:v>58843</c:v>
                </c:pt>
                <c:pt idx="1">
                  <c:v>57675</c:v>
                </c:pt>
                <c:pt idx="2">
                  <c:v>60735</c:v>
                </c:pt>
                <c:pt idx="3">
                  <c:v>73709</c:v>
                </c:pt>
                <c:pt idx="4">
                  <c:v>80105</c:v>
                </c:pt>
                <c:pt idx="5">
                  <c:v>54908</c:v>
                </c:pt>
                <c:pt idx="6">
                  <c:v>57388</c:v>
                </c:pt>
                <c:pt idx="7">
                  <c:v>55460</c:v>
                </c:pt>
                <c:pt idx="8">
                  <c:v>59842</c:v>
                </c:pt>
                <c:pt idx="9">
                  <c:v>24728</c:v>
                </c:pt>
                <c:pt idx="10">
                  <c:v>56521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F-4091-BD0F-D8FCD4BA9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guiSWHS'!$G$62:$G$72</c:f>
                <c:numCache>
                  <c:formatCode>General</c:formatCode>
                  <c:ptCount val="11"/>
                  <c:pt idx="0">
                    <c:v>6272.8213813808761</c:v>
                  </c:pt>
                  <c:pt idx="1">
                    <c:v>7250.8673670933786</c:v>
                  </c:pt>
                  <c:pt idx="2">
                    <c:v>6959.4972091084519</c:v>
                  </c:pt>
                  <c:pt idx="3">
                    <c:v>8825.9436871100588</c:v>
                  </c:pt>
                  <c:pt idx="4">
                    <c:v>8993.768068308189</c:v>
                  </c:pt>
                  <c:pt idx="5">
                    <c:v>6886.1864494668807</c:v>
                  </c:pt>
                  <c:pt idx="6">
                    <c:v>6217.6683852453798</c:v>
                  </c:pt>
                  <c:pt idx="7">
                    <c:v>7399.6012573384332</c:v>
                  </c:pt>
                  <c:pt idx="8">
                    <c:v>6060.1220112806877</c:v>
                  </c:pt>
                  <c:pt idx="9">
                    <c:v>3354.6403833588042</c:v>
                  </c:pt>
                  <c:pt idx="10">
                    <c:v>8024.0122819553735</c:v>
                  </c:pt>
                </c:numCache>
              </c:numRef>
            </c:plus>
            <c:minus>
              <c:numRef>
                <c:f>'logbook v guiSWHS'!$G$62:$G$72</c:f>
                <c:numCache>
                  <c:formatCode>General</c:formatCode>
                  <c:ptCount val="11"/>
                  <c:pt idx="0">
                    <c:v>6272.8213813808761</c:v>
                  </c:pt>
                  <c:pt idx="1">
                    <c:v>7250.8673670933786</c:v>
                  </c:pt>
                  <c:pt idx="2">
                    <c:v>6959.4972091084519</c:v>
                  </c:pt>
                  <c:pt idx="3">
                    <c:v>8825.9436871100588</c:v>
                  </c:pt>
                  <c:pt idx="4">
                    <c:v>8993.768068308189</c:v>
                  </c:pt>
                  <c:pt idx="5">
                    <c:v>6886.1864494668807</c:v>
                  </c:pt>
                  <c:pt idx="6">
                    <c:v>6217.6683852453798</c:v>
                  </c:pt>
                  <c:pt idx="7">
                    <c:v>7399.6012573384332</c:v>
                  </c:pt>
                  <c:pt idx="8">
                    <c:v>6060.1220112806877</c:v>
                  </c:pt>
                  <c:pt idx="9">
                    <c:v>3354.6403833588042</c:v>
                  </c:pt>
                  <c:pt idx="10">
                    <c:v>8024.0122819553735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guiSWHS'!$D$62:$D$72</c:f>
              <c:numCache>
                <c:formatCode>General</c:formatCode>
                <c:ptCount val="11"/>
                <c:pt idx="0">
                  <c:v>41675</c:v>
                </c:pt>
                <c:pt idx="1">
                  <c:v>52345</c:v>
                </c:pt>
                <c:pt idx="2">
                  <c:v>49080</c:v>
                </c:pt>
                <c:pt idx="3">
                  <c:v>66961</c:v>
                </c:pt>
                <c:pt idx="4">
                  <c:v>69569</c:v>
                </c:pt>
                <c:pt idx="5">
                  <c:v>54929</c:v>
                </c:pt>
                <c:pt idx="6">
                  <c:v>44003</c:v>
                </c:pt>
                <c:pt idx="7">
                  <c:v>47886</c:v>
                </c:pt>
                <c:pt idx="8">
                  <c:v>44354</c:v>
                </c:pt>
                <c:pt idx="9">
                  <c:v>23972</c:v>
                </c:pt>
                <c:pt idx="10">
                  <c:v>57621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DF-4091-BD0F-D8FCD4BA9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AFOGNAK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'logbook v guiSWHS'!$C$74:$C$84</c:f>
              <c:numCache>
                <c:formatCode>General</c:formatCode>
                <c:ptCount val="11"/>
                <c:pt idx="0">
                  <c:v>3052</c:v>
                </c:pt>
                <c:pt idx="1">
                  <c:v>3025</c:v>
                </c:pt>
                <c:pt idx="2">
                  <c:v>2487</c:v>
                </c:pt>
                <c:pt idx="3">
                  <c:v>2843</c:v>
                </c:pt>
                <c:pt idx="4">
                  <c:v>3919</c:v>
                </c:pt>
                <c:pt idx="5">
                  <c:v>5287</c:v>
                </c:pt>
                <c:pt idx="6">
                  <c:v>4756</c:v>
                </c:pt>
                <c:pt idx="7">
                  <c:v>5694</c:v>
                </c:pt>
                <c:pt idx="8">
                  <c:v>6782</c:v>
                </c:pt>
                <c:pt idx="9">
                  <c:v>5835</c:v>
                </c:pt>
                <c:pt idx="10">
                  <c:v>9007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D-43ED-A81F-4B15D7A45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guiSWHS'!$G$74:$G$84</c:f>
                <c:numCache>
                  <c:formatCode>General</c:formatCode>
                  <c:ptCount val="11"/>
                  <c:pt idx="0">
                    <c:v>1182.1655205116524</c:v>
                  </c:pt>
                  <c:pt idx="1">
                    <c:v>843.38620324125384</c:v>
                  </c:pt>
                  <c:pt idx="2">
                    <c:v>1552.4038303843438</c:v>
                  </c:pt>
                  <c:pt idx="3">
                    <c:v>1229.4563285582651</c:v>
                  </c:pt>
                  <c:pt idx="4">
                    <c:v>1290.4648128417155</c:v>
                  </c:pt>
                  <c:pt idx="5">
                    <c:v>2149.0362263526181</c:v>
                  </c:pt>
                  <c:pt idx="6">
                    <c:v>1761.763438294246</c:v>
                  </c:pt>
                  <c:pt idx="7">
                    <c:v>2100.8145021836531</c:v>
                  </c:pt>
                  <c:pt idx="8">
                    <c:v>2035.9967795887944</c:v>
                  </c:pt>
                  <c:pt idx="9">
                    <c:v>1285.386929167601</c:v>
                  </c:pt>
                  <c:pt idx="10">
                    <c:v>3012.8568070073452</c:v>
                  </c:pt>
                </c:numCache>
              </c:numRef>
            </c:plus>
            <c:minus>
              <c:numRef>
                <c:f>'logbook v guiSWHS'!$G$74:$G$84</c:f>
                <c:numCache>
                  <c:formatCode>General</c:formatCode>
                  <c:ptCount val="11"/>
                  <c:pt idx="0">
                    <c:v>1182.1655205116524</c:v>
                  </c:pt>
                  <c:pt idx="1">
                    <c:v>843.38620324125384</c:v>
                  </c:pt>
                  <c:pt idx="2">
                    <c:v>1552.4038303843438</c:v>
                  </c:pt>
                  <c:pt idx="3">
                    <c:v>1229.4563285582651</c:v>
                  </c:pt>
                  <c:pt idx="4">
                    <c:v>1290.4648128417155</c:v>
                  </c:pt>
                  <c:pt idx="5">
                    <c:v>2149.0362263526181</c:v>
                  </c:pt>
                  <c:pt idx="6">
                    <c:v>1761.763438294246</c:v>
                  </c:pt>
                  <c:pt idx="7">
                    <c:v>2100.8145021836531</c:v>
                  </c:pt>
                  <c:pt idx="8">
                    <c:v>2035.9967795887944</c:v>
                  </c:pt>
                  <c:pt idx="9">
                    <c:v>1285.386929167601</c:v>
                  </c:pt>
                  <c:pt idx="10">
                    <c:v>3012.8568070073452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guiSWHS'!$D$74:$D$84</c:f>
              <c:numCache>
                <c:formatCode>General</c:formatCode>
                <c:ptCount val="11"/>
                <c:pt idx="0">
                  <c:v>1879</c:v>
                </c:pt>
                <c:pt idx="1">
                  <c:v>1969</c:v>
                </c:pt>
                <c:pt idx="2">
                  <c:v>3854</c:v>
                </c:pt>
                <c:pt idx="3">
                  <c:v>2246</c:v>
                </c:pt>
                <c:pt idx="4">
                  <c:v>2803</c:v>
                </c:pt>
                <c:pt idx="5">
                  <c:v>5009</c:v>
                </c:pt>
                <c:pt idx="6">
                  <c:v>4033</c:v>
                </c:pt>
                <c:pt idx="7">
                  <c:v>4452</c:v>
                </c:pt>
                <c:pt idx="8">
                  <c:v>4471</c:v>
                </c:pt>
                <c:pt idx="9">
                  <c:v>3343</c:v>
                </c:pt>
                <c:pt idx="10">
                  <c:v>8516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3D-43ED-A81F-4B15D7A45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'logbook v guiSWHS'!$C$86:$C$96</c:f>
              <c:numCache>
                <c:formatCode>General</c:formatCode>
                <c:ptCount val="11"/>
                <c:pt idx="0">
                  <c:v>5</c:v>
                </c:pt>
                <c:pt idx="1">
                  <c:v>13</c:v>
                </c:pt>
                <c:pt idx="2">
                  <c:v>0</c:v>
                </c:pt>
                <c:pt idx="3">
                  <c:v>44</c:v>
                </c:pt>
                <c:pt idx="4">
                  <c:v>21</c:v>
                </c:pt>
                <c:pt idx="5">
                  <c:v>1</c:v>
                </c:pt>
                <c:pt idx="6">
                  <c:v>7</c:v>
                </c:pt>
                <c:pt idx="7">
                  <c:v>105</c:v>
                </c:pt>
                <c:pt idx="8">
                  <c:v>91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0-4F33-97EB-E401E8BEA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guiSWHS'!$G$86:$G$96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139.61685951458404</c:v>
                  </c:pt>
                  <c:pt idx="2">
                    <c:v>266.0071920090889</c:v>
                  </c:pt>
                  <c:pt idx="3">
                    <c:v>135.54345359610093</c:v>
                  </c:pt>
                  <c:pt idx="4">
                    <c:v>520.29437222930244</c:v>
                  </c:pt>
                  <c:pt idx="5">
                    <c:v>160.94232883331824</c:v>
                  </c:pt>
                  <c:pt idx="6">
                    <c:v>0</c:v>
                  </c:pt>
                  <c:pt idx="7">
                    <c:v>71.220227558945382</c:v>
                  </c:pt>
                  <c:pt idx="8">
                    <c:v>498.26357695465396</c:v>
                  </c:pt>
                  <c:pt idx="9">
                    <c:v>487.70025212344746</c:v>
                  </c:pt>
                  <c:pt idx="10">
                    <c:v>552.32962592589161</c:v>
                  </c:pt>
                </c:numCache>
              </c:numRef>
            </c:plus>
            <c:minus>
              <c:numRef>
                <c:f>'logbook v guiSWHS'!$G$86:$G$96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139.61685951458404</c:v>
                  </c:pt>
                  <c:pt idx="2">
                    <c:v>266.0071920090889</c:v>
                  </c:pt>
                  <c:pt idx="3">
                    <c:v>135.54345359610093</c:v>
                  </c:pt>
                  <c:pt idx="4">
                    <c:v>520.29437222930244</c:v>
                  </c:pt>
                  <c:pt idx="5">
                    <c:v>160.94232883331824</c:v>
                  </c:pt>
                  <c:pt idx="6">
                    <c:v>0</c:v>
                  </c:pt>
                  <c:pt idx="7">
                    <c:v>71.220227558945382</c:v>
                  </c:pt>
                  <c:pt idx="8">
                    <c:v>498.26357695465396</c:v>
                  </c:pt>
                  <c:pt idx="9">
                    <c:v>487.70025212344746</c:v>
                  </c:pt>
                  <c:pt idx="10">
                    <c:v>552.32962592589161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guiSWHS'!$D$86:$D$96</c:f>
              <c:numCache>
                <c:formatCode>General</c:formatCode>
                <c:ptCount val="11"/>
                <c:pt idx="0">
                  <c:v>0</c:v>
                </c:pt>
                <c:pt idx="1">
                  <c:v>70</c:v>
                </c:pt>
                <c:pt idx="2">
                  <c:v>137</c:v>
                </c:pt>
                <c:pt idx="3">
                  <c:v>71</c:v>
                </c:pt>
                <c:pt idx="4">
                  <c:v>274</c:v>
                </c:pt>
                <c:pt idx="5">
                  <c:v>81</c:v>
                </c:pt>
                <c:pt idx="6">
                  <c:v>0</c:v>
                </c:pt>
                <c:pt idx="7">
                  <c:v>35</c:v>
                </c:pt>
                <c:pt idx="8">
                  <c:v>460</c:v>
                </c:pt>
                <c:pt idx="9">
                  <c:v>437</c:v>
                </c:pt>
                <c:pt idx="10">
                  <c:v>554.20000000000005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A0-4F33-97EB-E401E8BEA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SOKO2SAP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'logbook v guiSWHS'!$C$98:$C$108</c:f>
              <c:numCache>
                <c:formatCode>General</c:formatCode>
                <c:ptCount val="11"/>
                <c:pt idx="0">
                  <c:v>749</c:v>
                </c:pt>
                <c:pt idx="1">
                  <c:v>1039</c:v>
                </c:pt>
                <c:pt idx="2">
                  <c:v>1104</c:v>
                </c:pt>
                <c:pt idx="3">
                  <c:v>715</c:v>
                </c:pt>
                <c:pt idx="4">
                  <c:v>662</c:v>
                </c:pt>
                <c:pt idx="5">
                  <c:v>811</c:v>
                </c:pt>
                <c:pt idx="6">
                  <c:v>727</c:v>
                </c:pt>
                <c:pt idx="7">
                  <c:v>781</c:v>
                </c:pt>
                <c:pt idx="8">
                  <c:v>762</c:v>
                </c:pt>
                <c:pt idx="9">
                  <c:v>811</c:v>
                </c:pt>
                <c:pt idx="10">
                  <c:v>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7-4614-97EC-BC4017C28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guiSWHS'!$G$98:$G$108</c:f>
                <c:numCache>
                  <c:formatCode>General</c:formatCode>
                  <c:ptCount val="11"/>
                  <c:pt idx="0">
                    <c:v>150.90300354744312</c:v>
                  </c:pt>
                  <c:pt idx="1">
                    <c:v>366.30411483408847</c:v>
                  </c:pt>
                  <c:pt idx="2">
                    <c:v>694.33203921485438</c:v>
                  </c:pt>
                  <c:pt idx="3">
                    <c:v>660.52204921369434</c:v>
                  </c:pt>
                  <c:pt idx="4">
                    <c:v>204.9344130029364</c:v>
                  </c:pt>
                  <c:pt idx="5">
                    <c:v>35.671305706649058</c:v>
                  </c:pt>
                  <c:pt idx="6">
                    <c:v>0</c:v>
                  </c:pt>
                  <c:pt idx="7">
                    <c:v>0</c:v>
                  </c:pt>
                  <c:pt idx="8">
                    <c:v>418.24009289299693</c:v>
                  </c:pt>
                  <c:pt idx="9">
                    <c:v>417.47880698034737</c:v>
                  </c:pt>
                  <c:pt idx="10">
                    <c:v>539.1595287772999</c:v>
                  </c:pt>
                </c:numCache>
              </c:numRef>
            </c:plus>
            <c:minus>
              <c:numRef>
                <c:f>'logbook v guiSWHS'!$G$98:$G$108</c:f>
                <c:numCache>
                  <c:formatCode>General</c:formatCode>
                  <c:ptCount val="11"/>
                  <c:pt idx="0">
                    <c:v>150.90300354744312</c:v>
                  </c:pt>
                  <c:pt idx="1">
                    <c:v>366.30411483408847</c:v>
                  </c:pt>
                  <c:pt idx="2">
                    <c:v>694.33203921485438</c:v>
                  </c:pt>
                  <c:pt idx="3">
                    <c:v>660.52204921369434</c:v>
                  </c:pt>
                  <c:pt idx="4">
                    <c:v>204.9344130029364</c:v>
                  </c:pt>
                  <c:pt idx="5">
                    <c:v>35.671305706649058</c:v>
                  </c:pt>
                  <c:pt idx="6">
                    <c:v>0</c:v>
                  </c:pt>
                  <c:pt idx="7">
                    <c:v>0</c:v>
                  </c:pt>
                  <c:pt idx="8">
                    <c:v>418.24009289299693</c:v>
                  </c:pt>
                  <c:pt idx="9">
                    <c:v>417.47880698034737</c:v>
                  </c:pt>
                  <c:pt idx="10">
                    <c:v>539.1595287772999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guiSWHS'!$D$98:$D$108</c:f>
              <c:numCache>
                <c:formatCode>General</c:formatCode>
                <c:ptCount val="11"/>
                <c:pt idx="0">
                  <c:v>77</c:v>
                </c:pt>
                <c:pt idx="1">
                  <c:v>257</c:v>
                </c:pt>
                <c:pt idx="2">
                  <c:v>396</c:v>
                </c:pt>
                <c:pt idx="3">
                  <c:v>390</c:v>
                </c:pt>
                <c:pt idx="4">
                  <c:v>107</c:v>
                </c:pt>
                <c:pt idx="5">
                  <c:v>18</c:v>
                </c:pt>
                <c:pt idx="6">
                  <c:v>0</c:v>
                </c:pt>
                <c:pt idx="7">
                  <c:v>0</c:v>
                </c:pt>
                <c:pt idx="8">
                  <c:v>325</c:v>
                </c:pt>
                <c:pt idx="9">
                  <c:v>316</c:v>
                </c:pt>
                <c:pt idx="10">
                  <c:v>529.66666666666697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7-4614-97EC-BC4017C28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'logbook v guiSWHS'!$C$110:$C$120</c:f>
              <c:numCache>
                <c:formatCode>General</c:formatCode>
                <c:ptCount val="11"/>
                <c:pt idx="0">
                  <c:v>3046</c:v>
                </c:pt>
                <c:pt idx="1">
                  <c:v>4677</c:v>
                </c:pt>
                <c:pt idx="2">
                  <c:v>4808</c:v>
                </c:pt>
                <c:pt idx="3">
                  <c:v>4731</c:v>
                </c:pt>
                <c:pt idx="4">
                  <c:v>6321</c:v>
                </c:pt>
                <c:pt idx="5">
                  <c:v>10123</c:v>
                </c:pt>
                <c:pt idx="6">
                  <c:v>8376</c:v>
                </c:pt>
                <c:pt idx="7">
                  <c:v>13009</c:v>
                </c:pt>
                <c:pt idx="8">
                  <c:v>16061</c:v>
                </c:pt>
                <c:pt idx="9">
                  <c:v>9784</c:v>
                </c:pt>
                <c:pt idx="10">
                  <c:v>14326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6-4B64-8251-7B8800E41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guiSWHS'!$G$110:$G$120</c:f>
                <c:numCache>
                  <c:formatCode>General</c:formatCode>
                  <c:ptCount val="11"/>
                  <c:pt idx="0">
                    <c:v>1021.8006563492104</c:v>
                  </c:pt>
                  <c:pt idx="1">
                    <c:v>1235.7295011635058</c:v>
                  </c:pt>
                  <c:pt idx="2">
                    <c:v>1271.1493304105352</c:v>
                  </c:pt>
                  <c:pt idx="3">
                    <c:v>1814.3177723593421</c:v>
                  </c:pt>
                  <c:pt idx="4">
                    <c:v>1719.8905850006029</c:v>
                  </c:pt>
                  <c:pt idx="5">
                    <c:v>2116.6154532249157</c:v>
                  </c:pt>
                  <c:pt idx="6">
                    <c:v>1948.4923223644039</c:v>
                  </c:pt>
                  <c:pt idx="7">
                    <c:v>2186.5533116669258</c:v>
                  </c:pt>
                  <c:pt idx="8">
                    <c:v>1985.4209891941011</c:v>
                  </c:pt>
                  <c:pt idx="9">
                    <c:v>1286.8499655941705</c:v>
                  </c:pt>
                  <c:pt idx="10">
                    <c:v>2973.3767601371542</c:v>
                  </c:pt>
                </c:numCache>
              </c:numRef>
            </c:plus>
            <c:minus>
              <c:numRef>
                <c:f>'logbook v guiSWHS'!$G$110:$G$120</c:f>
                <c:numCache>
                  <c:formatCode>General</c:formatCode>
                  <c:ptCount val="11"/>
                  <c:pt idx="0">
                    <c:v>1021.8006563492104</c:v>
                  </c:pt>
                  <c:pt idx="1">
                    <c:v>1235.7295011635058</c:v>
                  </c:pt>
                  <c:pt idx="2">
                    <c:v>1271.1493304105352</c:v>
                  </c:pt>
                  <c:pt idx="3">
                    <c:v>1814.3177723593421</c:v>
                  </c:pt>
                  <c:pt idx="4">
                    <c:v>1719.8905850006029</c:v>
                  </c:pt>
                  <c:pt idx="5">
                    <c:v>2116.6154532249157</c:v>
                  </c:pt>
                  <c:pt idx="6">
                    <c:v>1948.4923223644039</c:v>
                  </c:pt>
                  <c:pt idx="7">
                    <c:v>2186.5533116669258</c:v>
                  </c:pt>
                  <c:pt idx="8">
                    <c:v>1985.4209891941011</c:v>
                  </c:pt>
                  <c:pt idx="9">
                    <c:v>1286.8499655941705</c:v>
                  </c:pt>
                  <c:pt idx="10">
                    <c:v>2973.3767601371542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guiSWHS'!$D$110:$D$120</c:f>
              <c:numCache>
                <c:formatCode>General</c:formatCode>
                <c:ptCount val="11"/>
                <c:pt idx="0">
                  <c:v>3090</c:v>
                </c:pt>
                <c:pt idx="1">
                  <c:v>3725</c:v>
                </c:pt>
                <c:pt idx="2">
                  <c:v>4037</c:v>
                </c:pt>
                <c:pt idx="3">
                  <c:v>6907</c:v>
                </c:pt>
                <c:pt idx="4">
                  <c:v>6611</c:v>
                </c:pt>
                <c:pt idx="5">
                  <c:v>9545</c:v>
                </c:pt>
                <c:pt idx="6">
                  <c:v>8163</c:v>
                </c:pt>
                <c:pt idx="7">
                  <c:v>8296</c:v>
                </c:pt>
                <c:pt idx="8">
                  <c:v>7349</c:v>
                </c:pt>
                <c:pt idx="9">
                  <c:v>4920</c:v>
                </c:pt>
                <c:pt idx="10">
                  <c:v>12552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F6-4B64-8251-7B8800E41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PWSI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'rockfish harvests'!$B$2:$B$26</c:f>
            </c:multiLvlStrRef>
          </c:cat>
          <c:val>
            <c:numRef>
              <c:f>'rockfish harvests'!$D$177:$D$201</c:f>
            </c:numRef>
          </c:val>
          <c:smooth val="0"/>
          <c:extLst>
            <c:ext xmlns:c16="http://schemas.microsoft.com/office/drawing/2014/chart" uri="{C3380CC4-5D6E-409C-BE32-E72D297353CC}">
              <c16:uniqueId val="{00000000-29ED-4D76-B10A-1D7C76678BC2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harvests'!$N$177:$N$200</c:f>
              </c:numRef>
            </c:plus>
            <c:minus>
              <c:numRef>
                <c:f>'rockfish harvests'!$N$177:$N$200</c:f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'rockfish harvests'!$B$2:$B$26</c:f>
            </c:multiLvlStrRef>
          </c:cat>
          <c:val>
            <c:numRef>
              <c:f>'rockfish harvests'!$O$177:$O$201</c:f>
            </c:numRef>
          </c:val>
          <c:smooth val="0"/>
          <c:extLst>
            <c:ext xmlns:c16="http://schemas.microsoft.com/office/drawing/2014/chart" uri="{C3380CC4-5D6E-409C-BE32-E72D297353CC}">
              <c16:uniqueId val="{00000001-29ED-4D76-B10A-1D7C76678BC2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harvests'!$N$177:$N$200</c:f>
              </c:numRef>
            </c:plus>
            <c:minus>
              <c:numRef>
                <c:f>'rockfish harvests'!$N$177:$N$200</c:f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multiLvlStrRef>
              <c:f>'rockfish harvests'!$B$2:$B$26</c:f>
            </c:multiLvlStrRef>
          </c:cat>
          <c:val>
            <c:numRef>
              <c:f>'rockfish harvests'!$K$177:$K$201</c:f>
            </c:numRef>
          </c:val>
          <c:smooth val="0"/>
          <c:extLst>
            <c:ext xmlns:c16="http://schemas.microsoft.com/office/drawing/2014/chart" uri="{C3380CC4-5D6E-409C-BE32-E72D297353CC}">
              <c16:uniqueId val="{00000002-29ED-4D76-B10A-1D7C76678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EASTSIDE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'logbook v guiSWHS'!$C$122:$C$132</c:f>
              <c:numCache>
                <c:formatCode>General</c:formatCode>
                <c:ptCount val="11"/>
                <c:pt idx="0">
                  <c:v>1928</c:v>
                </c:pt>
                <c:pt idx="1">
                  <c:v>3433</c:v>
                </c:pt>
                <c:pt idx="2">
                  <c:v>2207</c:v>
                </c:pt>
                <c:pt idx="3">
                  <c:v>3551</c:v>
                </c:pt>
                <c:pt idx="4">
                  <c:v>2787</c:v>
                </c:pt>
                <c:pt idx="5">
                  <c:v>3561</c:v>
                </c:pt>
                <c:pt idx="6">
                  <c:v>3933</c:v>
                </c:pt>
                <c:pt idx="7">
                  <c:v>3914</c:v>
                </c:pt>
                <c:pt idx="8">
                  <c:v>5680</c:v>
                </c:pt>
                <c:pt idx="9">
                  <c:v>1507</c:v>
                </c:pt>
                <c:pt idx="10">
                  <c:v>2885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1-4365-B2E2-E4458E883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guiSWHS'!$G$122:$G$132</c:f>
                <c:numCache>
                  <c:formatCode>General</c:formatCode>
                  <c:ptCount val="11"/>
                  <c:pt idx="0">
                    <c:v>948.16019157514063</c:v>
                  </c:pt>
                  <c:pt idx="1">
                    <c:v>1666.5325556720804</c:v>
                  </c:pt>
                  <c:pt idx="2">
                    <c:v>1157.2627930446074</c:v>
                  </c:pt>
                  <c:pt idx="3">
                    <c:v>1509.7187493419203</c:v>
                  </c:pt>
                  <c:pt idx="4">
                    <c:v>1258.2064190106485</c:v>
                  </c:pt>
                  <c:pt idx="5">
                    <c:v>1682.9690923969843</c:v>
                  </c:pt>
                  <c:pt idx="6">
                    <c:v>1037.9356929883372</c:v>
                  </c:pt>
                  <c:pt idx="7">
                    <c:v>1607.4561975093275</c:v>
                  </c:pt>
                  <c:pt idx="8">
                    <c:v>1441.7006184359504</c:v>
                  </c:pt>
                  <c:pt idx="9">
                    <c:v>946.58509023535635</c:v>
                  </c:pt>
                  <c:pt idx="10">
                    <c:v>3012.8568070073452</c:v>
                  </c:pt>
                </c:numCache>
              </c:numRef>
            </c:plus>
            <c:minus>
              <c:numRef>
                <c:f>'logbook v guiSWHS'!$G$122:$G$132</c:f>
                <c:numCache>
                  <c:formatCode>General</c:formatCode>
                  <c:ptCount val="11"/>
                  <c:pt idx="0">
                    <c:v>948.16019157514063</c:v>
                  </c:pt>
                  <c:pt idx="1">
                    <c:v>1666.5325556720804</c:v>
                  </c:pt>
                  <c:pt idx="2">
                    <c:v>1157.2627930446074</c:v>
                  </c:pt>
                  <c:pt idx="3">
                    <c:v>1509.7187493419203</c:v>
                  </c:pt>
                  <c:pt idx="4">
                    <c:v>1258.2064190106485</c:v>
                  </c:pt>
                  <c:pt idx="5">
                    <c:v>1682.9690923969843</c:v>
                  </c:pt>
                  <c:pt idx="6">
                    <c:v>1037.9356929883372</c:v>
                  </c:pt>
                  <c:pt idx="7">
                    <c:v>1607.4561975093275</c:v>
                  </c:pt>
                  <c:pt idx="8">
                    <c:v>1441.7006184359504</c:v>
                  </c:pt>
                  <c:pt idx="9">
                    <c:v>946.58509023535635</c:v>
                  </c:pt>
                  <c:pt idx="10">
                    <c:v>3012.8568070073452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guiSWHS'!$D$122:$D$132</c:f>
              <c:numCache>
                <c:formatCode>General</c:formatCode>
                <c:ptCount val="11"/>
                <c:pt idx="0">
                  <c:v>1611</c:v>
                </c:pt>
                <c:pt idx="1">
                  <c:v>3279</c:v>
                </c:pt>
                <c:pt idx="2">
                  <c:v>2108</c:v>
                </c:pt>
                <c:pt idx="3">
                  <c:v>3029</c:v>
                </c:pt>
                <c:pt idx="4">
                  <c:v>2033</c:v>
                </c:pt>
                <c:pt idx="5">
                  <c:v>2512</c:v>
                </c:pt>
                <c:pt idx="6">
                  <c:v>2144</c:v>
                </c:pt>
                <c:pt idx="7">
                  <c:v>3004</c:v>
                </c:pt>
                <c:pt idx="8">
                  <c:v>1831</c:v>
                </c:pt>
                <c:pt idx="9">
                  <c:v>2289</c:v>
                </c:pt>
                <c:pt idx="10">
                  <c:v>8516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D1-4365-B2E2-E4458E883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WKMA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'logbook v guiSWHS'!$C$134:$C$144</c:f>
              <c:numCache>
                <c:formatCode>General</c:formatCode>
                <c:ptCount val="11"/>
                <c:pt idx="0">
                  <c:v>1366</c:v>
                </c:pt>
                <c:pt idx="1">
                  <c:v>1747</c:v>
                </c:pt>
                <c:pt idx="2">
                  <c:v>1983</c:v>
                </c:pt>
                <c:pt idx="3">
                  <c:v>2396</c:v>
                </c:pt>
                <c:pt idx="4">
                  <c:v>2031</c:v>
                </c:pt>
                <c:pt idx="5">
                  <c:v>3337</c:v>
                </c:pt>
                <c:pt idx="6">
                  <c:v>2899</c:v>
                </c:pt>
                <c:pt idx="7">
                  <c:v>4291</c:v>
                </c:pt>
                <c:pt idx="8">
                  <c:v>6954</c:v>
                </c:pt>
                <c:pt idx="9">
                  <c:v>4035</c:v>
                </c:pt>
                <c:pt idx="10">
                  <c:v>7924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9-4D95-9B1E-AF5ADD5BB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guiSWHS'!$G$134:$G$144</c:f>
                <c:numCache>
                  <c:formatCode>General</c:formatCode>
                  <c:ptCount val="11"/>
                  <c:pt idx="0">
                    <c:v>599.66529350434166</c:v>
                  </c:pt>
                  <c:pt idx="1">
                    <c:v>378.88682284212871</c:v>
                  </c:pt>
                  <c:pt idx="2">
                    <c:v>1056.9724265686207</c:v>
                  </c:pt>
                  <c:pt idx="3">
                    <c:v>1169.9813784713683</c:v>
                  </c:pt>
                  <c:pt idx="4">
                    <c:v>1504.4895212878375</c:v>
                  </c:pt>
                  <c:pt idx="5">
                    <c:v>2149.0362263526181</c:v>
                  </c:pt>
                  <c:pt idx="6">
                    <c:v>1037.9356929883372</c:v>
                  </c:pt>
                  <c:pt idx="7">
                    <c:v>2018.535440696264</c:v>
                  </c:pt>
                  <c:pt idx="8">
                    <c:v>2035.9967795887944</c:v>
                  </c:pt>
                  <c:pt idx="9">
                    <c:v>946.58509023535635</c:v>
                  </c:pt>
                  <c:pt idx="10">
                    <c:v>3012.8568070073452</c:v>
                  </c:pt>
                </c:numCache>
              </c:numRef>
            </c:plus>
            <c:minus>
              <c:numRef>
                <c:f>'logbook v guiSWHS'!$G$134:$G$144</c:f>
                <c:numCache>
                  <c:formatCode>General</c:formatCode>
                  <c:ptCount val="11"/>
                  <c:pt idx="0">
                    <c:v>599.66529350434166</c:v>
                  </c:pt>
                  <c:pt idx="1">
                    <c:v>378.88682284212871</c:v>
                  </c:pt>
                  <c:pt idx="2">
                    <c:v>1056.9724265686207</c:v>
                  </c:pt>
                  <c:pt idx="3">
                    <c:v>1169.9813784713683</c:v>
                  </c:pt>
                  <c:pt idx="4">
                    <c:v>1504.4895212878375</c:v>
                  </c:pt>
                  <c:pt idx="5">
                    <c:v>2149.0362263526181</c:v>
                  </c:pt>
                  <c:pt idx="6">
                    <c:v>1037.9356929883372</c:v>
                  </c:pt>
                  <c:pt idx="7">
                    <c:v>2018.535440696264</c:v>
                  </c:pt>
                  <c:pt idx="8">
                    <c:v>2035.9967795887944</c:v>
                  </c:pt>
                  <c:pt idx="9">
                    <c:v>946.58509023535635</c:v>
                  </c:pt>
                  <c:pt idx="10">
                    <c:v>3012.8568070073452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guiSWHS'!$D$134:$D$144</c:f>
              <c:numCache>
                <c:formatCode>General</c:formatCode>
                <c:ptCount val="11"/>
                <c:pt idx="0">
                  <c:v>991</c:v>
                </c:pt>
                <c:pt idx="1">
                  <c:v>612</c:v>
                </c:pt>
                <c:pt idx="2">
                  <c:v>2072</c:v>
                </c:pt>
                <c:pt idx="3">
                  <c:v>2239</c:v>
                </c:pt>
                <c:pt idx="4">
                  <c:v>1753</c:v>
                </c:pt>
                <c:pt idx="5">
                  <c:v>5009</c:v>
                </c:pt>
                <c:pt idx="6">
                  <c:v>2144</c:v>
                </c:pt>
                <c:pt idx="7">
                  <c:v>3896</c:v>
                </c:pt>
                <c:pt idx="8">
                  <c:v>4471</c:v>
                </c:pt>
                <c:pt idx="9">
                  <c:v>2289</c:v>
                </c:pt>
                <c:pt idx="10">
                  <c:v>8516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19-4D95-9B1E-AF5ADD5BB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'logbook v guiSWHS'!$C$146:$C$156</c:f>
              <c:numCache>
                <c:formatCode>General</c:formatCode>
                <c:ptCount val="11"/>
                <c:pt idx="0">
                  <c:v>30322</c:v>
                </c:pt>
                <c:pt idx="1">
                  <c:v>27771</c:v>
                </c:pt>
                <c:pt idx="2">
                  <c:v>30558</c:v>
                </c:pt>
                <c:pt idx="3">
                  <c:v>37025</c:v>
                </c:pt>
                <c:pt idx="4">
                  <c:v>45883</c:v>
                </c:pt>
                <c:pt idx="5">
                  <c:v>56991</c:v>
                </c:pt>
                <c:pt idx="6">
                  <c:v>38626</c:v>
                </c:pt>
                <c:pt idx="7">
                  <c:v>50115</c:v>
                </c:pt>
                <c:pt idx="8">
                  <c:v>64565</c:v>
                </c:pt>
                <c:pt idx="9">
                  <c:v>43363</c:v>
                </c:pt>
                <c:pt idx="10">
                  <c:v>83097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D-4234-ACC9-28AF7CF2B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guiSWHS'!$G$146:$G$156</c:f>
                <c:numCache>
                  <c:formatCode>General</c:formatCode>
                  <c:ptCount val="11"/>
                  <c:pt idx="0">
                    <c:v>3598.79607791536</c:v>
                  </c:pt>
                  <c:pt idx="1">
                    <c:v>3068.9067909528671</c:v>
                  </c:pt>
                  <c:pt idx="2">
                    <c:v>3361.2354758100887</c:v>
                  </c:pt>
                  <c:pt idx="3">
                    <c:v>4059.0646801675625</c:v>
                  </c:pt>
                  <c:pt idx="4">
                    <c:v>4244.8841347709658</c:v>
                  </c:pt>
                  <c:pt idx="5">
                    <c:v>5115.2069085839375</c:v>
                  </c:pt>
                  <c:pt idx="6">
                    <c:v>4847.1398470405447</c:v>
                  </c:pt>
                  <c:pt idx="7">
                    <c:v>5031.2082870146241</c:v>
                  </c:pt>
                  <c:pt idx="8">
                    <c:v>5480.1612900779</c:v>
                  </c:pt>
                  <c:pt idx="9">
                    <c:v>3846.4308370654012</c:v>
                  </c:pt>
                  <c:pt idx="10">
                    <c:v>5876.8627106576687</c:v>
                  </c:pt>
                </c:numCache>
              </c:numRef>
            </c:plus>
            <c:minus>
              <c:numRef>
                <c:f>'logbook v guiSWHS'!$G$146:$G$156</c:f>
                <c:numCache>
                  <c:formatCode>General</c:formatCode>
                  <c:ptCount val="11"/>
                  <c:pt idx="0">
                    <c:v>3598.79607791536</c:v>
                  </c:pt>
                  <c:pt idx="1">
                    <c:v>3068.9067909528671</c:v>
                  </c:pt>
                  <c:pt idx="2">
                    <c:v>3361.2354758100887</c:v>
                  </c:pt>
                  <c:pt idx="3">
                    <c:v>4059.0646801675625</c:v>
                  </c:pt>
                  <c:pt idx="4">
                    <c:v>4244.8841347709658</c:v>
                  </c:pt>
                  <c:pt idx="5">
                    <c:v>5115.2069085839375</c:v>
                  </c:pt>
                  <c:pt idx="6">
                    <c:v>4847.1398470405447</c:v>
                  </c:pt>
                  <c:pt idx="7">
                    <c:v>5031.2082870146241</c:v>
                  </c:pt>
                  <c:pt idx="8">
                    <c:v>5480.1612900779</c:v>
                  </c:pt>
                  <c:pt idx="9">
                    <c:v>3846.4308370654012</c:v>
                  </c:pt>
                  <c:pt idx="10">
                    <c:v>5876.8627106576687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guiSWHS'!$D$146:$D$156</c:f>
              <c:numCache>
                <c:formatCode>General</c:formatCode>
                <c:ptCount val="11"/>
                <c:pt idx="0">
                  <c:v>26745</c:v>
                </c:pt>
                <c:pt idx="1">
                  <c:v>25298</c:v>
                </c:pt>
                <c:pt idx="2">
                  <c:v>29220</c:v>
                </c:pt>
                <c:pt idx="3">
                  <c:v>32841</c:v>
                </c:pt>
                <c:pt idx="4">
                  <c:v>38015</c:v>
                </c:pt>
                <c:pt idx="5">
                  <c:v>54312</c:v>
                </c:pt>
                <c:pt idx="6">
                  <c:v>39626</c:v>
                </c:pt>
                <c:pt idx="7">
                  <c:v>44958</c:v>
                </c:pt>
                <c:pt idx="8">
                  <c:v>54358</c:v>
                </c:pt>
                <c:pt idx="9">
                  <c:v>38289</c:v>
                </c:pt>
                <c:pt idx="10">
                  <c:v>59688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D-4234-ACC9-28AF7CF2B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Northeast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'logbook v guiSWHS'!$C$158:$C$168</c:f>
              <c:numCache>
                <c:formatCode>General</c:formatCode>
                <c:ptCount val="11"/>
                <c:pt idx="0">
                  <c:v>6904</c:v>
                </c:pt>
                <c:pt idx="1">
                  <c:v>6813</c:v>
                </c:pt>
                <c:pt idx="2">
                  <c:v>9965</c:v>
                </c:pt>
                <c:pt idx="3">
                  <c:v>11896</c:v>
                </c:pt>
                <c:pt idx="4">
                  <c:v>12377</c:v>
                </c:pt>
                <c:pt idx="5">
                  <c:v>13580</c:v>
                </c:pt>
                <c:pt idx="6">
                  <c:v>6719</c:v>
                </c:pt>
                <c:pt idx="7">
                  <c:v>8479</c:v>
                </c:pt>
                <c:pt idx="8">
                  <c:v>9881</c:v>
                </c:pt>
                <c:pt idx="9">
                  <c:v>4479</c:v>
                </c:pt>
                <c:pt idx="10">
                  <c:v>9680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1-48EF-B842-F7C32DDDA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guiSWHS'!$G$158:$G$168</c:f>
                <c:numCache>
                  <c:formatCode>General</c:formatCode>
                  <c:ptCount val="11"/>
                  <c:pt idx="0">
                    <c:v>1977.5882330737427</c:v>
                  </c:pt>
                  <c:pt idx="1">
                    <c:v>2183.1246915654319</c:v>
                  </c:pt>
                  <c:pt idx="2">
                    <c:v>1682.3837318889355</c:v>
                  </c:pt>
                  <c:pt idx="3">
                    <c:v>3731.7236800160631</c:v>
                  </c:pt>
                  <c:pt idx="4">
                    <c:v>2444.6302503000306</c:v>
                  </c:pt>
                  <c:pt idx="5">
                    <c:v>2488.0994994320445</c:v>
                  </c:pt>
                  <c:pt idx="6">
                    <c:v>2817.0992887102434</c:v>
                  </c:pt>
                  <c:pt idx="7">
                    <c:v>2098.0848922597506</c:v>
                  </c:pt>
                  <c:pt idx="8">
                    <c:v>1935.7365497203782</c:v>
                  </c:pt>
                  <c:pt idx="9">
                    <c:v>1039.0268428148763</c:v>
                  </c:pt>
                  <c:pt idx="10">
                    <c:v>2699.8369930683284</c:v>
                  </c:pt>
                </c:numCache>
              </c:numRef>
            </c:plus>
            <c:minus>
              <c:numRef>
                <c:f>'logbook v guiSWHS'!$G$158:$G$168</c:f>
                <c:numCache>
                  <c:formatCode>General</c:formatCode>
                  <c:ptCount val="11"/>
                  <c:pt idx="0">
                    <c:v>1977.5882330737427</c:v>
                  </c:pt>
                  <c:pt idx="1">
                    <c:v>2183.1246915654319</c:v>
                  </c:pt>
                  <c:pt idx="2">
                    <c:v>1682.3837318889355</c:v>
                  </c:pt>
                  <c:pt idx="3">
                    <c:v>3731.7236800160631</c:v>
                  </c:pt>
                  <c:pt idx="4">
                    <c:v>2444.6302503000306</c:v>
                  </c:pt>
                  <c:pt idx="5">
                    <c:v>2488.0994994320445</c:v>
                  </c:pt>
                  <c:pt idx="6">
                    <c:v>2817.0992887102434</c:v>
                  </c:pt>
                  <c:pt idx="7">
                    <c:v>2098.0848922597506</c:v>
                  </c:pt>
                  <c:pt idx="8">
                    <c:v>1935.7365497203782</c:v>
                  </c:pt>
                  <c:pt idx="9">
                    <c:v>1039.0268428148763</c:v>
                  </c:pt>
                  <c:pt idx="10">
                    <c:v>2699.8369930683284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guiSWHS'!$D$158:$D$168</c:f>
              <c:numCache>
                <c:formatCode>General</c:formatCode>
                <c:ptCount val="11"/>
                <c:pt idx="0">
                  <c:v>5586</c:v>
                </c:pt>
                <c:pt idx="1">
                  <c:v>6484</c:v>
                </c:pt>
                <c:pt idx="2">
                  <c:v>5313</c:v>
                </c:pt>
                <c:pt idx="3">
                  <c:v>14189</c:v>
                </c:pt>
                <c:pt idx="4">
                  <c:v>8808</c:v>
                </c:pt>
                <c:pt idx="5">
                  <c:v>7013</c:v>
                </c:pt>
                <c:pt idx="6">
                  <c:v>8635</c:v>
                </c:pt>
                <c:pt idx="7">
                  <c:v>6486</c:v>
                </c:pt>
                <c:pt idx="8">
                  <c:v>7481</c:v>
                </c:pt>
                <c:pt idx="9">
                  <c:v>2696</c:v>
                </c:pt>
                <c:pt idx="10">
                  <c:v>9479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81-48EF-B842-F7C32DDDA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'logbook v guiSWHS'!$C$170:$C$180</c:f>
              <c:numCache>
                <c:formatCode>General</c:formatCode>
                <c:ptCount val="11"/>
                <c:pt idx="0">
                  <c:v>11367</c:v>
                </c:pt>
                <c:pt idx="1">
                  <c:v>13580</c:v>
                </c:pt>
                <c:pt idx="2">
                  <c:v>14209</c:v>
                </c:pt>
                <c:pt idx="3">
                  <c:v>14913</c:v>
                </c:pt>
                <c:pt idx="4">
                  <c:v>20073</c:v>
                </c:pt>
                <c:pt idx="5">
                  <c:v>28893</c:v>
                </c:pt>
                <c:pt idx="6">
                  <c:v>16300</c:v>
                </c:pt>
                <c:pt idx="7">
                  <c:v>12107</c:v>
                </c:pt>
                <c:pt idx="8">
                  <c:v>15083</c:v>
                </c:pt>
                <c:pt idx="9">
                  <c:v>9001</c:v>
                </c:pt>
                <c:pt idx="10">
                  <c:v>16848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8-45B9-A474-B16DBD999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guiSWHS'!$G$170:$G$180</c:f>
                <c:numCache>
                  <c:formatCode>General</c:formatCode>
                  <c:ptCount val="11"/>
                  <c:pt idx="0">
                    <c:v>965.05736693435711</c:v>
                  </c:pt>
                  <c:pt idx="1">
                    <c:v>1799.7066564262941</c:v>
                  </c:pt>
                  <c:pt idx="2">
                    <c:v>1370.5528482959735</c:v>
                  </c:pt>
                  <c:pt idx="3">
                    <c:v>2530.4803948084527</c:v>
                  </c:pt>
                  <c:pt idx="4">
                    <c:v>1852.1582448586753</c:v>
                  </c:pt>
                  <c:pt idx="5">
                    <c:v>2290.362971518146</c:v>
                  </c:pt>
                  <c:pt idx="6">
                    <c:v>1826.8093505632278</c:v>
                  </c:pt>
                  <c:pt idx="7">
                    <c:v>2271.5763287114714</c:v>
                  </c:pt>
                  <c:pt idx="8">
                    <c:v>2434.2719322148273</c:v>
                  </c:pt>
                  <c:pt idx="9">
                    <c:v>1867.7603697598602</c:v>
                  </c:pt>
                  <c:pt idx="10">
                    <c:v>3202.4908613095245</c:v>
                  </c:pt>
                </c:numCache>
              </c:numRef>
            </c:plus>
            <c:minus>
              <c:numRef>
                <c:f>'logbook v guiSWHS'!$G$170:$G$180</c:f>
                <c:numCache>
                  <c:formatCode>General</c:formatCode>
                  <c:ptCount val="11"/>
                  <c:pt idx="0">
                    <c:v>965.05736693435711</c:v>
                  </c:pt>
                  <c:pt idx="1">
                    <c:v>1799.7066564262941</c:v>
                  </c:pt>
                  <c:pt idx="2">
                    <c:v>1370.5528482959735</c:v>
                  </c:pt>
                  <c:pt idx="3">
                    <c:v>2530.4803948084527</c:v>
                  </c:pt>
                  <c:pt idx="4">
                    <c:v>1852.1582448586753</c:v>
                  </c:pt>
                  <c:pt idx="5">
                    <c:v>2290.362971518146</c:v>
                  </c:pt>
                  <c:pt idx="6">
                    <c:v>1826.8093505632278</c:v>
                  </c:pt>
                  <c:pt idx="7">
                    <c:v>2271.5763287114714</c:v>
                  </c:pt>
                  <c:pt idx="8">
                    <c:v>2434.2719322148273</c:v>
                  </c:pt>
                  <c:pt idx="9">
                    <c:v>1867.7603697598602</c:v>
                  </c:pt>
                  <c:pt idx="10">
                    <c:v>3202.4908613095245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guiSWHS'!$D$170:$D$180</c:f>
              <c:numCache>
                <c:formatCode>General</c:formatCode>
                <c:ptCount val="11"/>
                <c:pt idx="0">
                  <c:v>3774</c:v>
                </c:pt>
                <c:pt idx="1">
                  <c:v>6613</c:v>
                </c:pt>
                <c:pt idx="2">
                  <c:v>6102</c:v>
                </c:pt>
                <c:pt idx="3">
                  <c:v>9046</c:v>
                </c:pt>
                <c:pt idx="4">
                  <c:v>8996</c:v>
                </c:pt>
                <c:pt idx="5">
                  <c:v>10302</c:v>
                </c:pt>
                <c:pt idx="6">
                  <c:v>8241</c:v>
                </c:pt>
                <c:pt idx="7">
                  <c:v>9514</c:v>
                </c:pt>
                <c:pt idx="8">
                  <c:v>13138</c:v>
                </c:pt>
                <c:pt idx="9">
                  <c:v>8645</c:v>
                </c:pt>
                <c:pt idx="10">
                  <c:v>13179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08-45B9-A474-B16DBD999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'logbook v guiSWHS'!$A$2:$A$12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'logbook v guiSWHS'!$C$182:$C$192</c:f>
              <c:numCache>
                <c:formatCode>General</c:formatCode>
                <c:ptCount val="11"/>
                <c:pt idx="0">
                  <c:v>15590</c:v>
                </c:pt>
                <c:pt idx="1">
                  <c:v>16566</c:v>
                </c:pt>
                <c:pt idx="2">
                  <c:v>19818</c:v>
                </c:pt>
                <c:pt idx="3">
                  <c:v>21309</c:v>
                </c:pt>
                <c:pt idx="4">
                  <c:v>24516</c:v>
                </c:pt>
                <c:pt idx="5">
                  <c:v>29349</c:v>
                </c:pt>
                <c:pt idx="6">
                  <c:v>28647</c:v>
                </c:pt>
                <c:pt idx="7">
                  <c:v>27142</c:v>
                </c:pt>
                <c:pt idx="8">
                  <c:v>33682</c:v>
                </c:pt>
                <c:pt idx="9">
                  <c:v>29279</c:v>
                </c:pt>
                <c:pt idx="10">
                  <c:v>38638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6-4871-B6A9-77602413A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160592"/>
        <c:axId val="6961628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'logbook v guiSWHS'!$G$182:$G$192</c:f>
                <c:numCache>
                  <c:formatCode>General</c:formatCode>
                  <c:ptCount val="11"/>
                  <c:pt idx="0">
                    <c:v>1960.0851244594733</c:v>
                  </c:pt>
                  <c:pt idx="1">
                    <c:v>2543.7366296082746</c:v>
                  </c:pt>
                  <c:pt idx="2">
                    <c:v>2506.7176078124266</c:v>
                  </c:pt>
                  <c:pt idx="3">
                    <c:v>2128.5773654640543</c:v>
                  </c:pt>
                  <c:pt idx="4">
                    <c:v>2935.4290003873994</c:v>
                  </c:pt>
                  <c:pt idx="5">
                    <c:v>3185.0416219360927</c:v>
                  </c:pt>
                  <c:pt idx="6">
                    <c:v>2462.6599842622791</c:v>
                  </c:pt>
                  <c:pt idx="7">
                    <c:v>3549.1061531153982</c:v>
                  </c:pt>
                  <c:pt idx="8">
                    <c:v>2456.5688327636176</c:v>
                  </c:pt>
                  <c:pt idx="9">
                    <c:v>1670.3048014937899</c:v>
                  </c:pt>
                  <c:pt idx="10">
                    <c:v>2444.4087414222531</c:v>
                  </c:pt>
                </c:numCache>
              </c:numRef>
            </c:plus>
            <c:minus>
              <c:numRef>
                <c:f>'logbook v guiSWHS'!$G$182:$G$192</c:f>
                <c:numCache>
                  <c:formatCode>General</c:formatCode>
                  <c:ptCount val="11"/>
                  <c:pt idx="0">
                    <c:v>1960.0851244594733</c:v>
                  </c:pt>
                  <c:pt idx="1">
                    <c:v>2543.7366296082746</c:v>
                  </c:pt>
                  <c:pt idx="2">
                    <c:v>2506.7176078124266</c:v>
                  </c:pt>
                  <c:pt idx="3">
                    <c:v>2128.5773654640543</c:v>
                  </c:pt>
                  <c:pt idx="4">
                    <c:v>2935.4290003873994</c:v>
                  </c:pt>
                  <c:pt idx="5">
                    <c:v>3185.0416219360927</c:v>
                  </c:pt>
                  <c:pt idx="6">
                    <c:v>2462.6599842622791</c:v>
                  </c:pt>
                  <c:pt idx="7">
                    <c:v>3549.1061531153982</c:v>
                  </c:pt>
                  <c:pt idx="8">
                    <c:v>2456.5688327636176</c:v>
                  </c:pt>
                  <c:pt idx="9">
                    <c:v>1670.3048014937899</c:v>
                  </c:pt>
                  <c:pt idx="10">
                    <c:v>2444.4087414222531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numRef>
              <c:f>'logbook v guiSWHS'!$A$2:$A$9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'logbook v guiSWHS'!$D$182:$D$192</c:f>
              <c:numCache>
                <c:formatCode>General</c:formatCode>
                <c:ptCount val="11"/>
                <c:pt idx="0">
                  <c:v>9523</c:v>
                </c:pt>
                <c:pt idx="1">
                  <c:v>11672</c:v>
                </c:pt>
                <c:pt idx="2">
                  <c:v>12255</c:v>
                </c:pt>
                <c:pt idx="3">
                  <c:v>10778</c:v>
                </c:pt>
                <c:pt idx="4">
                  <c:v>14327</c:v>
                </c:pt>
                <c:pt idx="5">
                  <c:v>19835</c:v>
                </c:pt>
                <c:pt idx="6">
                  <c:v>10418</c:v>
                </c:pt>
                <c:pt idx="7">
                  <c:v>11327</c:v>
                </c:pt>
                <c:pt idx="8">
                  <c:v>9235</c:v>
                </c:pt>
                <c:pt idx="9">
                  <c:v>7465</c:v>
                </c:pt>
                <c:pt idx="10">
                  <c:v>12079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46-4871-B6A9-77602413A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160592"/>
        <c:axId val="696162888"/>
      </c:lineChart>
      <c:catAx>
        <c:axId val="6961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2888"/>
        <c:crosses val="autoZero"/>
        <c:auto val="1"/>
        <c:lblAlgn val="ctr"/>
        <c:lblOffset val="100"/>
        <c:noMultiLvlLbl val="0"/>
      </c:catAx>
      <c:valAx>
        <c:axId val="69616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Rockfish Harvest (# fish)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6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PWSO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guided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'rockfish harvests'!$B$2:$B$26</c:f>
            </c:multiLvlStrRef>
          </c:cat>
          <c:val>
            <c:numRef>
              <c:f>'rockfish harvests'!$D$202:$D$226</c:f>
            </c:numRef>
          </c:val>
          <c:smooth val="0"/>
          <c:extLst>
            <c:ext xmlns:c16="http://schemas.microsoft.com/office/drawing/2014/chart" uri="{C3380CC4-5D6E-409C-BE32-E72D297353CC}">
              <c16:uniqueId val="{00000000-539C-4FAA-87CF-DA7DE8594493}"/>
            </c:ext>
          </c:extLst>
        </c:ser>
        <c:ser>
          <c:idx val="1"/>
          <c:order val="1"/>
          <c:tx>
            <c:v>unguided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harvests'!$N$202:$N$225</c:f>
              </c:numRef>
            </c:plus>
            <c:minus>
              <c:numRef>
                <c:f>'rockfish harvests'!$N$202:$N$225</c:f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multiLvlStrRef>
              <c:f>'rockfish harvests'!$B$2:$B$26</c:f>
            </c:multiLvlStrRef>
          </c:cat>
          <c:val>
            <c:numRef>
              <c:f>'rockfish harvests'!$O$202:$O$226</c:f>
            </c:numRef>
          </c:val>
          <c:smooth val="0"/>
          <c:extLst>
            <c:ext xmlns:c16="http://schemas.microsoft.com/office/drawing/2014/chart" uri="{C3380CC4-5D6E-409C-BE32-E72D297353CC}">
              <c16:uniqueId val="{00000001-539C-4FAA-87CF-DA7DE8594493}"/>
            </c:ext>
          </c:extLst>
        </c:ser>
        <c:ser>
          <c:idx val="2"/>
          <c:order val="2"/>
          <c:tx>
            <c:v>total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'rockfish harvests'!$N$202:$N$225</c:f>
              </c:numRef>
            </c:plus>
            <c:minus>
              <c:numRef>
                <c:f>'rockfish harvests'!$N$202:$N$225</c:f>
              </c:numRef>
            </c:minus>
            <c:spPr>
              <a:noFill/>
              <a:ln w="222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multiLvlStrRef>
              <c:f>'rockfish harvests'!$B$2:$B$26</c:f>
            </c:multiLvlStrRef>
          </c:cat>
          <c:val>
            <c:numRef>
              <c:f>'rockfish harvests'!$K$202:$K$226</c:f>
            </c:numRef>
          </c:val>
          <c:smooth val="0"/>
          <c:extLst>
            <c:ext xmlns:c16="http://schemas.microsoft.com/office/drawing/2014/chart" uri="{C3380CC4-5D6E-409C-BE32-E72D297353CC}">
              <c16:uniqueId val="{00000002-539C-4FAA-87CF-DA7DE8594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699872"/>
        <c:axId val="1053706760"/>
      </c:lineChart>
      <c:catAx>
        <c:axId val="105369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06760"/>
        <c:crosses val="autoZero"/>
        <c:auto val="1"/>
        <c:lblAlgn val="ctr"/>
        <c:lblOffset val="100"/>
        <c:noMultiLvlLbl val="0"/>
      </c:catAx>
      <c:valAx>
        <c:axId val="10537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#s Rockfish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9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13" Type="http://schemas.openxmlformats.org/officeDocument/2006/relationships/chart" Target="../charts/chart49.xml"/><Relationship Id="rId18" Type="http://schemas.openxmlformats.org/officeDocument/2006/relationships/chart" Target="../charts/chart5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17" Type="http://schemas.openxmlformats.org/officeDocument/2006/relationships/chart" Target="../charts/chart53.xml"/><Relationship Id="rId2" Type="http://schemas.openxmlformats.org/officeDocument/2006/relationships/chart" Target="../charts/chart38.xml"/><Relationship Id="rId16" Type="http://schemas.openxmlformats.org/officeDocument/2006/relationships/chart" Target="../charts/chart52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5" Type="http://schemas.openxmlformats.org/officeDocument/2006/relationships/chart" Target="../charts/chart5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Relationship Id="rId14" Type="http://schemas.openxmlformats.org/officeDocument/2006/relationships/chart" Target="../charts/chart5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6" Type="http://schemas.openxmlformats.org/officeDocument/2006/relationships/chart" Target="../charts/chart69.xml"/><Relationship Id="rId5" Type="http://schemas.openxmlformats.org/officeDocument/2006/relationships/chart" Target="../charts/chart68.xml"/><Relationship Id="rId4" Type="http://schemas.openxmlformats.org/officeDocument/2006/relationships/chart" Target="../charts/chart6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7.xml"/><Relationship Id="rId13" Type="http://schemas.openxmlformats.org/officeDocument/2006/relationships/chart" Target="../charts/chart82.xml"/><Relationship Id="rId3" Type="http://schemas.openxmlformats.org/officeDocument/2006/relationships/chart" Target="../charts/chart72.xml"/><Relationship Id="rId7" Type="http://schemas.openxmlformats.org/officeDocument/2006/relationships/chart" Target="../charts/chart76.xml"/><Relationship Id="rId12" Type="http://schemas.openxmlformats.org/officeDocument/2006/relationships/chart" Target="../charts/chart81.xml"/><Relationship Id="rId2" Type="http://schemas.openxmlformats.org/officeDocument/2006/relationships/chart" Target="../charts/chart71.xml"/><Relationship Id="rId16" Type="http://schemas.openxmlformats.org/officeDocument/2006/relationships/chart" Target="../charts/chart85.xml"/><Relationship Id="rId1" Type="http://schemas.openxmlformats.org/officeDocument/2006/relationships/chart" Target="../charts/chart70.xml"/><Relationship Id="rId6" Type="http://schemas.openxmlformats.org/officeDocument/2006/relationships/chart" Target="../charts/chart75.xml"/><Relationship Id="rId11" Type="http://schemas.openxmlformats.org/officeDocument/2006/relationships/chart" Target="../charts/chart80.xml"/><Relationship Id="rId5" Type="http://schemas.openxmlformats.org/officeDocument/2006/relationships/chart" Target="../charts/chart74.xml"/><Relationship Id="rId15" Type="http://schemas.openxmlformats.org/officeDocument/2006/relationships/chart" Target="../charts/chart84.xml"/><Relationship Id="rId10" Type="http://schemas.openxmlformats.org/officeDocument/2006/relationships/chart" Target="../charts/chart79.xml"/><Relationship Id="rId4" Type="http://schemas.openxmlformats.org/officeDocument/2006/relationships/chart" Target="../charts/chart73.xml"/><Relationship Id="rId9" Type="http://schemas.openxmlformats.org/officeDocument/2006/relationships/chart" Target="../charts/chart78.xml"/><Relationship Id="rId14" Type="http://schemas.openxmlformats.org/officeDocument/2006/relationships/chart" Target="../charts/chart8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504825</xdr:colOff>
      <xdr:row>16</xdr:row>
      <xdr:rowOff>90489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909EF3-50F9-48CF-A2D0-AE6C3772B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523875</xdr:colOff>
      <xdr:row>0</xdr:row>
      <xdr:rowOff>0</xdr:rowOff>
    </xdr:from>
    <xdr:to>
      <xdr:col>15</xdr:col>
      <xdr:colOff>419100</xdr:colOff>
      <xdr:row>16</xdr:row>
      <xdr:rowOff>90489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B9BE21-3226-489B-B0C2-9A99ACE0E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447675</xdr:colOff>
      <xdr:row>0</xdr:row>
      <xdr:rowOff>0</xdr:rowOff>
    </xdr:from>
    <xdr:to>
      <xdr:col>23</xdr:col>
      <xdr:colOff>342900</xdr:colOff>
      <xdr:row>16</xdr:row>
      <xdr:rowOff>90489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E5A678-56C7-4863-A0B3-C3686E923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37</xdr:row>
      <xdr:rowOff>76200</xdr:rowOff>
    </xdr:from>
    <xdr:to>
      <xdr:col>7</xdr:col>
      <xdr:colOff>504825</xdr:colOff>
      <xdr:row>53</xdr:row>
      <xdr:rowOff>166689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8188FE-B59B-4DE4-8BCE-0B0EE70C3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390525</xdr:colOff>
      <xdr:row>0</xdr:row>
      <xdr:rowOff>0</xdr:rowOff>
    </xdr:from>
    <xdr:to>
      <xdr:col>31</xdr:col>
      <xdr:colOff>285750</xdr:colOff>
      <xdr:row>16</xdr:row>
      <xdr:rowOff>90489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B7414D-6408-4E9A-BF7D-954312346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542925</xdr:colOff>
      <xdr:row>37</xdr:row>
      <xdr:rowOff>76200</xdr:rowOff>
    </xdr:from>
    <xdr:to>
      <xdr:col>15</xdr:col>
      <xdr:colOff>438150</xdr:colOff>
      <xdr:row>53</xdr:row>
      <xdr:rowOff>166689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FFE538-B57A-44FD-A9FE-D4762ACA5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16</xdr:row>
      <xdr:rowOff>123825</xdr:rowOff>
    </xdr:from>
    <xdr:to>
      <xdr:col>7</xdr:col>
      <xdr:colOff>504825</xdr:colOff>
      <xdr:row>33</xdr:row>
      <xdr:rowOff>23814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77D5D9D-2125-43EA-B867-C04BD1B59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476250</xdr:colOff>
      <xdr:row>37</xdr:row>
      <xdr:rowOff>66675</xdr:rowOff>
    </xdr:from>
    <xdr:to>
      <xdr:col>23</xdr:col>
      <xdr:colOff>371475</xdr:colOff>
      <xdr:row>53</xdr:row>
      <xdr:rowOff>157164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9346DBB-865A-4E07-9852-12A4BB871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400050</xdr:colOff>
      <xdr:row>37</xdr:row>
      <xdr:rowOff>76200</xdr:rowOff>
    </xdr:from>
    <xdr:to>
      <xdr:col>31</xdr:col>
      <xdr:colOff>295275</xdr:colOff>
      <xdr:row>53</xdr:row>
      <xdr:rowOff>166689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EC7A0C-F2AD-4626-AC5E-FDF0A64BF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58</xdr:row>
      <xdr:rowOff>85725</xdr:rowOff>
    </xdr:from>
    <xdr:to>
      <xdr:col>7</xdr:col>
      <xdr:colOff>504825</xdr:colOff>
      <xdr:row>74</xdr:row>
      <xdr:rowOff>176214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EB6D1FD-8662-4B3B-93D3-1A530CB3B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523875</xdr:colOff>
      <xdr:row>58</xdr:row>
      <xdr:rowOff>85725</xdr:rowOff>
    </xdr:from>
    <xdr:to>
      <xdr:col>15</xdr:col>
      <xdr:colOff>419100</xdr:colOff>
      <xdr:row>74</xdr:row>
      <xdr:rowOff>176214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CA38999-307D-469F-82F1-278B3E1EF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447675</xdr:colOff>
      <xdr:row>58</xdr:row>
      <xdr:rowOff>85725</xdr:rowOff>
    </xdr:from>
    <xdr:to>
      <xdr:col>23</xdr:col>
      <xdr:colOff>342900</xdr:colOff>
      <xdr:row>74</xdr:row>
      <xdr:rowOff>176214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533C75F-FCA1-43E1-B1D3-EDDC808E5A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381000</xdr:colOff>
      <xdr:row>58</xdr:row>
      <xdr:rowOff>95250</xdr:rowOff>
    </xdr:from>
    <xdr:to>
      <xdr:col>31</xdr:col>
      <xdr:colOff>276225</xdr:colOff>
      <xdr:row>74</xdr:row>
      <xdr:rowOff>185739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451F4E9-2F32-4429-8C1E-0D53BC25C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504825</xdr:colOff>
      <xdr:row>91</xdr:row>
      <xdr:rowOff>90489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4792893-8498-47B9-9166-C8C0861C1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514350</xdr:colOff>
      <xdr:row>74</xdr:row>
      <xdr:rowOff>180975</xdr:rowOff>
    </xdr:from>
    <xdr:to>
      <xdr:col>15</xdr:col>
      <xdr:colOff>409575</xdr:colOff>
      <xdr:row>91</xdr:row>
      <xdr:rowOff>80964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6C4E6E3-8EB8-49A4-8B98-08129A917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533400</xdr:colOff>
      <xdr:row>16</xdr:row>
      <xdr:rowOff>123825</xdr:rowOff>
    </xdr:from>
    <xdr:to>
      <xdr:col>15</xdr:col>
      <xdr:colOff>428625</xdr:colOff>
      <xdr:row>33</xdr:row>
      <xdr:rowOff>23814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237797E-6BAF-4994-A22B-4F697422B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31</xdr:col>
      <xdr:colOff>314325</xdr:colOff>
      <xdr:row>37</xdr:row>
      <xdr:rowOff>85725</xdr:rowOff>
    </xdr:from>
    <xdr:to>
      <xdr:col>39</xdr:col>
      <xdr:colOff>209550</xdr:colOff>
      <xdr:row>53</xdr:row>
      <xdr:rowOff>176214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B7C19E1-55BF-4F7B-B4A5-62FA3ED93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447675</xdr:colOff>
      <xdr:row>75</xdr:row>
      <xdr:rowOff>0</xdr:rowOff>
    </xdr:from>
    <xdr:to>
      <xdr:col>23</xdr:col>
      <xdr:colOff>342900</xdr:colOff>
      <xdr:row>91</xdr:row>
      <xdr:rowOff>90489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9562F1F-939D-4231-BB0D-9E426F8FC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504825</xdr:colOff>
      <xdr:row>16</xdr:row>
      <xdr:rowOff>90489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5B666C-E1C4-4EC7-B19D-E73290C2A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0</xdr:row>
      <xdr:rowOff>0</xdr:rowOff>
    </xdr:from>
    <xdr:to>
      <xdr:col>15</xdr:col>
      <xdr:colOff>428625</xdr:colOff>
      <xdr:row>16</xdr:row>
      <xdr:rowOff>90489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1B27A5A-7FFA-4664-A4E8-A9A7EEED0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447675</xdr:colOff>
      <xdr:row>0</xdr:row>
      <xdr:rowOff>0</xdr:rowOff>
    </xdr:from>
    <xdr:to>
      <xdr:col>23</xdr:col>
      <xdr:colOff>342900</xdr:colOff>
      <xdr:row>16</xdr:row>
      <xdr:rowOff>90489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3304F69-56D8-4CB8-94D3-AC0BFEF59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36</xdr:row>
      <xdr:rowOff>9525</xdr:rowOff>
    </xdr:from>
    <xdr:to>
      <xdr:col>7</xdr:col>
      <xdr:colOff>504825</xdr:colOff>
      <xdr:row>52</xdr:row>
      <xdr:rowOff>100014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2A478FA-CFAA-4191-898E-8F1A99680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371475</xdr:colOff>
      <xdr:row>0</xdr:row>
      <xdr:rowOff>0</xdr:rowOff>
    </xdr:from>
    <xdr:to>
      <xdr:col>31</xdr:col>
      <xdr:colOff>266700</xdr:colOff>
      <xdr:row>16</xdr:row>
      <xdr:rowOff>90489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372E1DA-3E7A-4EF0-B77A-9D2FC2F16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542925</xdr:colOff>
      <xdr:row>36</xdr:row>
      <xdr:rowOff>19050</xdr:rowOff>
    </xdr:from>
    <xdr:to>
      <xdr:col>15</xdr:col>
      <xdr:colOff>438150</xdr:colOff>
      <xdr:row>52</xdr:row>
      <xdr:rowOff>109539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89C2FC7-769A-4EE9-A556-1F52772C1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16</xdr:row>
      <xdr:rowOff>66675</xdr:rowOff>
    </xdr:from>
    <xdr:to>
      <xdr:col>7</xdr:col>
      <xdr:colOff>504825</xdr:colOff>
      <xdr:row>32</xdr:row>
      <xdr:rowOff>157164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891EF26-AAA9-43DB-926D-265C00040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466725</xdr:colOff>
      <xdr:row>36</xdr:row>
      <xdr:rowOff>9525</xdr:rowOff>
    </xdr:from>
    <xdr:to>
      <xdr:col>23</xdr:col>
      <xdr:colOff>361950</xdr:colOff>
      <xdr:row>52</xdr:row>
      <xdr:rowOff>100014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11D389D-F356-49CD-A505-8DA3020CA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390525</xdr:colOff>
      <xdr:row>36</xdr:row>
      <xdr:rowOff>0</xdr:rowOff>
    </xdr:from>
    <xdr:to>
      <xdr:col>31</xdr:col>
      <xdr:colOff>285750</xdr:colOff>
      <xdr:row>52</xdr:row>
      <xdr:rowOff>90489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A83A112-4F43-4350-B744-05DD7B18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7</xdr:col>
      <xdr:colOff>504825</xdr:colOff>
      <xdr:row>72</xdr:row>
      <xdr:rowOff>90489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8192D4FF-FE29-424D-A88A-F9FBBFD31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504825</xdr:colOff>
      <xdr:row>72</xdr:row>
      <xdr:rowOff>90489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80FDD6E-5332-42A0-BA2D-B5D357BC5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23</xdr:col>
      <xdr:colOff>504825</xdr:colOff>
      <xdr:row>72</xdr:row>
      <xdr:rowOff>90489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755358F-D307-4D71-AA7C-48F76DAB7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0</xdr:colOff>
      <xdr:row>56</xdr:row>
      <xdr:rowOff>0</xdr:rowOff>
    </xdr:from>
    <xdr:to>
      <xdr:col>31</xdr:col>
      <xdr:colOff>504825</xdr:colOff>
      <xdr:row>72</xdr:row>
      <xdr:rowOff>90489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B1AEF65-46EA-4833-B656-2ED8E19C2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7</xdr:col>
      <xdr:colOff>504825</xdr:colOff>
      <xdr:row>89</xdr:row>
      <xdr:rowOff>90489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7B30C32-F476-4FF6-8536-E6AC23D25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73</xdr:row>
      <xdr:rowOff>0</xdr:rowOff>
    </xdr:from>
    <xdr:to>
      <xdr:col>15</xdr:col>
      <xdr:colOff>504825</xdr:colOff>
      <xdr:row>89</xdr:row>
      <xdr:rowOff>90489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77AA64E-97E3-43CC-9870-07317F9CC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533400</xdr:colOff>
      <xdr:row>16</xdr:row>
      <xdr:rowOff>133350</xdr:rowOff>
    </xdr:from>
    <xdr:to>
      <xdr:col>15</xdr:col>
      <xdr:colOff>428625</xdr:colOff>
      <xdr:row>33</xdr:row>
      <xdr:rowOff>33339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8BA86FF-E4C1-4875-879A-CADFA1589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31</xdr:col>
      <xdr:colOff>323850</xdr:colOff>
      <xdr:row>36</xdr:row>
      <xdr:rowOff>0</xdr:rowOff>
    </xdr:from>
    <xdr:to>
      <xdr:col>39</xdr:col>
      <xdr:colOff>219075</xdr:colOff>
      <xdr:row>52</xdr:row>
      <xdr:rowOff>90489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712B8130-9C03-4186-B284-8FD629C6E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0</xdr:colOff>
      <xdr:row>73</xdr:row>
      <xdr:rowOff>0</xdr:rowOff>
    </xdr:from>
    <xdr:to>
      <xdr:col>23</xdr:col>
      <xdr:colOff>504825</xdr:colOff>
      <xdr:row>89</xdr:row>
      <xdr:rowOff>90489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BC008C11-82D2-4F39-8856-CAA6749B7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504825</xdr:colOff>
      <xdr:row>16</xdr:row>
      <xdr:rowOff>90489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C0E67E-08C7-4481-9CAA-F242F42EA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0</xdr:row>
      <xdr:rowOff>0</xdr:rowOff>
    </xdr:from>
    <xdr:to>
      <xdr:col>15</xdr:col>
      <xdr:colOff>428625</xdr:colOff>
      <xdr:row>16</xdr:row>
      <xdr:rowOff>90489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2A0C4-C868-49FB-9A3A-58D836E32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447675</xdr:colOff>
      <xdr:row>0</xdr:row>
      <xdr:rowOff>9525</xdr:rowOff>
    </xdr:from>
    <xdr:to>
      <xdr:col>23</xdr:col>
      <xdr:colOff>342900</xdr:colOff>
      <xdr:row>16</xdr:row>
      <xdr:rowOff>100014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D6AE38-8A37-4747-8D5F-5CC634FD8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7</xdr:col>
      <xdr:colOff>504825</xdr:colOff>
      <xdr:row>51</xdr:row>
      <xdr:rowOff>90489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36E8A2-8CC3-49DD-9191-38D114ED4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390525</xdr:colOff>
      <xdr:row>0</xdr:row>
      <xdr:rowOff>0</xdr:rowOff>
    </xdr:from>
    <xdr:to>
      <xdr:col>31</xdr:col>
      <xdr:colOff>285750</xdr:colOff>
      <xdr:row>16</xdr:row>
      <xdr:rowOff>90489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3E695E-85F2-4610-A32D-3B867E55B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552450</xdr:colOff>
      <xdr:row>35</xdr:row>
      <xdr:rowOff>9525</xdr:rowOff>
    </xdr:from>
    <xdr:to>
      <xdr:col>15</xdr:col>
      <xdr:colOff>447675</xdr:colOff>
      <xdr:row>51</xdr:row>
      <xdr:rowOff>100014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6393A0-6E77-4731-B738-1704CD353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16</xdr:row>
      <xdr:rowOff>123825</xdr:rowOff>
    </xdr:from>
    <xdr:to>
      <xdr:col>7</xdr:col>
      <xdr:colOff>523875</xdr:colOff>
      <xdr:row>33</xdr:row>
      <xdr:rowOff>23814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BE70D40-A21A-43AF-9905-C883E1105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485775</xdr:colOff>
      <xdr:row>34</xdr:row>
      <xdr:rowOff>180975</xdr:rowOff>
    </xdr:from>
    <xdr:to>
      <xdr:col>23</xdr:col>
      <xdr:colOff>381000</xdr:colOff>
      <xdr:row>51</xdr:row>
      <xdr:rowOff>80964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3A2EABD-A3EB-413C-9E77-02228F239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409575</xdr:colOff>
      <xdr:row>35</xdr:row>
      <xdr:rowOff>0</xdr:rowOff>
    </xdr:from>
    <xdr:to>
      <xdr:col>31</xdr:col>
      <xdr:colOff>304800</xdr:colOff>
      <xdr:row>51</xdr:row>
      <xdr:rowOff>90489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1BEBBE6-39CB-4E99-BCBE-D582B64FE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7</xdr:col>
      <xdr:colOff>504825</xdr:colOff>
      <xdr:row>71</xdr:row>
      <xdr:rowOff>90489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E499A34-25DF-418A-873F-BEA681E95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571500</xdr:colOff>
      <xdr:row>54</xdr:row>
      <xdr:rowOff>180975</xdr:rowOff>
    </xdr:from>
    <xdr:to>
      <xdr:col>15</xdr:col>
      <xdr:colOff>466725</xdr:colOff>
      <xdr:row>71</xdr:row>
      <xdr:rowOff>80964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938AF7D-C630-47A5-BC3D-503C675C3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514350</xdr:colOff>
      <xdr:row>54</xdr:row>
      <xdr:rowOff>180975</xdr:rowOff>
    </xdr:from>
    <xdr:to>
      <xdr:col>23</xdr:col>
      <xdr:colOff>409575</xdr:colOff>
      <xdr:row>71</xdr:row>
      <xdr:rowOff>80964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0A3D5CA-B999-4E55-B6D3-89D4937C9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466725</xdr:colOff>
      <xdr:row>55</xdr:row>
      <xdr:rowOff>0</xdr:rowOff>
    </xdr:from>
    <xdr:to>
      <xdr:col>31</xdr:col>
      <xdr:colOff>361950</xdr:colOff>
      <xdr:row>71</xdr:row>
      <xdr:rowOff>90489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7EA122E-6544-4560-8AD9-C26D46AD4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71</xdr:row>
      <xdr:rowOff>104775</xdr:rowOff>
    </xdr:from>
    <xdr:to>
      <xdr:col>7</xdr:col>
      <xdr:colOff>504825</xdr:colOff>
      <xdr:row>88</xdr:row>
      <xdr:rowOff>4764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1C3E50E-7813-411B-A243-D945EE728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581025</xdr:colOff>
      <xdr:row>71</xdr:row>
      <xdr:rowOff>95250</xdr:rowOff>
    </xdr:from>
    <xdr:to>
      <xdr:col>15</xdr:col>
      <xdr:colOff>476250</xdr:colOff>
      <xdr:row>87</xdr:row>
      <xdr:rowOff>185739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8D4F96E-E995-468E-884A-0EA8A995B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542925</xdr:colOff>
      <xdr:row>16</xdr:row>
      <xdr:rowOff>142875</xdr:rowOff>
    </xdr:from>
    <xdr:to>
      <xdr:col>15</xdr:col>
      <xdr:colOff>438150</xdr:colOff>
      <xdr:row>33</xdr:row>
      <xdr:rowOff>42864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E0F3014-3888-4620-8659-20808D19A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31</xdr:col>
      <xdr:colOff>352425</xdr:colOff>
      <xdr:row>35</xdr:row>
      <xdr:rowOff>19050</xdr:rowOff>
    </xdr:from>
    <xdr:to>
      <xdr:col>39</xdr:col>
      <xdr:colOff>247650</xdr:colOff>
      <xdr:row>51</xdr:row>
      <xdr:rowOff>109539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E2DCD4A-FBC6-4D81-8BD1-7A5389D09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504825</xdr:colOff>
      <xdr:row>71</xdr:row>
      <xdr:rowOff>95250</xdr:rowOff>
    </xdr:from>
    <xdr:to>
      <xdr:col>23</xdr:col>
      <xdr:colOff>400050</xdr:colOff>
      <xdr:row>87</xdr:row>
      <xdr:rowOff>185739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A871482-DE34-4876-ADF0-88EA2D389C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23811</xdr:colOff>
      <xdr:row>0</xdr:row>
      <xdr:rowOff>0</xdr:rowOff>
    </xdr:from>
    <xdr:to>
      <xdr:col>47</xdr:col>
      <xdr:colOff>28574</xdr:colOff>
      <xdr:row>32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C86768-6C9D-4DA1-BB50-421C747BC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142875</xdr:colOff>
      <xdr:row>32</xdr:row>
      <xdr:rowOff>104775</xdr:rowOff>
    </xdr:from>
    <xdr:to>
      <xdr:col>47</xdr:col>
      <xdr:colOff>147638</xdr:colOff>
      <xdr:row>63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0B61A5-158F-48FF-8CE0-0EF42D9AE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95250</xdr:colOff>
      <xdr:row>64</xdr:row>
      <xdr:rowOff>57150</xdr:rowOff>
    </xdr:from>
    <xdr:to>
      <xdr:col>47</xdr:col>
      <xdr:colOff>100013</xdr:colOff>
      <xdr:row>90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666EB4-377A-4DAD-940E-5D6F54E182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214311</xdr:colOff>
      <xdr:row>0</xdr:row>
      <xdr:rowOff>38100</xdr:rowOff>
    </xdr:from>
    <xdr:to>
      <xdr:col>40</xdr:col>
      <xdr:colOff>219074</xdr:colOff>
      <xdr:row>31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AC65AE-4931-40C1-8FC8-ACDC19A23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438150</xdr:colOff>
      <xdr:row>31</xdr:row>
      <xdr:rowOff>114300</xdr:rowOff>
    </xdr:from>
    <xdr:to>
      <xdr:col>40</xdr:col>
      <xdr:colOff>442913</xdr:colOff>
      <xdr:row>62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7F616E-B63C-4E4F-B93F-05B817C00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295275</xdr:colOff>
      <xdr:row>62</xdr:row>
      <xdr:rowOff>161925</xdr:rowOff>
    </xdr:from>
    <xdr:to>
      <xdr:col>40</xdr:col>
      <xdr:colOff>300038</xdr:colOff>
      <xdr:row>89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3F96F4-05AF-4266-A591-450722710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357186</xdr:colOff>
      <xdr:row>0</xdr:row>
      <xdr:rowOff>38100</xdr:rowOff>
    </xdr:from>
    <xdr:to>
      <xdr:col>32</xdr:col>
      <xdr:colOff>361949</xdr:colOff>
      <xdr:row>31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E84D7-22D7-4063-8D4C-445248714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361950</xdr:colOff>
      <xdr:row>31</xdr:row>
      <xdr:rowOff>95250</xdr:rowOff>
    </xdr:from>
    <xdr:to>
      <xdr:col>32</xdr:col>
      <xdr:colOff>366713</xdr:colOff>
      <xdr:row>61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93075A-ACE0-4737-A562-3FB9264C2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361950</xdr:colOff>
      <xdr:row>61</xdr:row>
      <xdr:rowOff>161925</xdr:rowOff>
    </xdr:from>
    <xdr:to>
      <xdr:col>32</xdr:col>
      <xdr:colOff>366713</xdr:colOff>
      <xdr:row>88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E85DA4-7FA7-4C79-A1DE-D4465632D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0</xdr:row>
      <xdr:rowOff>61912</xdr:rowOff>
    </xdr:from>
    <xdr:to>
      <xdr:col>13</xdr:col>
      <xdr:colOff>285750</xdr:colOff>
      <xdr:row>17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136D9A-2C48-48EB-93F1-C3C9CDAA1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581025</xdr:colOff>
      <xdr:row>17</xdr:row>
      <xdr:rowOff>76200</xdr:rowOff>
    </xdr:from>
    <xdr:to>
      <xdr:col>13</xdr:col>
      <xdr:colOff>276225</xdr:colOff>
      <xdr:row>37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BC38C1-2B3D-4D63-987F-FE4E30EB2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285750</xdr:colOff>
      <xdr:row>0</xdr:row>
      <xdr:rowOff>28575</xdr:rowOff>
    </xdr:from>
    <xdr:to>
      <xdr:col>20</xdr:col>
      <xdr:colOff>590550</xdr:colOff>
      <xdr:row>17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0EC63B-E7EB-4015-9A98-2BDD1D984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304800</xdr:colOff>
      <xdr:row>17</xdr:row>
      <xdr:rowOff>95250</xdr:rowOff>
    </xdr:from>
    <xdr:to>
      <xdr:col>21</xdr:col>
      <xdr:colOff>0</xdr:colOff>
      <xdr:row>37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52BBAC-D19B-401F-815C-181C5464D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600075</xdr:colOff>
      <xdr:row>37</xdr:row>
      <xdr:rowOff>152400</xdr:rowOff>
    </xdr:from>
    <xdr:to>
      <xdr:col>13</xdr:col>
      <xdr:colOff>295275</xdr:colOff>
      <xdr:row>58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C51CF9-EDB8-480D-9772-0AC2AAB92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295275</xdr:colOff>
      <xdr:row>37</xdr:row>
      <xdr:rowOff>161925</xdr:rowOff>
    </xdr:from>
    <xdr:to>
      <xdr:col>20</xdr:col>
      <xdr:colOff>600075</xdr:colOff>
      <xdr:row>58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E65520C-4FF1-4A3A-8DD2-0E5904EB2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</xdr:colOff>
      <xdr:row>0</xdr:row>
      <xdr:rowOff>547687</xdr:rowOff>
    </xdr:from>
    <xdr:to>
      <xdr:col>17</xdr:col>
      <xdr:colOff>476250</xdr:colOff>
      <xdr:row>27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BBAC0A-F77D-458F-A453-0ECF513C2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495300</xdr:colOff>
      <xdr:row>0</xdr:row>
      <xdr:rowOff>552450</xdr:rowOff>
    </xdr:from>
    <xdr:to>
      <xdr:col>27</xdr:col>
      <xdr:colOff>342901</xdr:colOff>
      <xdr:row>27</xdr:row>
      <xdr:rowOff>157164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7A3EAE-8E98-4F64-A047-0EE0B7BA3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361950</xdr:colOff>
      <xdr:row>0</xdr:row>
      <xdr:rowOff>561975</xdr:rowOff>
    </xdr:from>
    <xdr:to>
      <xdr:col>37</xdr:col>
      <xdr:colOff>209551</xdr:colOff>
      <xdr:row>27</xdr:row>
      <xdr:rowOff>166689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0BB49F-9171-4189-854B-BE24B594E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</xdr:colOff>
      <xdr:row>27</xdr:row>
      <xdr:rowOff>161925</xdr:rowOff>
    </xdr:from>
    <xdr:to>
      <xdr:col>17</xdr:col>
      <xdr:colOff>476251</xdr:colOff>
      <xdr:row>54</xdr:row>
      <xdr:rowOff>147639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A0424F-95BE-41EE-9802-8849381FA1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476250</xdr:colOff>
      <xdr:row>27</xdr:row>
      <xdr:rowOff>142875</xdr:rowOff>
    </xdr:from>
    <xdr:to>
      <xdr:col>27</xdr:col>
      <xdr:colOff>323851</xdr:colOff>
      <xdr:row>54</xdr:row>
      <xdr:rowOff>128589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628B64-64AD-46B4-A870-D95DBB11A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349250</xdr:colOff>
      <xdr:row>27</xdr:row>
      <xdr:rowOff>148166</xdr:rowOff>
    </xdr:from>
    <xdr:to>
      <xdr:col>37</xdr:col>
      <xdr:colOff>192618</xdr:colOff>
      <xdr:row>54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186104-DE8D-4D82-B0A7-CBE4E2652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423333</xdr:colOff>
      <xdr:row>62</xdr:row>
      <xdr:rowOff>169334</xdr:rowOff>
    </xdr:from>
    <xdr:to>
      <xdr:col>17</xdr:col>
      <xdr:colOff>266700</xdr:colOff>
      <xdr:row>89</xdr:row>
      <xdr:rowOff>148168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816F16B-23D4-4B0F-B34E-60B0B05F3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211666</xdr:colOff>
      <xdr:row>62</xdr:row>
      <xdr:rowOff>169334</xdr:rowOff>
    </xdr:from>
    <xdr:to>
      <xdr:col>27</xdr:col>
      <xdr:colOff>55034</xdr:colOff>
      <xdr:row>89</xdr:row>
      <xdr:rowOff>148168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0CB9803-1A9F-4795-906E-1E0154FD9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31751</xdr:colOff>
      <xdr:row>62</xdr:row>
      <xdr:rowOff>169333</xdr:rowOff>
    </xdr:from>
    <xdr:to>
      <xdr:col>36</xdr:col>
      <xdr:colOff>488952</xdr:colOff>
      <xdr:row>89</xdr:row>
      <xdr:rowOff>148167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DB934EC-C0F7-4A4A-BFBC-63F46D720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402167</xdr:colOff>
      <xdr:row>89</xdr:row>
      <xdr:rowOff>158750</xdr:rowOff>
    </xdr:from>
    <xdr:to>
      <xdr:col>17</xdr:col>
      <xdr:colOff>245534</xdr:colOff>
      <xdr:row>115</xdr:row>
      <xdr:rowOff>137584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1AA9EE2-C284-4403-BEE4-E13E83982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201083</xdr:colOff>
      <xdr:row>89</xdr:row>
      <xdr:rowOff>137583</xdr:rowOff>
    </xdr:from>
    <xdr:to>
      <xdr:col>27</xdr:col>
      <xdr:colOff>44451</xdr:colOff>
      <xdr:row>115</xdr:row>
      <xdr:rowOff>116417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177C0C4-FCE6-49C2-BEB5-ADE452DDA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21167</xdr:colOff>
      <xdr:row>89</xdr:row>
      <xdr:rowOff>148167</xdr:rowOff>
    </xdr:from>
    <xdr:to>
      <xdr:col>36</xdr:col>
      <xdr:colOff>478368</xdr:colOff>
      <xdr:row>115</xdr:row>
      <xdr:rowOff>127001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8433752-05FA-41FE-A53B-7B1DEFB90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402167</xdr:colOff>
      <xdr:row>115</xdr:row>
      <xdr:rowOff>116417</xdr:rowOff>
    </xdr:from>
    <xdr:to>
      <xdr:col>17</xdr:col>
      <xdr:colOff>245534</xdr:colOff>
      <xdr:row>145</xdr:row>
      <xdr:rowOff>95251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9EB6101-7E8F-4200-ADD8-9F19E3C59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201083</xdr:colOff>
      <xdr:row>115</xdr:row>
      <xdr:rowOff>116417</xdr:rowOff>
    </xdr:from>
    <xdr:to>
      <xdr:col>27</xdr:col>
      <xdr:colOff>44451</xdr:colOff>
      <xdr:row>145</xdr:row>
      <xdr:rowOff>95251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D9E36C6-597F-4F3E-80E1-681CDBE03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27</xdr:col>
      <xdr:colOff>31750</xdr:colOff>
      <xdr:row>115</xdr:row>
      <xdr:rowOff>105834</xdr:rowOff>
    </xdr:from>
    <xdr:to>
      <xdr:col>36</xdr:col>
      <xdr:colOff>488951</xdr:colOff>
      <xdr:row>145</xdr:row>
      <xdr:rowOff>84668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CA20C1F-4FEA-49FB-8E8E-DE7D45B04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381000</xdr:colOff>
      <xdr:row>145</xdr:row>
      <xdr:rowOff>95250</xdr:rowOff>
    </xdr:from>
    <xdr:to>
      <xdr:col>17</xdr:col>
      <xdr:colOff>224367</xdr:colOff>
      <xdr:row>171</xdr:row>
      <xdr:rowOff>74084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BC75871-2C17-4018-9E21-0027637F2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TS\Scott%20Meyer%20Data\Rockfish%20Harvest%20Est\R_code\species_comp_Region2_forR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ckfish%20SF%20Harvest%20reconstruction\R%20code\species_comp_Region1_forR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pecies_comp_Region2_forR"/>
    </sheetNames>
    <sheetDataSet>
      <sheetData sheetId="0">
        <row r="27">
          <cell r="AD27">
            <v>0.55421686699999995</v>
          </cell>
          <cell r="AE27">
            <v>3.0129330000000002E-3</v>
          </cell>
        </row>
        <row r="66">
          <cell r="G66">
            <v>52</v>
          </cell>
          <cell r="AD66">
            <v>0.59615384599999999</v>
          </cell>
          <cell r="AE66">
            <v>4.7206749999999997E-3</v>
          </cell>
          <cell r="AF66">
            <v>0.44818734100000002</v>
          </cell>
          <cell r="AG66">
            <v>2.4617974000000001E-2</v>
          </cell>
        </row>
        <row r="68">
          <cell r="G68">
            <v>62</v>
          </cell>
          <cell r="AD68">
            <v>0.467741935</v>
          </cell>
          <cell r="AE68">
            <v>4.0813020000000002E-3</v>
          </cell>
          <cell r="AF68">
            <v>0.44818734100000002</v>
          </cell>
          <cell r="AG68">
            <v>2.4617974000000001E-2</v>
          </cell>
        </row>
        <row r="72">
          <cell r="G72">
            <v>54</v>
          </cell>
          <cell r="AD72">
            <v>0.42592592600000001</v>
          </cell>
          <cell r="AE72">
            <v>4.613453E-3</v>
          </cell>
          <cell r="AF72">
            <v>0.44818734100000002</v>
          </cell>
          <cell r="AG72">
            <v>2.4617974000000001E-2</v>
          </cell>
        </row>
        <row r="73">
          <cell r="G73">
            <v>321</v>
          </cell>
          <cell r="AD73">
            <v>0.26168224299999998</v>
          </cell>
          <cell r="AE73">
            <v>6.0376500000000003E-4</v>
          </cell>
          <cell r="AF73">
            <v>0.44818734100000002</v>
          </cell>
          <cell r="AG73">
            <v>2.4617974000000001E-2</v>
          </cell>
        </row>
        <row r="74">
          <cell r="G74">
            <v>82</v>
          </cell>
          <cell r="AD74">
            <v>0.365853659</v>
          </cell>
          <cell r="AE74">
            <v>2.8642559999999999E-3</v>
          </cell>
          <cell r="AF74">
            <v>0.44818734100000002</v>
          </cell>
          <cell r="AG74">
            <v>2.4617974000000001E-2</v>
          </cell>
        </row>
        <row r="75">
          <cell r="G75">
            <v>190</v>
          </cell>
          <cell r="AD75">
            <v>0.18421052600000001</v>
          </cell>
          <cell r="AE75">
            <v>7.9511600000000001E-4</v>
          </cell>
          <cell r="AF75">
            <v>0.44818734100000002</v>
          </cell>
          <cell r="AG75">
            <v>2.4617974000000001E-2</v>
          </cell>
        </row>
        <row r="76">
          <cell r="G76">
            <v>69</v>
          </cell>
          <cell r="AD76">
            <v>0.40579710099999999</v>
          </cell>
          <cell r="AE76">
            <v>3.545968E-3</v>
          </cell>
          <cell r="AF76">
            <v>0.44818734100000002</v>
          </cell>
          <cell r="AG76">
            <v>2.4617974000000001E-2</v>
          </cell>
        </row>
        <row r="77">
          <cell r="G77">
            <v>146</v>
          </cell>
          <cell r="AD77">
            <v>0.40410958899999999</v>
          </cell>
          <cell r="AE77">
            <v>1.6607239999999999E-3</v>
          </cell>
          <cell r="AF77">
            <v>0.44818734100000002</v>
          </cell>
          <cell r="AG77">
            <v>2.4617974000000001E-2</v>
          </cell>
        </row>
        <row r="78">
          <cell r="G78">
            <v>63</v>
          </cell>
          <cell r="AD78">
            <v>0.428571429</v>
          </cell>
          <cell r="AE78">
            <v>3.9499670000000004E-3</v>
          </cell>
          <cell r="AF78">
            <v>0.44818734100000002</v>
          </cell>
          <cell r="AG78">
            <v>2.4617974000000001E-2</v>
          </cell>
        </row>
        <row r="79">
          <cell r="G79">
            <v>105</v>
          </cell>
          <cell r="AD79">
            <v>0.39047619</v>
          </cell>
          <cell r="AE79">
            <v>2.2885050000000001E-3</v>
          </cell>
          <cell r="AF79">
            <v>0.44818734100000002</v>
          </cell>
          <cell r="AG79">
            <v>2.4617974000000001E-2</v>
          </cell>
        </row>
        <row r="80">
          <cell r="G80">
            <v>74</v>
          </cell>
          <cell r="AD80">
            <v>0.60810810800000004</v>
          </cell>
          <cell r="AE80">
            <v>3.264557E-3</v>
          </cell>
          <cell r="AF80">
            <v>0.44818734100000002</v>
          </cell>
          <cell r="AG80">
            <v>2.4617974000000001E-2</v>
          </cell>
        </row>
        <row r="81">
          <cell r="G81">
            <v>287</v>
          </cell>
          <cell r="AD81">
            <v>0.487804878</v>
          </cell>
          <cell r="AE81">
            <v>8.7360599999999997E-4</v>
          </cell>
          <cell r="AF81">
            <v>0.44818734100000002</v>
          </cell>
          <cell r="AG81">
            <v>2.4617974000000001E-2</v>
          </cell>
        </row>
        <row r="82">
          <cell r="G82">
            <v>270</v>
          </cell>
          <cell r="AD82">
            <v>0.8</v>
          </cell>
          <cell r="AE82">
            <v>5.9479599999999997E-4</v>
          </cell>
          <cell r="AF82">
            <v>0.44818734100000002</v>
          </cell>
          <cell r="AG82">
            <v>2.4617974000000001E-2</v>
          </cell>
        </row>
        <row r="89">
          <cell r="D89">
            <v>60</v>
          </cell>
          <cell r="J89">
            <v>0</v>
          </cell>
          <cell r="K89">
            <v>0</v>
          </cell>
          <cell r="L89">
            <v>1.6067861999999999E-2</v>
          </cell>
          <cell r="M89">
            <v>3.0588399999999997E-4</v>
          </cell>
          <cell r="N89">
            <v>0.65</v>
          </cell>
          <cell r="O89">
            <v>3.8559319999999998E-3</v>
          </cell>
          <cell r="P89">
            <v>0.42417996299999999</v>
          </cell>
          <cell r="Q89">
            <v>2.9257476000000001E-2</v>
          </cell>
        </row>
        <row r="91">
          <cell r="D91">
            <v>56</v>
          </cell>
          <cell r="J91">
            <v>0</v>
          </cell>
          <cell r="K91">
            <v>0</v>
          </cell>
          <cell r="L91">
            <v>1.6067861999999999E-2</v>
          </cell>
          <cell r="M91">
            <v>3.0588399999999997E-4</v>
          </cell>
          <cell r="N91">
            <v>0.53571428600000004</v>
          </cell>
          <cell r="O91">
            <v>4.5222630000000003E-3</v>
          </cell>
          <cell r="P91">
            <v>0.42417996299999999</v>
          </cell>
          <cell r="Q91">
            <v>2.9257476000000001E-2</v>
          </cell>
        </row>
        <row r="99">
          <cell r="D99">
            <v>103</v>
          </cell>
          <cell r="J99">
            <v>0</v>
          </cell>
          <cell r="K99">
            <v>0</v>
          </cell>
          <cell r="L99">
            <v>1.6067861999999999E-2</v>
          </cell>
          <cell r="M99">
            <v>3.0588399999999997E-4</v>
          </cell>
        </row>
        <row r="100">
          <cell r="D100">
            <v>165</v>
          </cell>
          <cell r="J100">
            <v>0</v>
          </cell>
          <cell r="K100">
            <v>0</v>
          </cell>
          <cell r="L100">
            <v>1.6067861999999999E-2</v>
          </cell>
          <cell r="M100">
            <v>3.0588399999999997E-4</v>
          </cell>
        </row>
        <row r="101">
          <cell r="D101">
            <v>150</v>
          </cell>
          <cell r="J101">
            <v>0.02</v>
          </cell>
          <cell r="K101">
            <v>1.3154400000000001E-4</v>
          </cell>
          <cell r="L101">
            <v>1.6067861999999999E-2</v>
          </cell>
          <cell r="M101">
            <v>3.0588399999999997E-4</v>
          </cell>
        </row>
        <row r="102">
          <cell r="D102">
            <v>63</v>
          </cell>
          <cell r="J102">
            <v>1.5873016E-2</v>
          </cell>
          <cell r="K102">
            <v>2.5195300000000002E-4</v>
          </cell>
          <cell r="L102">
            <v>1.6067861999999999E-2</v>
          </cell>
          <cell r="M102">
            <v>3.0588399999999997E-4</v>
          </cell>
        </row>
        <row r="103">
          <cell r="D103">
            <v>78</v>
          </cell>
          <cell r="J103">
            <v>5.1282051000000002E-2</v>
          </cell>
          <cell r="K103">
            <v>6.3184700000000005E-4</v>
          </cell>
          <cell r="L103">
            <v>1.6067861999999999E-2</v>
          </cell>
          <cell r="M103">
            <v>3.0588399999999997E-4</v>
          </cell>
        </row>
        <row r="104">
          <cell r="D104">
            <v>121</v>
          </cell>
          <cell r="J104">
            <v>3.3057850999999999E-2</v>
          </cell>
          <cell r="K104">
            <v>2.6637500000000001E-4</v>
          </cell>
          <cell r="L104">
            <v>1.6067861999999999E-2</v>
          </cell>
          <cell r="M104">
            <v>3.0588399999999997E-4</v>
          </cell>
        </row>
        <row r="105">
          <cell r="D105">
            <v>158</v>
          </cell>
          <cell r="J105">
            <v>2.5316456000000001E-2</v>
          </cell>
          <cell r="K105">
            <v>1.57169E-4</v>
          </cell>
          <cell r="L105">
            <v>1.6067861999999999E-2</v>
          </cell>
          <cell r="M105">
            <v>3.0588399999999997E-4</v>
          </cell>
        </row>
        <row r="106">
          <cell r="D106">
            <v>107</v>
          </cell>
          <cell r="J106">
            <v>0</v>
          </cell>
          <cell r="K106">
            <v>0</v>
          </cell>
          <cell r="L106">
            <v>1.6067861999999999E-2</v>
          </cell>
          <cell r="M106">
            <v>3.0588399999999997E-4</v>
          </cell>
        </row>
        <row r="107">
          <cell r="D107">
            <v>81</v>
          </cell>
          <cell r="J107">
            <v>3.7037037000000002E-2</v>
          </cell>
          <cell r="K107">
            <v>4.4581599999999997E-4</v>
          </cell>
          <cell r="L107">
            <v>1.6067861999999999E-2</v>
          </cell>
          <cell r="M107">
            <v>3.0588399999999997E-4</v>
          </cell>
        </row>
        <row r="108">
          <cell r="D108">
            <v>171</v>
          </cell>
          <cell r="J108">
            <v>1.7543860000000001E-2</v>
          </cell>
          <cell r="K108">
            <v>1.01389E-4</v>
          </cell>
          <cell r="L108">
            <v>1.6067861999999999E-2</v>
          </cell>
          <cell r="M108">
            <v>3.0588399999999997E-4</v>
          </cell>
        </row>
        <row r="109">
          <cell r="D109">
            <v>228</v>
          </cell>
          <cell r="J109">
            <v>8.7719300000000007E-3</v>
          </cell>
          <cell r="K109">
            <v>3.8303899999999998E-5</v>
          </cell>
          <cell r="L109">
            <v>1.6067861999999999E-2</v>
          </cell>
          <cell r="M109">
            <v>3.0588399999999997E-4</v>
          </cell>
        </row>
        <row r="126">
          <cell r="G126">
            <v>50</v>
          </cell>
          <cell r="AD126">
            <v>1</v>
          </cell>
          <cell r="AE126">
            <v>0</v>
          </cell>
          <cell r="AF126">
            <v>0.94230769199999997</v>
          </cell>
          <cell r="AG126">
            <v>2.7314359999999998E-3</v>
          </cell>
        </row>
        <row r="133">
          <cell r="G133">
            <v>52</v>
          </cell>
          <cell r="AD133">
            <v>0.90384615400000001</v>
          </cell>
          <cell r="AE133">
            <v>1.704084E-3</v>
          </cell>
          <cell r="AF133">
            <v>0.94230769199999997</v>
          </cell>
          <cell r="AG133">
            <v>2.7314359999999998E-3</v>
          </cell>
        </row>
        <row r="134">
          <cell r="G134">
            <v>117</v>
          </cell>
          <cell r="AD134">
            <v>0.92307692299999999</v>
          </cell>
          <cell r="AE134">
            <v>6.1211999999999996E-4</v>
          </cell>
          <cell r="AF134">
            <v>0.94230769199999997</v>
          </cell>
          <cell r="AG134">
            <v>2.7314359999999998E-3</v>
          </cell>
        </row>
        <row r="136">
          <cell r="G136">
            <v>35</v>
          </cell>
          <cell r="AF136">
            <v>0.94230769199999997</v>
          </cell>
          <cell r="AG136">
            <v>2.7314359999999998E-3</v>
          </cell>
        </row>
        <row r="169">
          <cell r="G169">
            <v>101</v>
          </cell>
          <cell r="AD169">
            <v>0.88760331599999998</v>
          </cell>
          <cell r="AE169">
            <v>9.97637E-4</v>
          </cell>
          <cell r="AF169">
            <v>0.87135088800000005</v>
          </cell>
          <cell r="AG169">
            <v>2.5705039999999999E-3</v>
          </cell>
        </row>
        <row r="170">
          <cell r="G170">
            <v>241</v>
          </cell>
          <cell r="AD170">
            <v>0.93184353799999997</v>
          </cell>
          <cell r="AE170">
            <v>2.6463000000000002E-4</v>
          </cell>
          <cell r="AF170">
            <v>0.87135088800000005</v>
          </cell>
          <cell r="AG170">
            <v>2.5705039999999999E-3</v>
          </cell>
        </row>
        <row r="171">
          <cell r="G171">
            <v>99</v>
          </cell>
          <cell r="AD171">
            <v>0.87924992300000004</v>
          </cell>
          <cell r="AE171">
            <v>1.083362E-3</v>
          </cell>
          <cell r="AF171">
            <v>0.87135088800000005</v>
          </cell>
          <cell r="AG171">
            <v>2.5705039999999999E-3</v>
          </cell>
        </row>
        <row r="172">
          <cell r="G172">
            <v>163</v>
          </cell>
          <cell r="AD172">
            <v>0.91030543200000003</v>
          </cell>
          <cell r="AE172">
            <v>5.0400900000000003E-4</v>
          </cell>
          <cell r="AF172">
            <v>0.87135088800000005</v>
          </cell>
          <cell r="AG172">
            <v>2.5705039999999999E-3</v>
          </cell>
        </row>
        <row r="173">
          <cell r="G173">
            <v>211</v>
          </cell>
          <cell r="AD173">
            <v>0.88527489999999998</v>
          </cell>
          <cell r="AE173">
            <v>4.83635E-4</v>
          </cell>
          <cell r="AF173">
            <v>0.87135088800000005</v>
          </cell>
          <cell r="AG173">
            <v>2.5705039999999999E-3</v>
          </cell>
        </row>
        <row r="174">
          <cell r="G174">
            <v>504</v>
          </cell>
          <cell r="AD174">
            <v>0.892801917</v>
          </cell>
          <cell r="AE174">
            <v>1.9027200000000001E-4</v>
          </cell>
          <cell r="AF174">
            <v>0.87135088800000005</v>
          </cell>
          <cell r="AG174">
            <v>2.5705039999999999E-3</v>
          </cell>
        </row>
        <row r="175">
          <cell r="G175">
            <v>636</v>
          </cell>
          <cell r="AD175">
            <v>0.90127856799999995</v>
          </cell>
          <cell r="AE175">
            <v>1.4011899999999999E-4</v>
          </cell>
          <cell r="AF175">
            <v>0.87135088800000005</v>
          </cell>
          <cell r="AG175">
            <v>2.5705039999999999E-3</v>
          </cell>
        </row>
        <row r="176">
          <cell r="G176">
            <v>365</v>
          </cell>
          <cell r="AD176">
            <v>0.91241422000000005</v>
          </cell>
          <cell r="AE176">
            <v>2.19545E-4</v>
          </cell>
          <cell r="AF176">
            <v>0.87135088800000005</v>
          </cell>
          <cell r="AG176">
            <v>2.5705039999999999E-3</v>
          </cell>
        </row>
        <row r="177">
          <cell r="G177">
            <v>572</v>
          </cell>
          <cell r="AD177">
            <v>0.91806032699999995</v>
          </cell>
          <cell r="AE177">
            <v>1.3174399999999999E-4</v>
          </cell>
          <cell r="AF177">
            <v>0.87135088800000005</v>
          </cell>
          <cell r="AG177">
            <v>2.5705039999999999E-3</v>
          </cell>
        </row>
        <row r="178">
          <cell r="G178">
            <v>532</v>
          </cell>
          <cell r="AD178">
            <v>0.96377290800000004</v>
          </cell>
          <cell r="AE178">
            <v>6.5752699999999998E-5</v>
          </cell>
          <cell r="AF178">
            <v>0.87135088800000005</v>
          </cell>
          <cell r="AG178">
            <v>2.5705039999999999E-3</v>
          </cell>
        </row>
        <row r="179">
          <cell r="G179">
            <v>574</v>
          </cell>
          <cell r="AD179">
            <v>0.95413883899999996</v>
          </cell>
          <cell r="AE179">
            <v>7.6366300000000001E-5</v>
          </cell>
          <cell r="AF179">
            <v>0.87135088800000005</v>
          </cell>
          <cell r="AG179">
            <v>2.5705039999999999E-3</v>
          </cell>
        </row>
        <row r="180">
          <cell r="G180">
            <v>791</v>
          </cell>
          <cell r="AD180">
            <v>0.82317551899999997</v>
          </cell>
          <cell r="AE180">
            <v>1.8425000000000001E-4</v>
          </cell>
          <cell r="AF180">
            <v>0.87135088800000005</v>
          </cell>
          <cell r="AG180">
            <v>2.5705039999999999E-3</v>
          </cell>
        </row>
        <row r="181">
          <cell r="G181">
            <v>861</v>
          </cell>
          <cell r="AD181">
            <v>0.85620829099999995</v>
          </cell>
          <cell r="AE181">
            <v>1.43158E-4</v>
          </cell>
          <cell r="AF181">
            <v>0.87135088800000005</v>
          </cell>
          <cell r="AG181">
            <v>2.5705039999999999E-3</v>
          </cell>
        </row>
        <row r="182">
          <cell r="G182">
            <v>707</v>
          </cell>
          <cell r="AD182">
            <v>0.79315106300000005</v>
          </cell>
          <cell r="AE182">
            <v>2.3238299999999999E-4</v>
          </cell>
          <cell r="AF182">
            <v>0.87135088800000005</v>
          </cell>
          <cell r="AG182">
            <v>2.5705039999999999E-3</v>
          </cell>
        </row>
        <row r="183">
          <cell r="G183">
            <v>653</v>
          </cell>
          <cell r="AD183">
            <v>0.88672560300000003</v>
          </cell>
          <cell r="AE183">
            <v>1.5405400000000001E-4</v>
          </cell>
          <cell r="AF183">
            <v>0.87135088800000005</v>
          </cell>
          <cell r="AG183">
            <v>2.5705039999999999E-3</v>
          </cell>
        </row>
        <row r="184">
          <cell r="G184">
            <v>978</v>
          </cell>
          <cell r="AD184">
            <v>0.81632559500000001</v>
          </cell>
          <cell r="AE184">
            <v>1.53468E-4</v>
          </cell>
          <cell r="AF184">
            <v>0.87135088800000005</v>
          </cell>
          <cell r="AG184">
            <v>2.5705039999999999E-3</v>
          </cell>
        </row>
        <row r="185">
          <cell r="G185">
            <v>762</v>
          </cell>
          <cell r="AD185">
            <v>0.84300274100000006</v>
          </cell>
          <cell r="AE185">
            <v>1.7391499999999999E-4</v>
          </cell>
          <cell r="AF185">
            <v>0.87135088800000005</v>
          </cell>
          <cell r="AG185">
            <v>2.5705039999999999E-3</v>
          </cell>
        </row>
        <row r="186">
          <cell r="G186">
            <v>422</v>
          </cell>
          <cell r="AD186">
            <v>0.82899436900000001</v>
          </cell>
          <cell r="AE186">
            <v>3.3672900000000002E-4</v>
          </cell>
          <cell r="AF186">
            <v>0.87135088800000005</v>
          </cell>
          <cell r="AG186">
            <v>2.5705039999999999E-3</v>
          </cell>
        </row>
        <row r="187">
          <cell r="G187">
            <v>1187</v>
          </cell>
          <cell r="AD187">
            <v>0.852560981</v>
          </cell>
          <cell r="AE187">
            <v>1.05987E-4</v>
          </cell>
          <cell r="AF187">
            <v>0.87135088800000005</v>
          </cell>
          <cell r="AG187">
            <v>2.5705039999999999E-3</v>
          </cell>
        </row>
        <row r="188">
          <cell r="G188">
            <v>471</v>
          </cell>
          <cell r="AD188">
            <v>0.82740575500000002</v>
          </cell>
          <cell r="AE188">
            <v>3.0384100000000001E-4</v>
          </cell>
          <cell r="AF188">
            <v>0.87135088800000005</v>
          </cell>
          <cell r="AG188">
            <v>2.5705039999999999E-3</v>
          </cell>
        </row>
        <row r="189">
          <cell r="G189">
            <v>850</v>
          </cell>
          <cell r="AD189">
            <v>0.82521329899999996</v>
          </cell>
          <cell r="AE189">
            <v>1.6988999999999999E-4</v>
          </cell>
          <cell r="AF189">
            <v>0.87135088800000005</v>
          </cell>
          <cell r="AG189">
            <v>2.5705039999999999E-3</v>
          </cell>
        </row>
        <row r="190">
          <cell r="G190">
            <v>909</v>
          </cell>
          <cell r="AD190">
            <v>0.78021243900000004</v>
          </cell>
          <cell r="AE190">
            <v>1.88856E-4</v>
          </cell>
          <cell r="AF190">
            <v>0.87135088800000005</v>
          </cell>
          <cell r="AG190">
            <v>2.5705039999999999E-3</v>
          </cell>
        </row>
        <row r="196">
          <cell r="D196">
            <v>165</v>
          </cell>
          <cell r="N196">
            <v>0.77499063599999995</v>
          </cell>
          <cell r="O196">
            <v>1.063294E-3</v>
          </cell>
          <cell r="P196">
            <v>0.67107474</v>
          </cell>
          <cell r="Q196">
            <v>7.256406E-3</v>
          </cell>
        </row>
        <row r="197">
          <cell r="D197">
            <v>151</v>
          </cell>
          <cell r="N197">
            <v>0.57976282899999998</v>
          </cell>
          <cell r="O197">
            <v>1.624253E-3</v>
          </cell>
          <cell r="P197">
            <v>0.67107474</v>
          </cell>
          <cell r="Q197">
            <v>7.256406E-3</v>
          </cell>
        </row>
        <row r="198">
          <cell r="D198">
            <v>136</v>
          </cell>
          <cell r="N198">
            <v>0.74264705900000005</v>
          </cell>
          <cell r="O198">
            <v>1.4157219999999999E-3</v>
          </cell>
          <cell r="P198">
            <v>0.67107474</v>
          </cell>
          <cell r="Q198">
            <v>7.256406E-3</v>
          </cell>
        </row>
        <row r="199">
          <cell r="D199">
            <v>166</v>
          </cell>
          <cell r="N199">
            <v>0.73493975899999997</v>
          </cell>
          <cell r="O199">
            <v>1.1806259999999999E-3</v>
          </cell>
          <cell r="P199">
            <v>0.67107474</v>
          </cell>
          <cell r="Q199">
            <v>7.256406E-3</v>
          </cell>
        </row>
        <row r="200">
          <cell r="D200">
            <v>279</v>
          </cell>
          <cell r="N200">
            <v>0.75615469700000004</v>
          </cell>
          <cell r="O200">
            <v>6.6325499999999996E-4</v>
          </cell>
          <cell r="P200">
            <v>0.67107474</v>
          </cell>
          <cell r="Q200">
            <v>7.256406E-3</v>
          </cell>
        </row>
        <row r="201">
          <cell r="D201">
            <v>307</v>
          </cell>
          <cell r="N201">
            <v>0.80010162399999996</v>
          </cell>
          <cell r="O201">
            <v>5.2267700000000004E-4</v>
          </cell>
          <cell r="P201">
            <v>0.67107474</v>
          </cell>
          <cell r="Q201">
            <v>7.256406E-3</v>
          </cell>
        </row>
        <row r="202">
          <cell r="D202">
            <v>440</v>
          </cell>
          <cell r="N202">
            <v>0.72031376300000005</v>
          </cell>
          <cell r="O202">
            <v>4.58911E-4</v>
          </cell>
          <cell r="P202">
            <v>0.67107474</v>
          </cell>
          <cell r="Q202">
            <v>7.256406E-3</v>
          </cell>
        </row>
        <row r="203">
          <cell r="D203">
            <v>244</v>
          </cell>
          <cell r="N203">
            <v>0.65745444099999995</v>
          </cell>
          <cell r="O203">
            <v>9.2678200000000002E-4</v>
          </cell>
          <cell r="P203">
            <v>0.67107474</v>
          </cell>
          <cell r="Q203">
            <v>7.256406E-3</v>
          </cell>
        </row>
        <row r="204">
          <cell r="D204">
            <v>312</v>
          </cell>
          <cell r="N204">
            <v>0.59946611999999999</v>
          </cell>
          <cell r="O204">
            <v>7.7204699999999999E-4</v>
          </cell>
          <cell r="P204">
            <v>0.67107474</v>
          </cell>
          <cell r="Q204">
            <v>7.256406E-3</v>
          </cell>
        </row>
        <row r="205">
          <cell r="D205">
            <v>256</v>
          </cell>
          <cell r="N205">
            <v>0.69551280599999998</v>
          </cell>
          <cell r="O205">
            <v>8.3048900000000001E-4</v>
          </cell>
          <cell r="P205">
            <v>0.67107474</v>
          </cell>
          <cell r="Q205">
            <v>7.256406E-3</v>
          </cell>
        </row>
        <row r="206">
          <cell r="D206">
            <v>219</v>
          </cell>
          <cell r="N206">
            <v>0.69406392699999997</v>
          </cell>
          <cell r="O206">
            <v>9.7403300000000002E-4</v>
          </cell>
          <cell r="P206">
            <v>0.67107474</v>
          </cell>
          <cell r="Q206">
            <v>7.256406E-3</v>
          </cell>
        </row>
        <row r="207">
          <cell r="D207">
            <v>554</v>
          </cell>
          <cell r="N207">
            <v>0.67383496099999995</v>
          </cell>
          <cell r="O207">
            <v>3.9743500000000002E-4</v>
          </cell>
          <cell r="P207">
            <v>0.67107474</v>
          </cell>
          <cell r="Q207">
            <v>7.256406E-3</v>
          </cell>
        </row>
        <row r="208">
          <cell r="D208">
            <v>546</v>
          </cell>
          <cell r="N208">
            <v>0.676178744</v>
          </cell>
          <cell r="O208">
            <v>4.0176300000000002E-4</v>
          </cell>
          <cell r="P208">
            <v>0.67107474</v>
          </cell>
          <cell r="Q208">
            <v>7.256406E-3</v>
          </cell>
        </row>
        <row r="209">
          <cell r="D209">
            <v>387</v>
          </cell>
          <cell r="N209">
            <v>0.49397571499999998</v>
          </cell>
          <cell r="O209">
            <v>6.4757400000000004E-4</v>
          </cell>
          <cell r="P209">
            <v>0.67107474</v>
          </cell>
          <cell r="Q209">
            <v>7.256406E-3</v>
          </cell>
        </row>
        <row r="210">
          <cell r="D210">
            <v>522</v>
          </cell>
          <cell r="N210">
            <v>0.62068968700000005</v>
          </cell>
          <cell r="O210">
            <v>4.5188900000000002E-4</v>
          </cell>
          <cell r="P210">
            <v>0.67107474</v>
          </cell>
          <cell r="Q210">
            <v>7.256406E-3</v>
          </cell>
        </row>
        <row r="211">
          <cell r="D211">
            <v>646</v>
          </cell>
          <cell r="N211">
            <v>0.78481222799999995</v>
          </cell>
          <cell r="O211">
            <v>2.61833E-4</v>
          </cell>
          <cell r="P211">
            <v>0.67107474</v>
          </cell>
          <cell r="Q211">
            <v>7.256406E-3</v>
          </cell>
        </row>
        <row r="212">
          <cell r="D212">
            <v>529</v>
          </cell>
          <cell r="N212">
            <v>0.67737336199999998</v>
          </cell>
          <cell r="O212">
            <v>4.1389900000000002E-4</v>
          </cell>
          <cell r="P212">
            <v>0.67107474</v>
          </cell>
          <cell r="Q212">
            <v>7.256406E-3</v>
          </cell>
        </row>
        <row r="213">
          <cell r="D213">
            <v>517</v>
          </cell>
          <cell r="N213">
            <v>0.72616414699999998</v>
          </cell>
          <cell r="O213">
            <v>3.8536799999999997E-4</v>
          </cell>
          <cell r="P213">
            <v>0.67107474</v>
          </cell>
          <cell r="Q213">
            <v>7.256406E-3</v>
          </cell>
        </row>
        <row r="214">
          <cell r="D214">
            <v>451</v>
          </cell>
          <cell r="N214">
            <v>0.60664232900000004</v>
          </cell>
          <cell r="O214">
            <v>5.3028299999999999E-4</v>
          </cell>
          <cell r="P214">
            <v>0.67107474</v>
          </cell>
          <cell r="Q214">
            <v>7.256406E-3</v>
          </cell>
        </row>
        <row r="215">
          <cell r="D215">
            <v>213</v>
          </cell>
          <cell r="N215">
            <v>0.67233394599999996</v>
          </cell>
          <cell r="O215">
            <v>1.0391560000000001E-3</v>
          </cell>
          <cell r="P215">
            <v>0.67107474</v>
          </cell>
          <cell r="Q215">
            <v>7.256406E-3</v>
          </cell>
        </row>
        <row r="216">
          <cell r="D216">
            <v>366</v>
          </cell>
          <cell r="N216">
            <v>0.56036244700000004</v>
          </cell>
          <cell r="O216">
            <v>6.7494899999999999E-4</v>
          </cell>
          <cell r="P216">
            <v>0.67107474</v>
          </cell>
          <cell r="Q216">
            <v>7.256406E-3</v>
          </cell>
        </row>
        <row r="217">
          <cell r="D217">
            <v>360</v>
          </cell>
          <cell r="N217">
            <v>0.51586905000000005</v>
          </cell>
          <cell r="O217">
            <v>6.9567700000000001E-4</v>
          </cell>
          <cell r="P217">
            <v>0.67107474</v>
          </cell>
          <cell r="Q217">
            <v>7.256406E-3</v>
          </cell>
        </row>
        <row r="223">
          <cell r="G223">
            <v>97</v>
          </cell>
          <cell r="AD223">
            <v>0.80412371100000002</v>
          </cell>
          <cell r="AE223">
            <v>1.640716E-3</v>
          </cell>
          <cell r="AF223">
            <v>0.77283169600000001</v>
          </cell>
          <cell r="AG223">
            <v>1.6729417999999999E-2</v>
          </cell>
        </row>
        <row r="250">
          <cell r="D250">
            <v>90</v>
          </cell>
          <cell r="J250">
            <v>3.3333333E-2</v>
          </cell>
          <cell r="K250">
            <v>3.62047E-4</v>
          </cell>
          <cell r="L250">
            <v>3.0639151E-2</v>
          </cell>
          <cell r="M250">
            <v>7.0238699999999995E-4</v>
          </cell>
          <cell r="N250">
            <v>0.83333333300000001</v>
          </cell>
          <cell r="O250">
            <v>1.5605490000000001E-3</v>
          </cell>
          <cell r="P250">
            <v>0.75033909600000004</v>
          </cell>
          <cell r="Q250">
            <v>6.1451120000000003E-3</v>
          </cell>
        </row>
        <row r="251">
          <cell r="D251">
            <v>223</v>
          </cell>
          <cell r="J251">
            <v>2.6905829999999999E-2</v>
          </cell>
          <cell r="K251">
            <v>1.1793700000000001E-4</v>
          </cell>
          <cell r="L251">
            <v>3.0639151E-2</v>
          </cell>
          <cell r="M251">
            <v>7.0238699999999995E-4</v>
          </cell>
          <cell r="N251">
            <v>0.71300448400000005</v>
          </cell>
          <cell r="O251">
            <v>9.2175299999999998E-4</v>
          </cell>
          <cell r="P251">
            <v>0.75033909600000004</v>
          </cell>
          <cell r="Q251">
            <v>6.1451120000000003E-3</v>
          </cell>
        </row>
        <row r="252">
          <cell r="D252">
            <v>195</v>
          </cell>
          <cell r="J252">
            <v>5.1282050000000003E-3</v>
          </cell>
          <cell r="K252">
            <v>2.6298499999999999E-5</v>
          </cell>
          <cell r="L252">
            <v>3.0639151E-2</v>
          </cell>
          <cell r="M252">
            <v>7.0238699999999995E-4</v>
          </cell>
          <cell r="N252">
            <v>0.743589744</v>
          </cell>
          <cell r="O252">
            <v>9.828040000000001E-4</v>
          </cell>
          <cell r="P252">
            <v>0.75033909600000004</v>
          </cell>
          <cell r="Q252">
            <v>6.1451120000000003E-3</v>
          </cell>
        </row>
        <row r="253">
          <cell r="D253">
            <v>89</v>
          </cell>
          <cell r="J253">
            <v>0</v>
          </cell>
          <cell r="K253">
            <v>0</v>
          </cell>
          <cell r="L253">
            <v>3.0639151E-2</v>
          </cell>
          <cell r="M253">
            <v>7.0238699999999995E-4</v>
          </cell>
          <cell r="N253">
            <v>0.82022471900000005</v>
          </cell>
          <cell r="O253">
            <v>1.6756379999999999E-3</v>
          </cell>
          <cell r="P253">
            <v>0.75033909600000004</v>
          </cell>
          <cell r="Q253">
            <v>6.1451120000000003E-3</v>
          </cell>
        </row>
        <row r="254">
          <cell r="D254">
            <v>166</v>
          </cell>
          <cell r="J254">
            <v>6.6265060000000001E-2</v>
          </cell>
          <cell r="K254">
            <v>3.7499400000000002E-4</v>
          </cell>
          <cell r="L254">
            <v>3.0639151E-2</v>
          </cell>
          <cell r="M254">
            <v>7.0238699999999995E-4</v>
          </cell>
          <cell r="N254">
            <v>0.60843373499999998</v>
          </cell>
          <cell r="O254">
            <v>1.443892E-3</v>
          </cell>
          <cell r="P254">
            <v>0.75033909600000004</v>
          </cell>
          <cell r="Q254">
            <v>6.1451120000000003E-3</v>
          </cell>
        </row>
        <row r="255">
          <cell r="D255">
            <v>187</v>
          </cell>
          <cell r="J255">
            <v>5.3475939999999998E-3</v>
          </cell>
          <cell r="K255">
            <v>2.85968E-5</v>
          </cell>
          <cell r="L255">
            <v>3.0639151E-2</v>
          </cell>
          <cell r="M255">
            <v>7.0238699999999995E-4</v>
          </cell>
          <cell r="N255">
            <v>0.73262032099999996</v>
          </cell>
          <cell r="O255">
            <v>1.05316E-3</v>
          </cell>
          <cell r="P255">
            <v>0.75033909600000004</v>
          </cell>
          <cell r="Q255">
            <v>6.1451120000000003E-3</v>
          </cell>
        </row>
        <row r="256">
          <cell r="D256">
            <v>118</v>
          </cell>
          <cell r="J256">
            <v>4.2372881000000001E-2</v>
          </cell>
          <cell r="K256">
            <v>3.4681600000000001E-4</v>
          </cell>
          <cell r="L256">
            <v>3.0639151E-2</v>
          </cell>
          <cell r="M256">
            <v>7.0238699999999995E-4</v>
          </cell>
          <cell r="N256">
            <v>0.77966101700000001</v>
          </cell>
          <cell r="O256">
            <v>1.4682880000000001E-3</v>
          </cell>
          <cell r="P256">
            <v>0.75033909600000004</v>
          </cell>
          <cell r="Q256">
            <v>6.1451120000000003E-3</v>
          </cell>
        </row>
        <row r="257">
          <cell r="D257">
            <v>174</v>
          </cell>
          <cell r="J257">
            <v>5.747126E-3</v>
          </cell>
          <cell r="K257">
            <v>3.3029499999999999E-5</v>
          </cell>
          <cell r="L257">
            <v>3.0639151E-2</v>
          </cell>
          <cell r="M257">
            <v>7.0238699999999995E-4</v>
          </cell>
          <cell r="N257">
            <v>0.82183908000000006</v>
          </cell>
          <cell r="O257">
            <v>8.4635600000000004E-4</v>
          </cell>
          <cell r="P257">
            <v>0.75033909600000004</v>
          </cell>
          <cell r="Q257">
            <v>6.1451120000000003E-3</v>
          </cell>
        </row>
        <row r="258">
          <cell r="D258">
            <v>104</v>
          </cell>
          <cell r="J258">
            <v>3.8461538000000003E-2</v>
          </cell>
          <cell r="K258">
            <v>3.5905099999999999E-4</v>
          </cell>
          <cell r="L258">
            <v>3.0639151E-2</v>
          </cell>
          <cell r="M258">
            <v>7.0238699999999995E-4</v>
          </cell>
          <cell r="N258">
            <v>0.79807692299999999</v>
          </cell>
          <cell r="O258">
            <v>1.564565E-3</v>
          </cell>
          <cell r="P258">
            <v>0.75033909600000004</v>
          </cell>
          <cell r="Q258">
            <v>6.1451120000000003E-3</v>
          </cell>
        </row>
        <row r="259">
          <cell r="D259">
            <v>85</v>
          </cell>
          <cell r="J259">
            <v>1.1764706E-2</v>
          </cell>
          <cell r="K259">
            <v>1.3840799999999999E-4</v>
          </cell>
          <cell r="L259">
            <v>3.0639151E-2</v>
          </cell>
          <cell r="M259">
            <v>7.0238699999999995E-4</v>
          </cell>
          <cell r="N259">
            <v>0.89411764699999996</v>
          </cell>
          <cell r="O259">
            <v>1.127039E-3</v>
          </cell>
          <cell r="P259">
            <v>0.75033909600000004</v>
          </cell>
          <cell r="Q259">
            <v>6.1451120000000003E-3</v>
          </cell>
        </row>
        <row r="260">
          <cell r="D260">
            <v>75</v>
          </cell>
          <cell r="J260">
            <v>1.3333332999999999E-2</v>
          </cell>
          <cell r="K260">
            <v>1.7777799999999999E-4</v>
          </cell>
          <cell r="L260">
            <v>3.0639151E-2</v>
          </cell>
          <cell r="M260">
            <v>7.0238699999999995E-4</v>
          </cell>
          <cell r="N260">
            <v>0.693333333</v>
          </cell>
          <cell r="O260">
            <v>2.873273E-3</v>
          </cell>
          <cell r="P260">
            <v>0.75033909600000004</v>
          </cell>
          <cell r="Q260">
            <v>6.1451120000000003E-3</v>
          </cell>
        </row>
        <row r="261">
          <cell r="D261">
            <v>68</v>
          </cell>
          <cell r="J261">
            <v>0.102941176</v>
          </cell>
          <cell r="K261">
            <v>1.378273E-3</v>
          </cell>
          <cell r="L261">
            <v>3.0639151E-2</v>
          </cell>
          <cell r="M261">
            <v>7.0238699999999995E-4</v>
          </cell>
          <cell r="N261">
            <v>0.55882352899999999</v>
          </cell>
          <cell r="O261">
            <v>3.6796979999999999E-3</v>
          </cell>
          <cell r="P261">
            <v>0.75033909600000004</v>
          </cell>
          <cell r="Q261">
            <v>6.1451120000000003E-3</v>
          </cell>
        </row>
        <row r="263">
          <cell r="D263">
            <v>71</v>
          </cell>
          <cell r="J263">
            <v>4.2253521000000002E-2</v>
          </cell>
          <cell r="K263">
            <v>5.7811699999999995E-4</v>
          </cell>
          <cell r="L263">
            <v>3.0639151E-2</v>
          </cell>
          <cell r="M263">
            <v>7.0238699999999995E-4</v>
          </cell>
          <cell r="N263">
            <v>0.71830985899999999</v>
          </cell>
          <cell r="O263">
            <v>2.890583E-3</v>
          </cell>
          <cell r="P263">
            <v>0.75033909600000004</v>
          </cell>
          <cell r="Q263">
            <v>6.1451120000000003E-3</v>
          </cell>
        </row>
        <row r="264">
          <cell r="D264">
            <v>153</v>
          </cell>
          <cell r="J264">
            <v>1.3071895E-2</v>
          </cell>
          <cell r="K264">
            <v>8.4875099999999997E-5</v>
          </cell>
          <cell r="L264">
            <v>3.0639151E-2</v>
          </cell>
          <cell r="M264">
            <v>7.0238699999999995E-4</v>
          </cell>
        </row>
        <row r="265">
          <cell r="D265">
            <v>163</v>
          </cell>
          <cell r="J265">
            <v>3.6809816000000002E-2</v>
          </cell>
          <cell r="K265">
            <v>2.1885700000000001E-4</v>
          </cell>
          <cell r="L265">
            <v>3.0639151E-2</v>
          </cell>
          <cell r="M265">
            <v>7.0238699999999995E-4</v>
          </cell>
        </row>
        <row r="266">
          <cell r="D266">
            <v>126</v>
          </cell>
          <cell r="J266">
            <v>7.9365079000000005E-2</v>
          </cell>
          <cell r="K266">
            <v>5.8452999999999999E-4</v>
          </cell>
          <cell r="L266">
            <v>3.0639151E-2</v>
          </cell>
          <cell r="M266">
            <v>7.0238699999999995E-4</v>
          </cell>
        </row>
        <row r="267">
          <cell r="D267">
            <v>380</v>
          </cell>
          <cell r="J267">
            <v>2.8947368000000001E-2</v>
          </cell>
          <cell r="K267">
            <v>7.4167300000000004E-5</v>
          </cell>
          <cell r="L267">
            <v>3.0639151E-2</v>
          </cell>
          <cell r="M267">
            <v>7.0238699999999995E-4</v>
          </cell>
        </row>
        <row r="268">
          <cell r="D268">
            <v>320</v>
          </cell>
          <cell r="J268">
            <v>1.5625E-2</v>
          </cell>
          <cell r="K268">
            <v>4.82159E-5</v>
          </cell>
          <cell r="L268">
            <v>3.0639151E-2</v>
          </cell>
          <cell r="M268">
            <v>7.0238699999999995E-4</v>
          </cell>
        </row>
        <row r="269">
          <cell r="D269">
            <v>330</v>
          </cell>
          <cell r="J269">
            <v>1.8181817999999999E-2</v>
          </cell>
          <cell r="K269">
            <v>5.4259099999999997E-5</v>
          </cell>
          <cell r="L269">
            <v>3.0639151E-2</v>
          </cell>
          <cell r="M269">
            <v>7.0238699999999995E-4</v>
          </cell>
        </row>
        <row r="270">
          <cell r="D270">
            <v>299</v>
          </cell>
          <cell r="J270">
            <v>2.006689E-2</v>
          </cell>
          <cell r="K270">
            <v>6.5987299999999998E-5</v>
          </cell>
          <cell r="L270">
            <v>3.0639151E-2</v>
          </cell>
          <cell r="M270">
            <v>7.0238699999999995E-4</v>
          </cell>
        </row>
        <row r="271">
          <cell r="D271">
            <v>240</v>
          </cell>
          <cell r="J271">
            <v>3.7499999999999999E-2</v>
          </cell>
          <cell r="K271">
            <v>1.5102E-4</v>
          </cell>
          <cell r="L271">
            <v>3.0639151E-2</v>
          </cell>
          <cell r="M271">
            <v>7.0238699999999995E-4</v>
          </cell>
        </row>
        <row r="277">
          <cell r="G277">
            <v>76</v>
          </cell>
          <cell r="AD277">
            <v>0.95776085700000002</v>
          </cell>
          <cell r="AE277">
            <v>5.3939999999999999E-4</v>
          </cell>
          <cell r="AF277">
            <v>0.84046642000000005</v>
          </cell>
          <cell r="AG277">
            <v>7.5210069999999997E-3</v>
          </cell>
        </row>
        <row r="278">
          <cell r="G278">
            <v>126</v>
          </cell>
          <cell r="AD278">
            <v>0.93727304600000005</v>
          </cell>
          <cell r="AE278">
            <v>4.70338E-4</v>
          </cell>
          <cell r="AF278">
            <v>0.84046642000000005</v>
          </cell>
          <cell r="AG278">
            <v>7.5210069999999997E-3</v>
          </cell>
        </row>
        <row r="279">
          <cell r="G279">
            <v>128</v>
          </cell>
          <cell r="AD279">
            <v>0.69376139599999997</v>
          </cell>
          <cell r="AE279">
            <v>1.6728859999999999E-3</v>
          </cell>
          <cell r="AF279">
            <v>0.84046642000000005</v>
          </cell>
          <cell r="AG279">
            <v>7.5210069999999997E-3</v>
          </cell>
        </row>
        <row r="280">
          <cell r="G280">
            <v>98</v>
          </cell>
          <cell r="AD280">
            <v>0.84953667499999996</v>
          </cell>
          <cell r="AE280">
            <v>1.3177740000000001E-3</v>
          </cell>
          <cell r="AF280">
            <v>0.84046642000000005</v>
          </cell>
          <cell r="AG280">
            <v>7.5210069999999997E-3</v>
          </cell>
        </row>
        <row r="281">
          <cell r="G281">
            <v>82</v>
          </cell>
          <cell r="AD281">
            <v>0.82339424400000005</v>
          </cell>
          <cell r="AE281">
            <v>1.795261E-3</v>
          </cell>
          <cell r="AF281">
            <v>0.84046642000000005</v>
          </cell>
          <cell r="AG281">
            <v>7.5210069999999997E-3</v>
          </cell>
        </row>
        <row r="282">
          <cell r="G282">
            <v>172</v>
          </cell>
          <cell r="AD282">
            <v>0.89467830500000001</v>
          </cell>
          <cell r="AE282">
            <v>5.5104700000000004E-4</v>
          </cell>
          <cell r="AF282">
            <v>0.84046642000000005</v>
          </cell>
          <cell r="AG282">
            <v>7.5210069999999997E-3</v>
          </cell>
        </row>
        <row r="283">
          <cell r="G283">
            <v>209</v>
          </cell>
          <cell r="AD283">
            <v>0.86418368700000003</v>
          </cell>
          <cell r="AE283">
            <v>5.6428000000000001E-4</v>
          </cell>
          <cell r="AF283">
            <v>0.84046642000000005</v>
          </cell>
          <cell r="AG283">
            <v>7.5210069999999997E-3</v>
          </cell>
        </row>
        <row r="284">
          <cell r="G284">
            <v>142</v>
          </cell>
          <cell r="AD284">
            <v>0.96964636800000004</v>
          </cell>
          <cell r="AE284">
            <v>2.0874000000000001E-4</v>
          </cell>
          <cell r="AF284">
            <v>0.84046642000000005</v>
          </cell>
          <cell r="AG284">
            <v>7.5210069999999997E-3</v>
          </cell>
        </row>
        <row r="285">
          <cell r="G285">
            <v>104</v>
          </cell>
          <cell r="AD285">
            <v>0.927193457</v>
          </cell>
          <cell r="AE285">
            <v>6.5539600000000004E-4</v>
          </cell>
          <cell r="AF285">
            <v>0.84046642000000005</v>
          </cell>
          <cell r="AG285">
            <v>7.5210069999999997E-3</v>
          </cell>
        </row>
        <row r="286">
          <cell r="G286">
            <v>227</v>
          </cell>
          <cell r="AD286">
            <v>0.91921996800000005</v>
          </cell>
          <cell r="AE286">
            <v>3.2855999999999998E-4</v>
          </cell>
          <cell r="AF286">
            <v>0.84046642000000005</v>
          </cell>
          <cell r="AG286">
            <v>7.5210069999999997E-3</v>
          </cell>
        </row>
        <row r="287">
          <cell r="G287">
            <v>143</v>
          </cell>
          <cell r="AD287">
            <v>0.82721429800000001</v>
          </cell>
          <cell r="AE287">
            <v>1.0065549999999999E-3</v>
          </cell>
          <cell r="AF287">
            <v>0.84046642000000005</v>
          </cell>
          <cell r="AG287">
            <v>7.5210069999999997E-3</v>
          </cell>
        </row>
        <row r="288">
          <cell r="G288">
            <v>222</v>
          </cell>
          <cell r="AD288">
            <v>0.861424631</v>
          </cell>
          <cell r="AE288">
            <v>5.4014600000000003E-4</v>
          </cell>
          <cell r="AF288">
            <v>0.84046642000000005</v>
          </cell>
          <cell r="AG288">
            <v>7.5210069999999997E-3</v>
          </cell>
        </row>
        <row r="289">
          <cell r="G289">
            <v>225</v>
          </cell>
          <cell r="AD289">
            <v>0.86930544399999998</v>
          </cell>
          <cell r="AE289">
            <v>5.0720300000000002E-4</v>
          </cell>
          <cell r="AF289">
            <v>0.84046642000000005</v>
          </cell>
          <cell r="AG289">
            <v>7.5210069999999997E-3</v>
          </cell>
        </row>
        <row r="290">
          <cell r="G290">
            <v>265</v>
          </cell>
          <cell r="AD290">
            <v>0.795681572</v>
          </cell>
          <cell r="AE290">
            <v>6.1580499999999998E-4</v>
          </cell>
          <cell r="AF290">
            <v>0.84046642000000005</v>
          </cell>
          <cell r="AG290">
            <v>7.5210069999999997E-3</v>
          </cell>
        </row>
        <row r="291">
          <cell r="G291">
            <v>340</v>
          </cell>
          <cell r="AD291">
            <v>0.84658620699999998</v>
          </cell>
          <cell r="AE291">
            <v>3.8312099999999999E-4</v>
          </cell>
          <cell r="AF291">
            <v>0.84046642000000005</v>
          </cell>
          <cell r="AG291">
            <v>7.5210069999999997E-3</v>
          </cell>
        </row>
        <row r="292">
          <cell r="G292">
            <v>371</v>
          </cell>
          <cell r="AD292">
            <v>0.79206865900000001</v>
          </cell>
          <cell r="AE292">
            <v>4.4512399999999998E-4</v>
          </cell>
          <cell r="AF292">
            <v>0.84046642000000005</v>
          </cell>
          <cell r="AG292">
            <v>7.5210069999999997E-3</v>
          </cell>
        </row>
        <row r="293">
          <cell r="G293">
            <v>516</v>
          </cell>
          <cell r="AD293">
            <v>0.78820150899999997</v>
          </cell>
          <cell r="AE293">
            <v>3.2415500000000002E-4</v>
          </cell>
          <cell r="AF293">
            <v>0.84046642000000005</v>
          </cell>
          <cell r="AG293">
            <v>7.5210069999999997E-3</v>
          </cell>
        </row>
        <row r="294">
          <cell r="G294">
            <v>352</v>
          </cell>
          <cell r="AD294">
            <v>0.84435566500000003</v>
          </cell>
          <cell r="AE294">
            <v>3.74414E-4</v>
          </cell>
          <cell r="AF294">
            <v>0.84046642000000005</v>
          </cell>
          <cell r="AG294">
            <v>7.5210069999999997E-3</v>
          </cell>
        </row>
        <row r="295">
          <cell r="G295">
            <v>597</v>
          </cell>
          <cell r="AD295">
            <v>0.62289141199999998</v>
          </cell>
          <cell r="AE295">
            <v>3.9412399999999998E-4</v>
          </cell>
          <cell r="AF295">
            <v>0.84046642000000005</v>
          </cell>
          <cell r="AG295">
            <v>7.5210069999999997E-3</v>
          </cell>
        </row>
        <row r="296">
          <cell r="G296">
            <v>348</v>
          </cell>
          <cell r="AD296">
            <v>0.71663333600000001</v>
          </cell>
          <cell r="AE296">
            <v>5.8521599999999995E-4</v>
          </cell>
          <cell r="AF296">
            <v>0.84046642000000005</v>
          </cell>
          <cell r="AG296">
            <v>7.5210069999999997E-3</v>
          </cell>
        </row>
        <row r="297">
          <cell r="G297">
            <v>300</v>
          </cell>
          <cell r="AD297">
            <v>0.90328051799999998</v>
          </cell>
          <cell r="AE297">
            <v>2.9219000000000001E-4</v>
          </cell>
          <cell r="AF297">
            <v>0.84046642000000005</v>
          </cell>
          <cell r="AG297">
            <v>7.5210069999999997E-3</v>
          </cell>
        </row>
        <row r="298">
          <cell r="G298">
            <v>249</v>
          </cell>
          <cell r="AD298">
            <v>0.78596997499999999</v>
          </cell>
          <cell r="AE298">
            <v>6.7831100000000002E-4</v>
          </cell>
          <cell r="AF298">
            <v>0.84046642000000005</v>
          </cell>
          <cell r="AG298">
            <v>7.5210069999999997E-3</v>
          </cell>
        </row>
        <row r="305">
          <cell r="D305">
            <v>194</v>
          </cell>
          <cell r="N305">
            <v>0.45590863100000001</v>
          </cell>
          <cell r="O305">
            <v>1.2852639999999999E-3</v>
          </cell>
          <cell r="P305">
            <v>0.38255798899999999</v>
          </cell>
          <cell r="Q305">
            <v>3.7726773999999998E-2</v>
          </cell>
        </row>
        <row r="306">
          <cell r="D306">
            <v>177</v>
          </cell>
          <cell r="N306">
            <v>0.64025618200000001</v>
          </cell>
          <cell r="O306">
            <v>1.3086829999999999E-3</v>
          </cell>
          <cell r="P306">
            <v>0.38255798899999999</v>
          </cell>
          <cell r="Q306">
            <v>3.7726773999999998E-2</v>
          </cell>
        </row>
        <row r="307">
          <cell r="D307">
            <v>243</v>
          </cell>
          <cell r="N307">
            <v>6.4680016000000007E-2</v>
          </cell>
          <cell r="O307">
            <v>2.49986E-4</v>
          </cell>
          <cell r="P307">
            <v>0.38255798899999999</v>
          </cell>
          <cell r="Q307">
            <v>3.7726773999999998E-2</v>
          </cell>
        </row>
        <row r="308">
          <cell r="D308">
            <v>193</v>
          </cell>
          <cell r="N308">
            <v>0.26346793699999999</v>
          </cell>
          <cell r="O308">
            <v>1.010691E-3</v>
          </cell>
          <cell r="P308">
            <v>0.38255798899999999</v>
          </cell>
          <cell r="Q308">
            <v>3.7726773999999998E-2</v>
          </cell>
        </row>
        <row r="309">
          <cell r="D309">
            <v>380</v>
          </cell>
          <cell r="N309">
            <v>0.57733725999999996</v>
          </cell>
          <cell r="O309">
            <v>6.4384900000000005E-4</v>
          </cell>
          <cell r="P309">
            <v>0.38255798899999999</v>
          </cell>
          <cell r="Q309">
            <v>3.7726773999999998E-2</v>
          </cell>
        </row>
        <row r="310">
          <cell r="D310">
            <v>243</v>
          </cell>
          <cell r="N310">
            <v>0.46125918799999999</v>
          </cell>
          <cell r="O310">
            <v>1.026856E-3</v>
          </cell>
          <cell r="P310">
            <v>0.38255798899999999</v>
          </cell>
          <cell r="Q310">
            <v>3.7726773999999998E-2</v>
          </cell>
        </row>
        <row r="311">
          <cell r="D311">
            <v>278</v>
          </cell>
          <cell r="N311">
            <v>7.200906E-3</v>
          </cell>
          <cell r="O311">
            <v>2.58089E-5</v>
          </cell>
          <cell r="P311">
            <v>0.38255798899999999</v>
          </cell>
          <cell r="Q311">
            <v>3.7726773999999998E-2</v>
          </cell>
        </row>
        <row r="312">
          <cell r="D312">
            <v>334</v>
          </cell>
          <cell r="N312">
            <v>0.49833717599999999</v>
          </cell>
          <cell r="O312">
            <v>7.5074199999999999E-4</v>
          </cell>
          <cell r="P312">
            <v>0.38255798899999999</v>
          </cell>
          <cell r="Q312">
            <v>3.7726773999999998E-2</v>
          </cell>
        </row>
        <row r="313">
          <cell r="D313">
            <v>318</v>
          </cell>
          <cell r="N313">
            <v>0.632294256</v>
          </cell>
          <cell r="O313">
            <v>7.3343300000000002E-4</v>
          </cell>
          <cell r="P313">
            <v>0.38255798899999999</v>
          </cell>
          <cell r="Q313">
            <v>3.7726773999999998E-2</v>
          </cell>
        </row>
        <row r="314">
          <cell r="D314">
            <v>533</v>
          </cell>
          <cell r="N314">
            <v>0.57020615699999999</v>
          </cell>
          <cell r="O314">
            <v>4.6066E-4</v>
          </cell>
          <cell r="P314">
            <v>0.38255798899999999</v>
          </cell>
          <cell r="Q314">
            <v>3.7726773999999998E-2</v>
          </cell>
        </row>
        <row r="315">
          <cell r="D315">
            <v>479</v>
          </cell>
          <cell r="N315">
            <v>0.33918759599999998</v>
          </cell>
          <cell r="O315">
            <v>4.6891100000000002E-4</v>
          </cell>
          <cell r="P315">
            <v>0.38255798899999999</v>
          </cell>
          <cell r="Q315">
            <v>3.7726773999999998E-2</v>
          </cell>
        </row>
        <row r="316">
          <cell r="D316">
            <v>466</v>
          </cell>
          <cell r="N316">
            <v>0.57179370600000001</v>
          </cell>
          <cell r="O316">
            <v>5.2654999999999998E-4</v>
          </cell>
          <cell r="P316">
            <v>0.38255798899999999</v>
          </cell>
          <cell r="Q316">
            <v>3.7726773999999998E-2</v>
          </cell>
        </row>
        <row r="317">
          <cell r="D317">
            <v>499</v>
          </cell>
          <cell r="N317">
            <v>0.59104858400000004</v>
          </cell>
          <cell r="O317">
            <v>4.8536199999999998E-4</v>
          </cell>
          <cell r="P317">
            <v>0.38255798899999999</v>
          </cell>
          <cell r="Q317">
            <v>3.7726773999999998E-2</v>
          </cell>
        </row>
        <row r="318">
          <cell r="D318">
            <v>454</v>
          </cell>
          <cell r="N318">
            <v>0.324685055</v>
          </cell>
          <cell r="O318">
            <v>4.8402800000000001E-4</v>
          </cell>
          <cell r="P318">
            <v>0.38255798899999999</v>
          </cell>
          <cell r="Q318">
            <v>3.7726773999999998E-2</v>
          </cell>
        </row>
        <row r="319">
          <cell r="D319">
            <v>651</v>
          </cell>
          <cell r="N319">
            <v>0.273217231</v>
          </cell>
          <cell r="O319">
            <v>3.0549199999999998E-4</v>
          </cell>
          <cell r="P319">
            <v>0.38255798899999999</v>
          </cell>
          <cell r="Q319">
            <v>3.7726773999999998E-2</v>
          </cell>
        </row>
        <row r="320">
          <cell r="D320">
            <v>495</v>
          </cell>
          <cell r="N320">
            <v>0.150144051</v>
          </cell>
          <cell r="O320">
            <v>2.5830100000000001E-4</v>
          </cell>
          <cell r="P320">
            <v>0.38255798899999999</v>
          </cell>
          <cell r="Q320">
            <v>3.7726773999999998E-2</v>
          </cell>
        </row>
        <row r="321">
          <cell r="D321">
            <v>493</v>
          </cell>
          <cell r="N321">
            <v>8.9524672999999999E-2</v>
          </cell>
          <cell r="O321">
            <v>1.6567099999999999E-4</v>
          </cell>
          <cell r="P321">
            <v>0.38255798899999999</v>
          </cell>
          <cell r="Q321">
            <v>3.7726773999999998E-2</v>
          </cell>
        </row>
        <row r="322">
          <cell r="D322">
            <v>127</v>
          </cell>
          <cell r="N322">
            <v>0.33847740799999998</v>
          </cell>
          <cell r="O322">
            <v>1.777067E-3</v>
          </cell>
          <cell r="P322">
            <v>0.38255798899999999</v>
          </cell>
          <cell r="Q322">
            <v>3.7726773999999998E-2</v>
          </cell>
        </row>
        <row r="323">
          <cell r="D323">
            <v>112</v>
          </cell>
          <cell r="N323">
            <v>0.54382908600000002</v>
          </cell>
          <cell r="O323">
            <v>2.2349459999999998E-3</v>
          </cell>
          <cell r="P323">
            <v>0.38255798899999999</v>
          </cell>
          <cell r="Q323">
            <v>3.7726773999999998E-2</v>
          </cell>
        </row>
        <row r="324">
          <cell r="D324">
            <v>244</v>
          </cell>
          <cell r="N324">
            <v>0.33293387600000002</v>
          </cell>
          <cell r="O324">
            <v>9.1394600000000001E-4</v>
          </cell>
          <cell r="P324">
            <v>0.38255798899999999</v>
          </cell>
          <cell r="Q324">
            <v>3.7726773999999998E-2</v>
          </cell>
        </row>
        <row r="325">
          <cell r="D325">
            <v>317</v>
          </cell>
          <cell r="N325">
            <v>0.3079288</v>
          </cell>
          <cell r="O325">
            <v>6.7439400000000004E-4</v>
          </cell>
          <cell r="P325">
            <v>0.38255798899999999</v>
          </cell>
          <cell r="Q325">
            <v>3.7726773999999998E-2</v>
          </cell>
        </row>
        <row r="331">
          <cell r="G331">
            <v>84</v>
          </cell>
          <cell r="AD331">
            <v>0.95001530899999997</v>
          </cell>
          <cell r="AE331">
            <v>5.7212300000000001E-4</v>
          </cell>
          <cell r="AF331">
            <v>0.88472371999999999</v>
          </cell>
          <cell r="AG331">
            <v>7.2151589999999996E-3</v>
          </cell>
        </row>
        <row r="332">
          <cell r="G332">
            <v>157</v>
          </cell>
          <cell r="AD332">
            <v>0.98670537599999997</v>
          </cell>
          <cell r="AE332">
            <v>8.4089000000000001E-5</v>
          </cell>
          <cell r="AF332">
            <v>0.88472371999999999</v>
          </cell>
          <cell r="AG332">
            <v>7.2151589999999996E-3</v>
          </cell>
        </row>
        <row r="333">
          <cell r="G333">
            <v>74</v>
          </cell>
          <cell r="AD333">
            <v>0.97999830700000001</v>
          </cell>
          <cell r="AE333">
            <v>2.6851499999999999E-4</v>
          </cell>
          <cell r="AF333">
            <v>0.88472371999999999</v>
          </cell>
          <cell r="AG333">
            <v>7.2151589999999996E-3</v>
          </cell>
        </row>
        <row r="334">
          <cell r="G334">
            <v>209</v>
          </cell>
          <cell r="AD334">
            <v>0.91102233300000002</v>
          </cell>
          <cell r="AE334">
            <v>3.89715E-4</v>
          </cell>
          <cell r="AF334">
            <v>0.88472371999999999</v>
          </cell>
          <cell r="AG334">
            <v>7.2151589999999996E-3</v>
          </cell>
        </row>
        <row r="335">
          <cell r="G335">
            <v>196</v>
          </cell>
          <cell r="AD335">
            <v>0.92577644299999995</v>
          </cell>
          <cell r="AE335">
            <v>3.5238199999999999E-4</v>
          </cell>
          <cell r="AF335">
            <v>0.88472371999999999</v>
          </cell>
          <cell r="AG335">
            <v>7.2151589999999996E-3</v>
          </cell>
        </row>
        <row r="336">
          <cell r="G336">
            <v>312</v>
          </cell>
          <cell r="AD336">
            <v>0.96045200200000003</v>
          </cell>
          <cell r="AE336">
            <v>1.22135E-4</v>
          </cell>
          <cell r="AF336">
            <v>0.88472371999999999</v>
          </cell>
          <cell r="AG336">
            <v>7.2151589999999996E-3</v>
          </cell>
        </row>
        <row r="337">
          <cell r="G337">
            <v>376</v>
          </cell>
          <cell r="AD337">
            <v>0.92333540599999997</v>
          </cell>
          <cell r="AE337">
            <v>1.8876599999999999E-4</v>
          </cell>
          <cell r="AF337">
            <v>0.88472371999999999</v>
          </cell>
          <cell r="AG337">
            <v>7.2151589999999996E-3</v>
          </cell>
        </row>
        <row r="338">
          <cell r="G338">
            <v>235</v>
          </cell>
          <cell r="AD338">
            <v>0.931865587</v>
          </cell>
          <cell r="AE338">
            <v>2.7133399999999997E-4</v>
          </cell>
          <cell r="AF338">
            <v>0.88472371999999999</v>
          </cell>
          <cell r="AG338">
            <v>7.2151589999999996E-3</v>
          </cell>
        </row>
        <row r="339">
          <cell r="G339">
            <v>317</v>
          </cell>
          <cell r="AD339">
            <v>0.96043807999999997</v>
          </cell>
          <cell r="AE339">
            <v>1.2024299999999999E-4</v>
          </cell>
          <cell r="AF339">
            <v>0.88472371999999999</v>
          </cell>
          <cell r="AG339">
            <v>7.2151589999999996E-3</v>
          </cell>
        </row>
        <row r="340">
          <cell r="G340">
            <v>439</v>
          </cell>
          <cell r="AD340">
            <v>0.97732030299999995</v>
          </cell>
          <cell r="AE340">
            <v>5.0605800000000003E-5</v>
          </cell>
          <cell r="AF340">
            <v>0.88472371999999999</v>
          </cell>
          <cell r="AG340">
            <v>7.2151589999999996E-3</v>
          </cell>
        </row>
        <row r="341">
          <cell r="G341">
            <v>360</v>
          </cell>
          <cell r="AD341">
            <v>0.926579029</v>
          </cell>
          <cell r="AE341">
            <v>1.895E-4</v>
          </cell>
          <cell r="AF341">
            <v>0.88472371999999999</v>
          </cell>
          <cell r="AG341">
            <v>7.2151589999999996E-3</v>
          </cell>
        </row>
        <row r="342">
          <cell r="G342">
            <v>783</v>
          </cell>
          <cell r="AD342">
            <v>0.82006284399999996</v>
          </cell>
          <cell r="AE342">
            <v>1.8869500000000001E-4</v>
          </cell>
          <cell r="AF342">
            <v>0.88472371999999999</v>
          </cell>
          <cell r="AG342">
            <v>7.2151589999999996E-3</v>
          </cell>
        </row>
        <row r="343">
          <cell r="G343">
            <v>466</v>
          </cell>
          <cell r="AD343">
            <v>0.89574330099999999</v>
          </cell>
          <cell r="AE343">
            <v>2.0083300000000001E-4</v>
          </cell>
          <cell r="AF343">
            <v>0.88472371999999999</v>
          </cell>
          <cell r="AG343">
            <v>7.2151589999999996E-3</v>
          </cell>
        </row>
        <row r="344">
          <cell r="G344">
            <v>552</v>
          </cell>
          <cell r="AD344">
            <v>0.92510807900000003</v>
          </cell>
          <cell r="AE344">
            <v>1.2574099999999999E-4</v>
          </cell>
          <cell r="AF344">
            <v>0.88472371999999999</v>
          </cell>
          <cell r="AG344">
            <v>7.2151589999999996E-3</v>
          </cell>
        </row>
        <row r="345">
          <cell r="G345">
            <v>564</v>
          </cell>
          <cell r="AD345">
            <v>0.83521020599999996</v>
          </cell>
          <cell r="AE345">
            <v>2.4446599999999999E-4</v>
          </cell>
          <cell r="AF345">
            <v>0.88472371999999999</v>
          </cell>
          <cell r="AG345">
            <v>7.2151589999999996E-3</v>
          </cell>
        </row>
        <row r="346">
          <cell r="G346">
            <v>596</v>
          </cell>
          <cell r="AD346">
            <v>0.70982587200000002</v>
          </cell>
          <cell r="AE346">
            <v>3.4617300000000002E-4</v>
          </cell>
          <cell r="AF346">
            <v>0.88472371999999999</v>
          </cell>
          <cell r="AG346">
            <v>7.2151589999999996E-3</v>
          </cell>
        </row>
        <row r="347">
          <cell r="G347">
            <v>976</v>
          </cell>
          <cell r="AD347">
            <v>0.75754714099999998</v>
          </cell>
          <cell r="AE347">
            <v>1.8837899999999999E-4</v>
          </cell>
          <cell r="AF347">
            <v>0.88472371999999999</v>
          </cell>
          <cell r="AG347">
            <v>7.2151589999999996E-3</v>
          </cell>
        </row>
        <row r="348">
          <cell r="G348">
            <v>902</v>
          </cell>
          <cell r="AD348">
            <v>0.69841151400000001</v>
          </cell>
          <cell r="AE348">
            <v>2.3377700000000001E-4</v>
          </cell>
          <cell r="AF348">
            <v>0.88472371999999999</v>
          </cell>
          <cell r="AG348">
            <v>7.2151589999999996E-3</v>
          </cell>
        </row>
        <row r="349">
          <cell r="G349">
            <v>829</v>
          </cell>
          <cell r="AD349">
            <v>0.85681116099999999</v>
          </cell>
          <cell r="AE349">
            <v>1.48171E-4</v>
          </cell>
          <cell r="AF349">
            <v>0.88472371999999999</v>
          </cell>
          <cell r="AG349">
            <v>7.2151589999999996E-3</v>
          </cell>
        </row>
        <row r="350">
          <cell r="G350">
            <v>638</v>
          </cell>
          <cell r="AD350">
            <v>0.86899805100000005</v>
          </cell>
          <cell r="AE350">
            <v>1.7871299999999999E-4</v>
          </cell>
          <cell r="AF350">
            <v>0.88472371999999999</v>
          </cell>
          <cell r="AG350">
            <v>7.2151589999999996E-3</v>
          </cell>
        </row>
        <row r="351">
          <cell r="G351">
            <v>639</v>
          </cell>
          <cell r="AD351">
            <v>0.87260955100000004</v>
          </cell>
          <cell r="AE351">
            <v>1.7423499999999999E-4</v>
          </cell>
          <cell r="AF351">
            <v>0.88472371999999999</v>
          </cell>
          <cell r="AG351">
            <v>7.2151589999999996E-3</v>
          </cell>
        </row>
        <row r="352">
          <cell r="G352">
            <v>948</v>
          </cell>
          <cell r="AD352">
            <v>0.79008593699999996</v>
          </cell>
          <cell r="AE352">
            <v>1.7513199999999999E-4</v>
          </cell>
          <cell r="AF352">
            <v>0.88472371999999999</v>
          </cell>
          <cell r="AG352">
            <v>7.2151589999999996E-3</v>
          </cell>
        </row>
        <row r="361">
          <cell r="D361">
            <v>52</v>
          </cell>
          <cell r="J361">
            <v>0.348890796</v>
          </cell>
          <cell r="K361">
            <v>4.454235E-3</v>
          </cell>
          <cell r="L361">
            <v>0.15749269799999999</v>
          </cell>
          <cell r="M361">
            <v>5.5839720000000004E-3</v>
          </cell>
          <cell r="N361">
            <v>0.65110920400000005</v>
          </cell>
          <cell r="O361">
            <v>4.454235E-3</v>
          </cell>
          <cell r="P361">
            <v>0.70017963000000005</v>
          </cell>
          <cell r="Q361">
            <v>1.0854057E-2</v>
          </cell>
        </row>
        <row r="363">
          <cell r="D363">
            <v>61</v>
          </cell>
          <cell r="J363">
            <v>7.0760806999999995E-2</v>
          </cell>
          <cell r="K363">
            <v>1.0958949999999999E-3</v>
          </cell>
          <cell r="L363">
            <v>0.15749269799999999</v>
          </cell>
          <cell r="M363">
            <v>5.5839720000000004E-3</v>
          </cell>
          <cell r="N363">
            <v>0.89012781799999996</v>
          </cell>
          <cell r="O363">
            <v>1.6300049999999999E-3</v>
          </cell>
          <cell r="P363">
            <v>0.70017963000000005</v>
          </cell>
          <cell r="Q363">
            <v>1.0854057E-2</v>
          </cell>
        </row>
        <row r="364">
          <cell r="D364">
            <v>55</v>
          </cell>
          <cell r="J364">
            <v>7.6303002999999994E-2</v>
          </cell>
          <cell r="K364">
            <v>1.305201E-3</v>
          </cell>
          <cell r="L364">
            <v>0.15749269799999999</v>
          </cell>
          <cell r="M364">
            <v>5.5839720000000004E-3</v>
          </cell>
          <cell r="N364">
            <v>0.70360321999999997</v>
          </cell>
          <cell r="O364">
            <v>3.861958E-3</v>
          </cell>
          <cell r="P364">
            <v>0.70017963000000005</v>
          </cell>
          <cell r="Q364">
            <v>1.0854057E-2</v>
          </cell>
        </row>
        <row r="365">
          <cell r="D365">
            <v>59</v>
          </cell>
          <cell r="J365">
            <v>7.7582278000000005E-2</v>
          </cell>
          <cell r="K365">
            <v>1.233849E-3</v>
          </cell>
          <cell r="L365">
            <v>0.15749269799999999</v>
          </cell>
          <cell r="M365">
            <v>5.5839720000000004E-3</v>
          </cell>
          <cell r="N365">
            <v>0.86423101300000005</v>
          </cell>
          <cell r="O365">
            <v>2.0230309999999998E-3</v>
          </cell>
          <cell r="P365">
            <v>0.70017963000000005</v>
          </cell>
          <cell r="Q365">
            <v>1.0854057E-2</v>
          </cell>
        </row>
        <row r="369">
          <cell r="D369">
            <v>100</v>
          </cell>
          <cell r="N369">
            <v>0.65525882800000002</v>
          </cell>
          <cell r="O369">
            <v>2.2817649999999998E-3</v>
          </cell>
          <cell r="P369">
            <v>0.70017963000000005</v>
          </cell>
          <cell r="Q369">
            <v>1.0854057E-2</v>
          </cell>
        </row>
        <row r="370">
          <cell r="D370">
            <v>103</v>
          </cell>
          <cell r="N370">
            <v>0.71079927399999998</v>
          </cell>
          <cell r="O370">
            <v>2.0153300000000001E-3</v>
          </cell>
          <cell r="P370">
            <v>0.70017963000000005</v>
          </cell>
          <cell r="Q370">
            <v>1.0854057E-2</v>
          </cell>
        </row>
        <row r="371">
          <cell r="D371">
            <v>139</v>
          </cell>
          <cell r="N371">
            <v>0.820387388</v>
          </cell>
          <cell r="O371">
            <v>1.067768E-3</v>
          </cell>
          <cell r="P371">
            <v>0.70017963000000005</v>
          </cell>
          <cell r="Q371">
            <v>1.0854057E-2</v>
          </cell>
        </row>
        <row r="372">
          <cell r="D372">
            <v>281</v>
          </cell>
          <cell r="N372">
            <v>0.72013129799999998</v>
          </cell>
          <cell r="O372">
            <v>7.1979399999999995E-4</v>
          </cell>
          <cell r="P372">
            <v>0.70017963000000005</v>
          </cell>
          <cell r="Q372">
            <v>1.0854057E-2</v>
          </cell>
        </row>
        <row r="373">
          <cell r="D373">
            <v>327</v>
          </cell>
          <cell r="N373">
            <v>0.59766794000000001</v>
          </cell>
          <cell r="O373">
            <v>7.3760999999999998E-4</v>
          </cell>
          <cell r="P373">
            <v>0.70017963000000005</v>
          </cell>
          <cell r="Q373">
            <v>1.0854057E-2</v>
          </cell>
        </row>
        <row r="374">
          <cell r="D374">
            <v>268</v>
          </cell>
          <cell r="N374">
            <v>0.74516604200000003</v>
          </cell>
          <cell r="O374">
            <v>7.1121200000000002E-4</v>
          </cell>
          <cell r="P374">
            <v>0.70017963000000005</v>
          </cell>
          <cell r="Q374">
            <v>1.0854057E-2</v>
          </cell>
        </row>
        <row r="375">
          <cell r="D375">
            <v>201</v>
          </cell>
          <cell r="N375">
            <v>0.73094164299999997</v>
          </cell>
          <cell r="O375">
            <v>9.8332999999999992E-4</v>
          </cell>
          <cell r="P375">
            <v>0.70017963000000005</v>
          </cell>
          <cell r="Q375">
            <v>1.0854057E-2</v>
          </cell>
        </row>
        <row r="376">
          <cell r="D376">
            <v>223</v>
          </cell>
          <cell r="N376">
            <v>0.52053716800000005</v>
          </cell>
          <cell r="O376">
            <v>1.1242260000000001E-3</v>
          </cell>
          <cell r="P376">
            <v>0.70017963000000005</v>
          </cell>
          <cell r="Q376">
            <v>1.0854057E-2</v>
          </cell>
        </row>
        <row r="377">
          <cell r="D377">
            <v>140</v>
          </cell>
          <cell r="N377">
            <v>0.68874964000000005</v>
          </cell>
          <cell r="O377">
            <v>1.5422560000000001E-3</v>
          </cell>
          <cell r="P377">
            <v>0.70017963000000005</v>
          </cell>
          <cell r="Q377">
            <v>1.0854057E-2</v>
          </cell>
        </row>
        <row r="378">
          <cell r="D378">
            <v>113</v>
          </cell>
          <cell r="N378">
            <v>0.63329915599999997</v>
          </cell>
          <cell r="O378">
            <v>2.0734939999999999E-3</v>
          </cell>
          <cell r="P378">
            <v>0.70017963000000005</v>
          </cell>
          <cell r="Q378">
            <v>1.0854057E-2</v>
          </cell>
        </row>
        <row r="379">
          <cell r="D379">
            <v>246</v>
          </cell>
          <cell r="N379">
            <v>0.57068481599999998</v>
          </cell>
          <cell r="O379">
            <v>1.0000149999999999E-3</v>
          </cell>
          <cell r="P379">
            <v>0.70017963000000005</v>
          </cell>
          <cell r="Q379">
            <v>1.0854057E-2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pecies_comp_Region1_forR"/>
    </sheetNames>
    <sheetDataSet>
      <sheetData sheetId="0">
        <row r="2">
          <cell r="AB2">
            <v>0.47160923900000001</v>
          </cell>
        </row>
        <row r="10">
          <cell r="G10">
            <v>2890</v>
          </cell>
          <cell r="H10">
            <v>2146</v>
          </cell>
          <cell r="AD10">
            <v>0.99</v>
          </cell>
          <cell r="AE10">
            <v>3.2036300000000001E-6</v>
          </cell>
          <cell r="AF10">
            <v>0.96489930700000004</v>
          </cell>
          <cell r="AG10">
            <v>4.2331399999999999E-4</v>
          </cell>
          <cell r="AM10">
            <v>0.96505125800000002</v>
          </cell>
          <cell r="AN10">
            <v>1.57237E-5</v>
          </cell>
          <cell r="AO10">
            <v>0.87966501699999999</v>
          </cell>
          <cell r="AP10">
            <v>4.2596819999999999E-3</v>
          </cell>
          <cell r="AV10">
            <v>3.4948741999999998E-2</v>
          </cell>
          <cell r="AW10">
            <v>1.57237E-5</v>
          </cell>
          <cell r="AX10">
            <v>0.12033498300000001</v>
          </cell>
          <cell r="AY10">
            <v>4.2679450000000004E-3</v>
          </cell>
        </row>
        <row r="11">
          <cell r="G11">
            <v>3461</v>
          </cell>
          <cell r="H11">
            <v>1901</v>
          </cell>
          <cell r="AD11">
            <v>0.98786477900000003</v>
          </cell>
          <cell r="AE11">
            <v>3.46473E-6</v>
          </cell>
          <cell r="AF11">
            <v>0.96489930700000004</v>
          </cell>
          <cell r="AG11">
            <v>4.2331399999999999E-4</v>
          </cell>
          <cell r="AM11">
            <v>0.95686480799999996</v>
          </cell>
          <cell r="AN11">
            <v>2.1723399999999999E-5</v>
          </cell>
          <cell r="AO11">
            <v>0.87966501699999999</v>
          </cell>
          <cell r="AP11">
            <v>4.2596819999999999E-3</v>
          </cell>
          <cell r="AV11">
            <v>4.3135192000000003E-2</v>
          </cell>
          <cell r="AW11">
            <v>2.1723399999999999E-5</v>
          </cell>
          <cell r="AX11">
            <v>0.12033498300000001</v>
          </cell>
          <cell r="AY11">
            <v>4.2679450000000004E-3</v>
          </cell>
        </row>
        <row r="12">
          <cell r="G12">
            <v>5425</v>
          </cell>
          <cell r="H12">
            <v>2108</v>
          </cell>
          <cell r="AD12">
            <v>0.98654377900000001</v>
          </cell>
          <cell r="AE12">
            <v>2.4474800000000002E-6</v>
          </cell>
          <cell r="AF12">
            <v>0.96489930700000004</v>
          </cell>
          <cell r="AG12">
            <v>4.2331399999999999E-4</v>
          </cell>
          <cell r="AM12">
            <v>0.91935483900000003</v>
          </cell>
          <cell r="AN12">
            <v>3.5188200000000003E-5</v>
          </cell>
          <cell r="AO12">
            <v>0.87966501699999999</v>
          </cell>
          <cell r="AP12">
            <v>4.2596819999999999E-3</v>
          </cell>
          <cell r="AV12">
            <v>8.0645161000000007E-2</v>
          </cell>
          <cell r="AW12">
            <v>3.5188200000000003E-5</v>
          </cell>
          <cell r="AX12">
            <v>0.12033498300000001</v>
          </cell>
          <cell r="AY12">
            <v>4.2679450000000004E-3</v>
          </cell>
        </row>
        <row r="13">
          <cell r="G13">
            <v>2587</v>
          </cell>
          <cell r="H13">
            <v>1198</v>
          </cell>
          <cell r="AD13">
            <v>0.96443757200000002</v>
          </cell>
          <cell r="AE13">
            <v>1.32629E-5</v>
          </cell>
          <cell r="AF13">
            <v>0.96489930700000004</v>
          </cell>
          <cell r="AG13">
            <v>4.2331399999999999E-4</v>
          </cell>
          <cell r="AM13">
            <v>0.95909849700000005</v>
          </cell>
          <cell r="AN13">
            <v>3.2772399999999998E-5</v>
          </cell>
          <cell r="AO13">
            <v>0.87966501699999999</v>
          </cell>
          <cell r="AP13">
            <v>4.2596819999999999E-3</v>
          </cell>
          <cell r="AV13">
            <v>4.0901502999999999E-2</v>
          </cell>
          <cell r="AW13">
            <v>3.2772399999999998E-5</v>
          </cell>
          <cell r="AX13">
            <v>0.12033498300000001</v>
          </cell>
          <cell r="AY13">
            <v>4.2679450000000004E-3</v>
          </cell>
        </row>
        <row r="14">
          <cell r="G14">
            <v>5005</v>
          </cell>
          <cell r="H14">
            <v>2271</v>
          </cell>
          <cell r="AD14">
            <v>0.96323676300000005</v>
          </cell>
          <cell r="AE14">
            <v>7.0766799999999998E-6</v>
          </cell>
          <cell r="AF14">
            <v>0.96489930700000004</v>
          </cell>
          <cell r="AG14">
            <v>4.2331399999999999E-4</v>
          </cell>
          <cell r="AM14">
            <v>0.91193306900000004</v>
          </cell>
          <cell r="AN14">
            <v>3.5379400000000002E-5</v>
          </cell>
          <cell r="AO14">
            <v>0.87966501699999999</v>
          </cell>
          <cell r="AP14">
            <v>4.2596819999999999E-3</v>
          </cell>
          <cell r="AV14">
            <v>8.8066931000000001E-2</v>
          </cell>
          <cell r="AW14">
            <v>3.5379400000000002E-5</v>
          </cell>
          <cell r="AX14">
            <v>0.12033498300000001</v>
          </cell>
          <cell r="AY14">
            <v>4.2679450000000004E-3</v>
          </cell>
        </row>
        <row r="15">
          <cell r="G15">
            <v>6892</v>
          </cell>
          <cell r="H15">
            <v>1857</v>
          </cell>
          <cell r="AD15">
            <v>0.98026697600000001</v>
          </cell>
          <cell r="AE15">
            <v>2.8070899999999999E-6</v>
          </cell>
          <cell r="AF15">
            <v>0.96489930700000004</v>
          </cell>
          <cell r="AG15">
            <v>4.2331399999999999E-4</v>
          </cell>
          <cell r="AM15">
            <v>0.87506731299999996</v>
          </cell>
          <cell r="AN15">
            <v>5.8903300000000002E-5</v>
          </cell>
          <cell r="AO15">
            <v>0.87966501699999999</v>
          </cell>
          <cell r="AP15">
            <v>4.2596819999999999E-3</v>
          </cell>
          <cell r="AV15">
            <v>0.124932687</v>
          </cell>
          <cell r="AW15">
            <v>5.8903300000000002E-5</v>
          </cell>
          <cell r="AX15">
            <v>0.12033498300000001</v>
          </cell>
          <cell r="AY15">
            <v>4.2679450000000004E-3</v>
          </cell>
        </row>
        <row r="16">
          <cell r="G16">
            <v>6287</v>
          </cell>
          <cell r="H16">
            <v>2156</v>
          </cell>
          <cell r="AD16">
            <v>0.97152855100000002</v>
          </cell>
          <cell r="AE16">
            <v>4.4003900000000004E-6</v>
          </cell>
          <cell r="AF16">
            <v>0.96489930700000004</v>
          </cell>
          <cell r="AG16">
            <v>4.2331399999999999E-4</v>
          </cell>
          <cell r="AM16">
            <v>0.90166975900000002</v>
          </cell>
          <cell r="AN16">
            <v>4.1142200000000001E-5</v>
          </cell>
          <cell r="AO16">
            <v>0.87966501699999999</v>
          </cell>
          <cell r="AP16">
            <v>4.2596819999999999E-3</v>
          </cell>
          <cell r="AV16">
            <v>9.8330240999999999E-2</v>
          </cell>
          <cell r="AW16">
            <v>4.1142200000000001E-5</v>
          </cell>
          <cell r="AX16">
            <v>0.12033498300000001</v>
          </cell>
          <cell r="AY16">
            <v>4.2679450000000004E-3</v>
          </cell>
        </row>
        <row r="17">
          <cell r="G17">
            <v>9913</v>
          </cell>
          <cell r="H17">
            <v>2436</v>
          </cell>
          <cell r="AD17">
            <v>0.98436396699999995</v>
          </cell>
          <cell r="AE17">
            <v>1.5528199999999999E-6</v>
          </cell>
          <cell r="AF17">
            <v>0.96489930700000004</v>
          </cell>
          <cell r="AG17">
            <v>4.2331399999999999E-4</v>
          </cell>
          <cell r="AM17">
            <v>0.84113300499999999</v>
          </cell>
          <cell r="AN17">
            <v>5.4878099999999999E-5</v>
          </cell>
          <cell r="AO17">
            <v>0.87966501699999999</v>
          </cell>
          <cell r="AP17">
            <v>4.2596819999999999E-3</v>
          </cell>
          <cell r="AV17">
            <v>0.15886699500000001</v>
          </cell>
          <cell r="AW17">
            <v>5.4878099999999999E-5</v>
          </cell>
          <cell r="AX17">
            <v>0.12033498300000001</v>
          </cell>
          <cell r="AY17">
            <v>4.2679450000000004E-3</v>
          </cell>
        </row>
        <row r="18">
          <cell r="G18">
            <v>8002</v>
          </cell>
          <cell r="H18">
            <v>1960</v>
          </cell>
          <cell r="AD18">
            <v>0.95826043500000002</v>
          </cell>
          <cell r="AE18">
            <v>4.99905E-6</v>
          </cell>
          <cell r="AF18">
            <v>0.96489930700000004</v>
          </cell>
          <cell r="AG18">
            <v>4.2331399999999999E-4</v>
          </cell>
          <cell r="AM18">
            <v>0.78010204100000002</v>
          </cell>
          <cell r="AN18">
            <v>8.7566500000000003E-5</v>
          </cell>
          <cell r="AO18">
            <v>0.87966501699999999</v>
          </cell>
          <cell r="AP18">
            <v>4.2596819999999999E-3</v>
          </cell>
          <cell r="AV18">
            <v>0.219897959</v>
          </cell>
          <cell r="AW18">
            <v>8.7566500000000003E-5</v>
          </cell>
          <cell r="AX18">
            <v>0.12033498300000001</v>
          </cell>
          <cell r="AY18">
            <v>4.2679450000000004E-3</v>
          </cell>
        </row>
        <row r="19">
          <cell r="G19">
            <v>9405</v>
          </cell>
          <cell r="H19">
            <v>2691</v>
          </cell>
          <cell r="AD19">
            <v>0.97065390699999998</v>
          </cell>
          <cell r="AE19">
            <v>3.0290199999999998E-6</v>
          </cell>
          <cell r="AF19">
            <v>0.96489930700000004</v>
          </cell>
          <cell r="AG19">
            <v>4.2331399999999999E-4</v>
          </cell>
          <cell r="AM19">
            <v>0.863247863</v>
          </cell>
          <cell r="AN19">
            <v>4.3885099999999998E-5</v>
          </cell>
          <cell r="AO19">
            <v>0.87966501699999999</v>
          </cell>
          <cell r="AP19">
            <v>4.2596819999999999E-3</v>
          </cell>
          <cell r="AV19">
            <v>0.136752137</v>
          </cell>
          <cell r="AW19">
            <v>4.3885099999999998E-5</v>
          </cell>
          <cell r="AX19">
            <v>0.12033498300000001</v>
          </cell>
          <cell r="AY19">
            <v>4.2679450000000004E-3</v>
          </cell>
        </row>
        <row r="20">
          <cell r="G20">
            <v>7290</v>
          </cell>
          <cell r="H20">
            <v>2237</v>
          </cell>
          <cell r="AD20">
            <v>0.94855967100000005</v>
          </cell>
          <cell r="AE20">
            <v>6.6942299999999998E-6</v>
          </cell>
          <cell r="AF20">
            <v>0.96489930700000004</v>
          </cell>
          <cell r="AG20">
            <v>4.2331399999999999E-4</v>
          </cell>
          <cell r="AM20">
            <v>0.86723290099999994</v>
          </cell>
          <cell r="AN20">
            <v>5.1493699999999998E-5</v>
          </cell>
          <cell r="AO20">
            <v>0.87966501699999999</v>
          </cell>
          <cell r="AP20">
            <v>4.2596819999999999E-3</v>
          </cell>
          <cell r="AV20">
            <v>0.132767099</v>
          </cell>
          <cell r="AW20">
            <v>5.1493699999999998E-5</v>
          </cell>
          <cell r="AX20">
            <v>0.12033498300000001</v>
          </cell>
          <cell r="AY20">
            <v>4.2679450000000004E-3</v>
          </cell>
        </row>
        <row r="21">
          <cell r="G21">
            <v>7463</v>
          </cell>
          <cell r="H21">
            <v>1932</v>
          </cell>
          <cell r="AD21">
            <v>0.93487873499999996</v>
          </cell>
          <cell r="AE21">
            <v>8.1587399999999997E-6</v>
          </cell>
          <cell r="AF21">
            <v>0.96489930700000004</v>
          </cell>
          <cell r="AG21">
            <v>4.2331399999999999E-4</v>
          </cell>
          <cell r="AM21">
            <v>0.79658385099999995</v>
          </cell>
          <cell r="AN21">
            <v>8.3913999999999997E-5</v>
          </cell>
          <cell r="AO21">
            <v>0.87966501699999999</v>
          </cell>
          <cell r="AP21">
            <v>4.2596819999999999E-3</v>
          </cell>
          <cell r="AV21">
            <v>0.20341614899999999</v>
          </cell>
          <cell r="AW21">
            <v>8.3913999999999997E-5</v>
          </cell>
          <cell r="AX21">
            <v>0.12033498300000001</v>
          </cell>
          <cell r="AY21">
            <v>4.2679450000000004E-3</v>
          </cell>
        </row>
        <row r="22">
          <cell r="G22">
            <v>9033</v>
          </cell>
          <cell r="H22">
            <v>2109</v>
          </cell>
          <cell r="AD22">
            <v>0.93213771700000003</v>
          </cell>
          <cell r="AE22">
            <v>7.0036500000000003E-6</v>
          </cell>
          <cell r="AF22">
            <v>0.96489930700000004</v>
          </cell>
          <cell r="AG22">
            <v>4.2331399999999999E-4</v>
          </cell>
          <cell r="AM22">
            <v>0.76529160699999998</v>
          </cell>
          <cell r="AN22">
            <v>8.5208899999999997E-5</v>
          </cell>
          <cell r="AO22">
            <v>0.87966501699999999</v>
          </cell>
          <cell r="AP22">
            <v>4.2596819999999999E-3</v>
          </cell>
          <cell r="AV22">
            <v>0.23470839299999999</v>
          </cell>
          <cell r="AW22">
            <v>8.5208899999999997E-5</v>
          </cell>
          <cell r="AX22">
            <v>0.12033498300000001</v>
          </cell>
          <cell r="AY22">
            <v>4.2679450000000004E-3</v>
          </cell>
        </row>
        <row r="32">
          <cell r="D32">
            <v>518</v>
          </cell>
          <cell r="J32">
            <v>0.175675676</v>
          </cell>
          <cell r="K32">
            <v>2.8010399999999999E-4</v>
          </cell>
          <cell r="L32">
            <v>0.143502775</v>
          </cell>
          <cell r="M32">
            <v>1.71893E-3</v>
          </cell>
          <cell r="N32">
            <v>0.53667953700000004</v>
          </cell>
          <cell r="O32">
            <v>4.8095700000000001E-4</v>
          </cell>
          <cell r="P32">
            <v>0.56494793700000001</v>
          </cell>
          <cell r="Q32">
            <v>1.0198659999999999E-3</v>
          </cell>
          <cell r="AI32">
            <v>0.405405405</v>
          </cell>
          <cell r="AJ32">
            <v>4.6625099999999999E-4</v>
          </cell>
          <cell r="AK32">
            <v>0.35462844799999999</v>
          </cell>
          <cell r="AL32">
            <v>1.1414210000000001E-3</v>
          </cell>
          <cell r="AR32">
            <v>3.2818532999999997E-2</v>
          </cell>
          <cell r="AS32">
            <v>6.1395499999999999E-5</v>
          </cell>
          <cell r="AT32">
            <v>4.0472332999999999E-2</v>
          </cell>
          <cell r="AU32">
            <v>4.72614E-4</v>
          </cell>
        </row>
        <row r="33">
          <cell r="D33">
            <v>356</v>
          </cell>
          <cell r="J33">
            <v>0.18820224699999999</v>
          </cell>
          <cell r="K33">
            <v>4.3037199999999999E-4</v>
          </cell>
          <cell r="L33">
            <v>0.143502775</v>
          </cell>
          <cell r="M33">
            <v>1.71893E-3</v>
          </cell>
          <cell r="N33">
            <v>0.56741573000000001</v>
          </cell>
          <cell r="O33">
            <v>6.9142300000000004E-4</v>
          </cell>
          <cell r="P33">
            <v>0.56494793700000001</v>
          </cell>
          <cell r="Q33">
            <v>1.0198659999999999E-3</v>
          </cell>
          <cell r="AI33">
            <v>0.35674157299999998</v>
          </cell>
          <cell r="AJ33">
            <v>6.4641399999999999E-4</v>
          </cell>
          <cell r="AK33">
            <v>0.35462844799999999</v>
          </cell>
          <cell r="AL33">
            <v>1.1414210000000001E-3</v>
          </cell>
          <cell r="AR33">
            <v>1.4044944E-2</v>
          </cell>
          <cell r="AS33">
            <v>3.9007600000000002E-5</v>
          </cell>
          <cell r="AT33">
            <v>4.0472332999999999E-2</v>
          </cell>
          <cell r="AU33">
            <v>4.72614E-4</v>
          </cell>
        </row>
        <row r="34">
          <cell r="D34">
            <v>526</v>
          </cell>
          <cell r="J34">
            <v>0.10836501900000001</v>
          </cell>
          <cell r="K34">
            <v>1.8404200000000001E-4</v>
          </cell>
          <cell r="L34">
            <v>0.143502775</v>
          </cell>
          <cell r="M34">
            <v>1.71893E-3</v>
          </cell>
          <cell r="N34">
            <v>0.577946768</v>
          </cell>
          <cell r="O34">
            <v>4.6461799999999998E-4</v>
          </cell>
          <cell r="P34">
            <v>0.56494793700000001</v>
          </cell>
          <cell r="Q34">
            <v>1.0198659999999999E-3</v>
          </cell>
          <cell r="AI34">
            <v>0.365019011</v>
          </cell>
          <cell r="AJ34">
            <v>4.4148599999999999E-4</v>
          </cell>
          <cell r="AK34">
            <v>0.35462844799999999</v>
          </cell>
          <cell r="AL34">
            <v>1.1414210000000001E-3</v>
          </cell>
          <cell r="AR34">
            <v>1.5209125E-2</v>
          </cell>
          <cell r="AS34">
            <v>2.8529200000000001E-5</v>
          </cell>
          <cell r="AT34">
            <v>4.0472332999999999E-2</v>
          </cell>
          <cell r="AU34">
            <v>4.72614E-4</v>
          </cell>
        </row>
        <row r="35">
          <cell r="D35">
            <v>390</v>
          </cell>
          <cell r="J35">
            <v>0.1</v>
          </cell>
          <cell r="K35">
            <v>2.3136200000000001E-4</v>
          </cell>
          <cell r="L35">
            <v>0.143502775</v>
          </cell>
          <cell r="M35">
            <v>1.71893E-3</v>
          </cell>
          <cell r="N35">
            <v>0.58461538499999999</v>
          </cell>
          <cell r="O35">
            <v>6.2426799999999998E-4</v>
          </cell>
          <cell r="P35">
            <v>0.56494793700000001</v>
          </cell>
          <cell r="Q35">
            <v>1.0198659999999999E-3</v>
          </cell>
          <cell r="AI35">
            <v>0.38461538499999998</v>
          </cell>
          <cell r="AJ35">
            <v>6.0844800000000004E-4</v>
          </cell>
          <cell r="AK35">
            <v>0.35462844799999999</v>
          </cell>
          <cell r="AL35">
            <v>1.1414210000000001E-3</v>
          </cell>
          <cell r="AR35">
            <v>1.0256410000000001E-2</v>
          </cell>
          <cell r="AS35">
            <v>2.6095700000000002E-5</v>
          </cell>
          <cell r="AT35">
            <v>4.0472332999999999E-2</v>
          </cell>
          <cell r="AU35">
            <v>4.72614E-4</v>
          </cell>
        </row>
        <row r="36">
          <cell r="D36">
            <v>909</v>
          </cell>
          <cell r="J36">
            <v>0.100110011</v>
          </cell>
          <cell r="K36">
            <v>9.92159E-5</v>
          </cell>
          <cell r="L36">
            <v>0.143502775</v>
          </cell>
          <cell r="M36">
            <v>1.71893E-3</v>
          </cell>
          <cell r="N36">
            <v>0.58745874600000003</v>
          </cell>
          <cell r="O36">
            <v>2.6690600000000002E-4</v>
          </cell>
          <cell r="P36">
            <v>0.56494793700000001</v>
          </cell>
          <cell r="Q36">
            <v>1.0198659999999999E-3</v>
          </cell>
          <cell r="AI36">
            <v>0.32013201299999999</v>
          </cell>
          <cell r="AJ36">
            <v>2.397E-4</v>
          </cell>
          <cell r="AK36">
            <v>0.35462844799999999</v>
          </cell>
          <cell r="AL36">
            <v>1.1414210000000001E-3</v>
          </cell>
          <cell r="AR36">
            <v>2.530253E-2</v>
          </cell>
          <cell r="AS36">
            <v>2.71611E-5</v>
          </cell>
          <cell r="AT36">
            <v>4.0472332999999999E-2</v>
          </cell>
          <cell r="AU36">
            <v>4.72614E-4</v>
          </cell>
        </row>
        <row r="37">
          <cell r="D37">
            <v>714</v>
          </cell>
          <cell r="J37">
            <v>0.17507002799999999</v>
          </cell>
          <cell r="K37">
            <v>2.0255300000000001E-4</v>
          </cell>
          <cell r="L37">
            <v>0.143502775</v>
          </cell>
          <cell r="M37">
            <v>1.71893E-3</v>
          </cell>
          <cell r="N37">
            <v>0.53781512600000003</v>
          </cell>
          <cell r="O37">
            <v>3.4862599999999999E-4</v>
          </cell>
          <cell r="P37">
            <v>0.56494793700000001</v>
          </cell>
          <cell r="Q37">
            <v>1.0198659999999999E-3</v>
          </cell>
          <cell r="AI37">
            <v>0.38095238100000001</v>
          </cell>
          <cell r="AJ37">
            <v>3.30754E-4</v>
          </cell>
          <cell r="AK37">
            <v>0.35462844799999999</v>
          </cell>
          <cell r="AL37">
            <v>1.1414210000000001E-3</v>
          </cell>
          <cell r="AR37">
            <v>4.9019607999999999E-2</v>
          </cell>
          <cell r="AS37">
            <v>6.5381000000000003E-5</v>
          </cell>
          <cell r="AT37">
            <v>4.0472332999999999E-2</v>
          </cell>
          <cell r="AU37">
            <v>4.72614E-4</v>
          </cell>
        </row>
        <row r="38">
          <cell r="D38">
            <v>669</v>
          </cell>
          <cell r="J38">
            <v>0.14499252600000001</v>
          </cell>
          <cell r="K38">
            <v>1.8558299999999999E-4</v>
          </cell>
          <cell r="L38">
            <v>0.143502775</v>
          </cell>
          <cell r="M38">
            <v>1.71893E-3</v>
          </cell>
          <cell r="N38">
            <v>0.58744394600000005</v>
          </cell>
          <cell r="O38">
            <v>3.6280500000000001E-4</v>
          </cell>
          <cell r="P38">
            <v>0.56494793700000001</v>
          </cell>
          <cell r="Q38">
            <v>1.0198659999999999E-3</v>
          </cell>
          <cell r="AI38">
            <v>0.34678624800000002</v>
          </cell>
          <cell r="AJ38">
            <v>3.3911E-4</v>
          </cell>
          <cell r="AK38">
            <v>0.35462844799999999</v>
          </cell>
          <cell r="AL38">
            <v>1.1414210000000001E-3</v>
          </cell>
          <cell r="AR38">
            <v>4.1853513000000002E-2</v>
          </cell>
          <cell r="AS38">
            <v>6.0032599999999998E-5</v>
          </cell>
          <cell r="AT38">
            <v>4.0472332999999999E-2</v>
          </cell>
          <cell r="AU38">
            <v>4.72614E-4</v>
          </cell>
        </row>
        <row r="39">
          <cell r="D39">
            <v>918</v>
          </cell>
          <cell r="J39">
            <v>9.9128540000000001E-2</v>
          </cell>
          <cell r="K39">
            <v>9.7385000000000004E-5</v>
          </cell>
          <cell r="L39">
            <v>0.143502775</v>
          </cell>
          <cell r="M39">
            <v>1.71893E-3</v>
          </cell>
          <cell r="N39">
            <v>0.60239651400000005</v>
          </cell>
          <cell r="O39">
            <v>2.6119400000000002E-4</v>
          </cell>
          <cell r="P39">
            <v>0.56494793700000001</v>
          </cell>
          <cell r="Q39">
            <v>1.0198659999999999E-3</v>
          </cell>
          <cell r="AI39">
            <v>0.31481481500000003</v>
          </cell>
          <cell r="AJ39">
            <v>2.35231E-4</v>
          </cell>
          <cell r="AK39">
            <v>0.35462844799999999</v>
          </cell>
          <cell r="AL39">
            <v>1.1414210000000001E-3</v>
          </cell>
          <cell r="AR39">
            <v>4.6840959000000001E-2</v>
          </cell>
          <cell r="AS39">
            <v>4.8687999999999999E-5</v>
          </cell>
          <cell r="AT39">
            <v>4.0472332999999999E-2</v>
          </cell>
          <cell r="AU39">
            <v>4.72614E-4</v>
          </cell>
        </row>
        <row r="40">
          <cell r="D40">
            <v>1060</v>
          </cell>
          <cell r="J40">
            <v>9.4339622999999997E-2</v>
          </cell>
          <cell r="K40">
            <v>8.0679600000000006E-5</v>
          </cell>
          <cell r="L40">
            <v>0.143502775</v>
          </cell>
          <cell r="M40">
            <v>1.71893E-3</v>
          </cell>
          <cell r="N40">
            <v>0.57264150899999999</v>
          </cell>
          <cell r="O40">
            <v>2.31089E-4</v>
          </cell>
          <cell r="P40">
            <v>0.56494793700000001</v>
          </cell>
          <cell r="Q40">
            <v>1.0198659999999999E-3</v>
          </cell>
          <cell r="AI40">
            <v>0.29716981100000001</v>
          </cell>
          <cell r="AJ40">
            <v>1.9722399999999999E-4</v>
          </cell>
          <cell r="AK40">
            <v>0.35462844799999999</v>
          </cell>
          <cell r="AL40">
            <v>1.1414210000000001E-3</v>
          </cell>
          <cell r="AR40">
            <v>7.9245283E-2</v>
          </cell>
          <cell r="AS40">
            <v>6.8900300000000002E-5</v>
          </cell>
          <cell r="AT40">
            <v>4.0472332999999999E-2</v>
          </cell>
          <cell r="AU40">
            <v>4.72614E-4</v>
          </cell>
        </row>
        <row r="41">
          <cell r="D41">
            <v>1067</v>
          </cell>
          <cell r="J41">
            <v>0.121836926</v>
          </cell>
          <cell r="K41">
            <v>1.00368E-4</v>
          </cell>
          <cell r="L41">
            <v>0.143502775</v>
          </cell>
          <cell r="M41">
            <v>1.71893E-3</v>
          </cell>
          <cell r="N41">
            <v>0.58013120900000004</v>
          </cell>
          <cell r="O41">
            <v>2.2849799999999999E-4</v>
          </cell>
          <cell r="P41">
            <v>0.56494793700000001</v>
          </cell>
          <cell r="Q41">
            <v>1.0198659999999999E-3</v>
          </cell>
          <cell r="AI41">
            <v>0.34582942799999999</v>
          </cell>
          <cell r="AJ41">
            <v>2.12225E-4</v>
          </cell>
          <cell r="AK41">
            <v>0.35462844799999999</v>
          </cell>
          <cell r="AL41">
            <v>1.1414210000000001E-3</v>
          </cell>
          <cell r="AR41">
            <v>4.3111528000000003E-2</v>
          </cell>
          <cell r="AS41">
            <v>3.8698800000000003E-5</v>
          </cell>
          <cell r="AT41">
            <v>4.0472332999999999E-2</v>
          </cell>
          <cell r="AU41">
            <v>4.72614E-4</v>
          </cell>
        </row>
        <row r="42">
          <cell r="D42">
            <v>1172</v>
          </cell>
          <cell r="J42">
            <v>0.12372013699999999</v>
          </cell>
          <cell r="K42">
            <v>9.2582000000000002E-5</v>
          </cell>
          <cell r="L42">
            <v>0.143502775</v>
          </cell>
          <cell r="M42">
            <v>1.71893E-3</v>
          </cell>
          <cell r="N42">
            <v>0.511945392</v>
          </cell>
          <cell r="O42">
            <v>2.1337099999999999E-4</v>
          </cell>
          <cell r="P42">
            <v>0.56494793700000001</v>
          </cell>
          <cell r="Q42">
            <v>1.0198659999999999E-3</v>
          </cell>
          <cell r="AI42">
            <v>0.37969283300000001</v>
          </cell>
          <cell r="AJ42">
            <v>2.0113299999999999E-4</v>
          </cell>
          <cell r="AK42">
            <v>0.35462844799999999</v>
          </cell>
          <cell r="AL42">
            <v>1.1414210000000001E-3</v>
          </cell>
          <cell r="AR42">
            <v>7.3378840000000001E-2</v>
          </cell>
          <cell r="AS42">
            <v>5.8065200000000001E-5</v>
          </cell>
          <cell r="AT42">
            <v>4.0472332999999999E-2</v>
          </cell>
          <cell r="AU42">
            <v>4.72614E-4</v>
          </cell>
        </row>
        <row r="43">
          <cell r="D43">
            <v>764</v>
          </cell>
          <cell r="J43">
            <v>0.20811518300000001</v>
          </cell>
          <cell r="K43">
            <v>2.1599400000000001E-4</v>
          </cell>
          <cell r="L43">
            <v>0.143502775</v>
          </cell>
          <cell r="M43">
            <v>1.71893E-3</v>
          </cell>
          <cell r="N43">
            <v>0.503926702</v>
          </cell>
          <cell r="O43">
            <v>3.2763399999999999E-4</v>
          </cell>
          <cell r="P43">
            <v>0.56494793700000001</v>
          </cell>
          <cell r="Q43">
            <v>1.0198659999999999E-3</v>
          </cell>
          <cell r="AI43">
            <v>0.40052356</v>
          </cell>
          <cell r="AJ43">
            <v>3.1468499999999999E-4</v>
          </cell>
          <cell r="AK43">
            <v>0.35462844799999999</v>
          </cell>
          <cell r="AL43">
            <v>1.1414210000000001E-3</v>
          </cell>
          <cell r="AR43">
            <v>6.6753927000000005E-2</v>
          </cell>
          <cell r="AS43">
            <v>8.1648499999999996E-5</v>
          </cell>
          <cell r="AT43">
            <v>4.0472332999999999E-2</v>
          </cell>
          <cell r="AU43">
            <v>4.72614E-4</v>
          </cell>
        </row>
        <row r="44">
          <cell r="D44">
            <v>786</v>
          </cell>
          <cell r="J44">
            <v>0.17302798999999999</v>
          </cell>
          <cell r="K44">
            <v>1.8227900000000001E-4</v>
          </cell>
          <cell r="L44">
            <v>0.143502775</v>
          </cell>
          <cell r="M44">
            <v>1.71893E-3</v>
          </cell>
          <cell r="N44">
            <v>0.60050890599999995</v>
          </cell>
          <cell r="O44">
            <v>3.0560199999999998E-4</v>
          </cell>
          <cell r="P44">
            <v>0.56494793700000001</v>
          </cell>
          <cell r="Q44">
            <v>1.0198659999999999E-3</v>
          </cell>
          <cell r="AI44">
            <v>0.32442748100000002</v>
          </cell>
          <cell r="AJ44">
            <v>2.79203E-4</v>
          </cell>
          <cell r="AK44">
            <v>0.35462844799999999</v>
          </cell>
          <cell r="AL44">
            <v>1.1414210000000001E-3</v>
          </cell>
          <cell r="AR44">
            <v>4.0712468000000002E-2</v>
          </cell>
          <cell r="AS44">
            <v>4.97515E-5</v>
          </cell>
          <cell r="AT44">
            <v>4.0472332999999999E-2</v>
          </cell>
          <cell r="AU44">
            <v>4.72614E-4</v>
          </cell>
        </row>
        <row r="142">
          <cell r="G142">
            <v>339</v>
          </cell>
          <cell r="H142">
            <v>351</v>
          </cell>
          <cell r="AD142">
            <v>0.92330383500000002</v>
          </cell>
          <cell r="AE142">
            <v>2.0950799999999999E-4</v>
          </cell>
          <cell r="AF142">
            <v>0.71222023499999998</v>
          </cell>
          <cell r="AG142">
            <v>6.5559435999999999E-2</v>
          </cell>
          <cell r="AM142">
            <v>0.92877492900000003</v>
          </cell>
          <cell r="AN142">
            <v>1.89006E-4</v>
          </cell>
          <cell r="AO142">
            <v>0.82692465400000004</v>
          </cell>
          <cell r="AP142">
            <v>1.161425E-2</v>
          </cell>
          <cell r="AV142">
            <v>7.1225071000000001E-2</v>
          </cell>
          <cell r="AW142">
            <v>1.89006E-4</v>
          </cell>
          <cell r="AX142">
            <v>0.20680934300000001</v>
          </cell>
          <cell r="AY142">
            <v>2.4673001E-2</v>
          </cell>
        </row>
        <row r="143">
          <cell r="G143">
            <v>369</v>
          </cell>
          <cell r="H143">
            <v>360</v>
          </cell>
          <cell r="AD143">
            <v>0.96747967499999998</v>
          </cell>
          <cell r="AE143">
            <v>8.5496599999999997E-5</v>
          </cell>
          <cell r="AF143">
            <v>0.71222023499999998</v>
          </cell>
          <cell r="AG143">
            <v>6.5559435999999999E-2</v>
          </cell>
          <cell r="AM143">
            <v>0.96666666700000003</v>
          </cell>
          <cell r="AN143">
            <v>8.9755500000000005E-5</v>
          </cell>
          <cell r="AO143">
            <v>0.82692465400000004</v>
          </cell>
          <cell r="AP143">
            <v>1.161425E-2</v>
          </cell>
          <cell r="AV143">
            <v>3.3333333E-2</v>
          </cell>
          <cell r="AW143">
            <v>8.9755500000000005E-5</v>
          </cell>
          <cell r="AX143">
            <v>0.20680934300000001</v>
          </cell>
          <cell r="AY143">
            <v>2.4673001E-2</v>
          </cell>
        </row>
        <row r="144">
          <cell r="G144">
            <v>782</v>
          </cell>
          <cell r="H144">
            <v>512</v>
          </cell>
          <cell r="AD144">
            <v>0.955242967</v>
          </cell>
          <cell r="AE144">
            <v>5.47424E-5</v>
          </cell>
          <cell r="AF144">
            <v>0.71222023499999998</v>
          </cell>
          <cell r="AG144">
            <v>6.5559435999999999E-2</v>
          </cell>
          <cell r="AM144">
            <v>0.947265625</v>
          </cell>
          <cell r="AN144">
            <v>9.7756299999999998E-5</v>
          </cell>
          <cell r="AO144">
            <v>0.82692465400000004</v>
          </cell>
          <cell r="AP144">
            <v>1.161425E-2</v>
          </cell>
          <cell r="AV144">
            <v>5.2734375E-2</v>
          </cell>
          <cell r="AW144">
            <v>9.7756299999999998E-5</v>
          </cell>
          <cell r="AX144">
            <v>0.20680934300000001</v>
          </cell>
          <cell r="AY144">
            <v>2.4673001E-2</v>
          </cell>
        </row>
        <row r="145">
          <cell r="G145">
            <v>458</v>
          </cell>
          <cell r="H145">
            <v>297</v>
          </cell>
          <cell r="AD145">
            <v>0.83406113500000001</v>
          </cell>
          <cell r="AE145">
            <v>3.0285199999999999E-4</v>
          </cell>
          <cell r="AF145">
            <v>0.71222023499999998</v>
          </cell>
          <cell r="AG145">
            <v>6.5559435999999999E-2</v>
          </cell>
          <cell r="AM145">
            <v>0.87542087499999999</v>
          </cell>
          <cell r="AN145">
            <v>3.6844299999999998E-4</v>
          </cell>
          <cell r="AO145">
            <v>0.82692465400000004</v>
          </cell>
          <cell r="AP145">
            <v>1.161425E-2</v>
          </cell>
          <cell r="AV145">
            <v>0.124579125</v>
          </cell>
          <cell r="AW145">
            <v>3.6844299999999998E-4</v>
          </cell>
          <cell r="AX145">
            <v>0.20680934300000001</v>
          </cell>
          <cell r="AY145">
            <v>2.4673001E-2</v>
          </cell>
        </row>
        <row r="146">
          <cell r="G146">
            <v>583</v>
          </cell>
          <cell r="H146">
            <v>387</v>
          </cell>
          <cell r="AD146">
            <v>0.83190394499999998</v>
          </cell>
          <cell r="AE146">
            <v>2.40275E-4</v>
          </cell>
          <cell r="AF146">
            <v>0.71222023499999998</v>
          </cell>
          <cell r="AG146">
            <v>6.5559435999999999E-2</v>
          </cell>
          <cell r="AM146">
            <v>0.91214470299999995</v>
          </cell>
          <cell r="AN146">
            <v>2.07608E-4</v>
          </cell>
          <cell r="AO146">
            <v>0.82692465400000004</v>
          </cell>
          <cell r="AP146">
            <v>1.161425E-2</v>
          </cell>
          <cell r="AV146">
            <v>8.7855296999999999E-2</v>
          </cell>
          <cell r="AW146">
            <v>2.07608E-4</v>
          </cell>
          <cell r="AX146">
            <v>0.20680934300000001</v>
          </cell>
          <cell r="AY146">
            <v>2.4673001E-2</v>
          </cell>
        </row>
        <row r="147">
          <cell r="G147">
            <v>523</v>
          </cell>
          <cell r="H147">
            <v>255</v>
          </cell>
          <cell r="AD147">
            <v>0.93116634799999998</v>
          </cell>
          <cell r="AE147">
            <v>1.22788E-4</v>
          </cell>
          <cell r="AF147">
            <v>0.71222023499999998</v>
          </cell>
          <cell r="AG147">
            <v>6.5559435999999999E-2</v>
          </cell>
          <cell r="AM147">
            <v>0.86666666699999995</v>
          </cell>
          <cell r="AN147">
            <v>4.5494300000000002E-4</v>
          </cell>
          <cell r="AO147">
            <v>0.82692465400000004</v>
          </cell>
          <cell r="AP147">
            <v>1.161425E-2</v>
          </cell>
          <cell r="AV147">
            <v>0.133333333</v>
          </cell>
          <cell r="AW147">
            <v>4.5494300000000002E-4</v>
          </cell>
          <cell r="AX147">
            <v>0.20680934300000001</v>
          </cell>
          <cell r="AY147">
            <v>2.4673001E-2</v>
          </cell>
        </row>
        <row r="148">
          <cell r="G148">
            <v>573</v>
          </cell>
          <cell r="H148">
            <v>325</v>
          </cell>
          <cell r="AD148">
            <v>0.86212914500000004</v>
          </cell>
          <cell r="AE148">
            <v>2.0780199999999999E-4</v>
          </cell>
          <cell r="AF148">
            <v>0.71222023499999998</v>
          </cell>
          <cell r="AG148">
            <v>6.5559435999999999E-2</v>
          </cell>
          <cell r="AM148">
            <v>0.87692307700000005</v>
          </cell>
          <cell r="AN148">
            <v>3.3311400000000002E-4</v>
          </cell>
          <cell r="AO148">
            <v>0.82692465400000004</v>
          </cell>
          <cell r="AP148">
            <v>1.161425E-2</v>
          </cell>
          <cell r="AV148">
            <v>0.123076923</v>
          </cell>
          <cell r="AW148">
            <v>3.3311400000000002E-4</v>
          </cell>
          <cell r="AX148">
            <v>0.20680934300000001</v>
          </cell>
          <cell r="AY148">
            <v>2.4673001E-2</v>
          </cell>
        </row>
        <row r="149">
          <cell r="G149">
            <v>621</v>
          </cell>
          <cell r="H149">
            <v>317</v>
          </cell>
          <cell r="AD149">
            <v>0.75684379999999996</v>
          </cell>
          <cell r="AE149">
            <v>2.9682500000000002E-4</v>
          </cell>
          <cell r="AF149">
            <v>0.71222023499999998</v>
          </cell>
          <cell r="AG149">
            <v>6.5559435999999999E-2</v>
          </cell>
          <cell r="AM149">
            <v>0.70031545699999997</v>
          </cell>
          <cell r="AN149">
            <v>6.6415699999999996E-4</v>
          </cell>
          <cell r="AO149">
            <v>0.82692465400000004</v>
          </cell>
          <cell r="AP149">
            <v>1.161425E-2</v>
          </cell>
          <cell r="AV149">
            <v>0.30283911699999999</v>
          </cell>
          <cell r="AW149">
            <v>6.6812499999999999E-4</v>
          </cell>
          <cell r="AX149">
            <v>0.20680934300000001</v>
          </cell>
          <cell r="AY149">
            <v>2.4673001E-2</v>
          </cell>
        </row>
        <row r="150">
          <cell r="G150">
            <v>763</v>
          </cell>
          <cell r="H150">
            <v>321</v>
          </cell>
          <cell r="AD150">
            <v>0.70642201800000004</v>
          </cell>
          <cell r="AE150">
            <v>2.7216499999999999E-4</v>
          </cell>
          <cell r="AF150">
            <v>0.71222023499999998</v>
          </cell>
          <cell r="AG150">
            <v>6.5559435999999999E-2</v>
          </cell>
          <cell r="AM150">
            <v>0.76947040499999997</v>
          </cell>
          <cell r="AN150">
            <v>5.5433000000000001E-4</v>
          </cell>
          <cell r="AO150">
            <v>0.82692465400000004</v>
          </cell>
          <cell r="AP150">
            <v>1.161425E-2</v>
          </cell>
          <cell r="AV150">
            <v>0.230529595</v>
          </cell>
          <cell r="AW150">
            <v>5.5433000000000001E-4</v>
          </cell>
          <cell r="AX150">
            <v>0.20680934300000001</v>
          </cell>
          <cell r="AY150">
            <v>2.4673001E-2</v>
          </cell>
        </row>
        <row r="151">
          <cell r="G151">
            <v>1044</v>
          </cell>
          <cell r="H151">
            <v>445</v>
          </cell>
          <cell r="AD151">
            <v>0.80268199200000001</v>
          </cell>
          <cell r="AE151">
            <v>1.5185400000000001E-4</v>
          </cell>
          <cell r="AF151">
            <v>0.71222023499999998</v>
          </cell>
          <cell r="AG151">
            <v>6.5559435999999999E-2</v>
          </cell>
          <cell r="AM151">
            <v>0.87191011200000001</v>
          </cell>
          <cell r="AN151">
            <v>2.5153799999999999E-4</v>
          </cell>
          <cell r="AO151">
            <v>0.82692465400000004</v>
          </cell>
          <cell r="AP151">
            <v>1.161425E-2</v>
          </cell>
          <cell r="AV151">
            <v>0.12808988800000001</v>
          </cell>
          <cell r="AW151">
            <v>2.5153799999999999E-4</v>
          </cell>
          <cell r="AX151">
            <v>0.20680934300000001</v>
          </cell>
          <cell r="AY151">
            <v>2.4673001E-2</v>
          </cell>
        </row>
        <row r="152">
          <cell r="G152">
            <v>757</v>
          </cell>
          <cell r="H152">
            <v>486</v>
          </cell>
          <cell r="AD152">
            <v>0.51254953800000003</v>
          </cell>
          <cell r="AE152">
            <v>3.3048000000000002E-4</v>
          </cell>
          <cell r="AF152">
            <v>0.71222023499999998</v>
          </cell>
          <cell r="AG152">
            <v>6.5559435999999999E-2</v>
          </cell>
          <cell r="AM152">
            <v>0.67078189300000002</v>
          </cell>
          <cell r="AN152">
            <v>4.55327E-4</v>
          </cell>
          <cell r="AO152">
            <v>0.82692465400000004</v>
          </cell>
          <cell r="AP152">
            <v>1.161425E-2</v>
          </cell>
          <cell r="AV152">
            <v>0.38477366299999999</v>
          </cell>
          <cell r="AW152">
            <v>4.8808800000000002E-4</v>
          </cell>
          <cell r="AX152">
            <v>0.20680934300000001</v>
          </cell>
          <cell r="AY152">
            <v>2.4673001E-2</v>
          </cell>
        </row>
        <row r="153">
          <cell r="G153">
            <v>1149</v>
          </cell>
          <cell r="H153">
            <v>281</v>
          </cell>
          <cell r="AD153">
            <v>0.39860748499999998</v>
          </cell>
          <cell r="AE153">
            <v>2.08815E-4</v>
          </cell>
          <cell r="AF153">
            <v>0.71222023499999998</v>
          </cell>
          <cell r="AG153">
            <v>6.5559435999999999E-2</v>
          </cell>
          <cell r="AM153">
            <v>0.725978648</v>
          </cell>
          <cell r="AN153">
            <v>7.1047700000000005E-4</v>
          </cell>
          <cell r="AO153">
            <v>0.82692465400000004</v>
          </cell>
          <cell r="AP153">
            <v>1.161425E-2</v>
          </cell>
          <cell r="AV153">
            <v>0.29181494699999999</v>
          </cell>
          <cell r="AW153">
            <v>7.3806800000000004E-4</v>
          </cell>
          <cell r="AX153">
            <v>0.20680934300000001</v>
          </cell>
          <cell r="AY153">
            <v>2.4673001E-2</v>
          </cell>
        </row>
        <row r="154">
          <cell r="G154">
            <v>2331</v>
          </cell>
          <cell r="H154">
            <v>528</v>
          </cell>
          <cell r="AD154">
            <v>0.262548263</v>
          </cell>
          <cell r="AE154">
            <v>8.3097300000000001E-5</v>
          </cell>
          <cell r="AF154">
            <v>0.71222023499999998</v>
          </cell>
          <cell r="AG154">
            <v>6.5559435999999999E-2</v>
          </cell>
          <cell r="AM154">
            <v>0.82954545499999999</v>
          </cell>
          <cell r="AN154">
            <v>2.6831100000000003E-4</v>
          </cell>
          <cell r="AO154">
            <v>0.82692465400000004</v>
          </cell>
          <cell r="AP154">
            <v>1.161425E-2</v>
          </cell>
          <cell r="AV154">
            <v>0.34848484800000001</v>
          </cell>
          <cell r="AW154">
            <v>4.3082199999999998E-4</v>
          </cell>
          <cell r="AX154">
            <v>0.20680934300000001</v>
          </cell>
          <cell r="AY154">
            <v>2.4673001E-2</v>
          </cell>
        </row>
        <row r="164">
          <cell r="D164">
            <v>190</v>
          </cell>
          <cell r="J164">
            <v>0.15263157899999999</v>
          </cell>
          <cell r="K164">
            <v>6.8431299999999998E-4</v>
          </cell>
          <cell r="L164">
            <v>0.12447847099999999</v>
          </cell>
          <cell r="M164">
            <v>4.2601679999999999E-3</v>
          </cell>
          <cell r="N164">
            <v>0.321052632</v>
          </cell>
          <cell r="O164">
            <v>1.153322E-3</v>
          </cell>
          <cell r="P164">
            <v>0.23336578599999999</v>
          </cell>
          <cell r="Q164">
            <v>6.1192249999999998E-3</v>
          </cell>
          <cell r="AI164">
            <v>0.34210526299999999</v>
          </cell>
          <cell r="AJ164">
            <v>1.190843E-3</v>
          </cell>
          <cell r="AK164">
            <v>0.37719102199999999</v>
          </cell>
          <cell r="AL164">
            <v>1.2598580999999999E-2</v>
          </cell>
          <cell r="AR164">
            <v>0.1</v>
          </cell>
          <cell r="AS164">
            <v>4.7618999999999998E-4</v>
          </cell>
          <cell r="AT164">
            <v>0.14286457299999999</v>
          </cell>
          <cell r="AU164">
            <v>2.497768E-3</v>
          </cell>
        </row>
        <row r="165">
          <cell r="D165">
            <v>209</v>
          </cell>
          <cell r="J165">
            <v>0.23444976100000001</v>
          </cell>
          <cell r="K165">
            <v>8.6289899999999998E-4</v>
          </cell>
          <cell r="L165">
            <v>0.12447847099999999</v>
          </cell>
          <cell r="M165">
            <v>4.2601679999999999E-3</v>
          </cell>
          <cell r="N165">
            <v>0.167464115</v>
          </cell>
          <cell r="O165">
            <v>6.70288E-4</v>
          </cell>
          <cell r="P165">
            <v>0.23336578599999999</v>
          </cell>
          <cell r="Q165">
            <v>6.1192249999999998E-3</v>
          </cell>
          <cell r="AI165">
            <v>0.43062201</v>
          </cell>
          <cell r="AJ165">
            <v>1.178782E-3</v>
          </cell>
          <cell r="AK165">
            <v>0.37719102199999999</v>
          </cell>
          <cell r="AL165">
            <v>1.2598580999999999E-2</v>
          </cell>
          <cell r="AR165">
            <v>0.20574162700000001</v>
          </cell>
          <cell r="AS165">
            <v>7.8563500000000002E-4</v>
          </cell>
          <cell r="AT165">
            <v>0.14286457299999999</v>
          </cell>
          <cell r="AU165">
            <v>2.497768E-3</v>
          </cell>
        </row>
        <row r="166">
          <cell r="D166">
            <v>172</v>
          </cell>
          <cell r="J166">
            <v>0.20930232600000001</v>
          </cell>
          <cell r="K166">
            <v>9.6780599999999998E-4</v>
          </cell>
          <cell r="L166">
            <v>0.12447847099999999</v>
          </cell>
          <cell r="M166">
            <v>4.2601679999999999E-3</v>
          </cell>
          <cell r="N166">
            <v>0.12790697700000001</v>
          </cell>
          <cell r="O166">
            <v>6.5231999999999996E-4</v>
          </cell>
          <cell r="P166">
            <v>0.23336578599999999</v>
          </cell>
          <cell r="Q166">
            <v>6.1192249999999998E-3</v>
          </cell>
          <cell r="AI166">
            <v>0.57558139500000005</v>
          </cell>
          <cell r="AJ166">
            <v>1.4285820000000001E-3</v>
          </cell>
          <cell r="AK166">
            <v>0.37719102199999999</v>
          </cell>
          <cell r="AL166">
            <v>1.2598580999999999E-2</v>
          </cell>
          <cell r="AR166">
            <v>9.8837208999999995E-2</v>
          </cell>
          <cell r="AS166">
            <v>5.2086799999999996E-4</v>
          </cell>
          <cell r="AT166">
            <v>0.14286457299999999</v>
          </cell>
          <cell r="AU166">
            <v>2.497768E-3</v>
          </cell>
        </row>
        <row r="167">
          <cell r="D167">
            <v>221</v>
          </cell>
          <cell r="J167">
            <v>0.21719457</v>
          </cell>
          <cell r="K167">
            <v>7.7282299999999996E-4</v>
          </cell>
          <cell r="L167">
            <v>0.12447847099999999</v>
          </cell>
          <cell r="M167">
            <v>4.2601679999999999E-3</v>
          </cell>
          <cell r="N167">
            <v>0.14479638</v>
          </cell>
          <cell r="O167">
            <v>5.6286499999999996E-4</v>
          </cell>
          <cell r="P167">
            <v>0.23336578599999999</v>
          </cell>
          <cell r="Q167">
            <v>6.1192249999999998E-3</v>
          </cell>
          <cell r="AI167">
            <v>0.56108597299999996</v>
          </cell>
          <cell r="AJ167">
            <v>1.119402E-3</v>
          </cell>
          <cell r="AK167">
            <v>0.37719102199999999</v>
          </cell>
          <cell r="AL167">
            <v>1.2598580999999999E-2</v>
          </cell>
          <cell r="AR167">
            <v>0.13574660599999999</v>
          </cell>
          <cell r="AS167">
            <v>5.3326999999999997E-4</v>
          </cell>
          <cell r="AT167">
            <v>0.14286457299999999</v>
          </cell>
          <cell r="AU167">
            <v>2.497768E-3</v>
          </cell>
        </row>
        <row r="168">
          <cell r="D168">
            <v>409</v>
          </cell>
          <cell r="J168">
            <v>0.16136919299999999</v>
          </cell>
          <cell r="K168">
            <v>3.3168899999999997E-4</v>
          </cell>
          <cell r="L168">
            <v>0.12447847099999999</v>
          </cell>
          <cell r="M168">
            <v>4.2601679999999999E-3</v>
          </cell>
          <cell r="N168">
            <v>0.20293398500000001</v>
          </cell>
          <cell r="O168">
            <v>3.9645000000000001E-4</v>
          </cell>
          <cell r="P168">
            <v>0.23336578599999999</v>
          </cell>
          <cell r="Q168">
            <v>6.1192249999999998E-3</v>
          </cell>
          <cell r="AI168">
            <v>0.540342298</v>
          </cell>
          <cell r="AJ168">
            <v>6.0875600000000001E-4</v>
          </cell>
          <cell r="AK168">
            <v>0.37719102199999999</v>
          </cell>
          <cell r="AL168">
            <v>1.2598580999999999E-2</v>
          </cell>
          <cell r="AR168">
            <v>0.11002445</v>
          </cell>
          <cell r="AS168">
            <v>2.39998E-4</v>
          </cell>
          <cell r="AT168">
            <v>0.14286457299999999</v>
          </cell>
          <cell r="AU168">
            <v>2.497768E-3</v>
          </cell>
        </row>
        <row r="169">
          <cell r="D169">
            <v>348</v>
          </cell>
          <cell r="J169">
            <v>0.18390804599999999</v>
          </cell>
          <cell r="K169">
            <v>4.3252399999999999E-4</v>
          </cell>
          <cell r="L169">
            <v>0.12447847099999999</v>
          </cell>
          <cell r="M169">
            <v>4.2601679999999999E-3</v>
          </cell>
          <cell r="N169">
            <v>0.20689655200000001</v>
          </cell>
          <cell r="O169">
            <v>4.7288300000000001E-4</v>
          </cell>
          <cell r="P169">
            <v>0.23336578599999999</v>
          </cell>
          <cell r="Q169">
            <v>6.1192249999999998E-3</v>
          </cell>
          <cell r="AI169">
            <v>0.42528735600000001</v>
          </cell>
          <cell r="AJ169">
            <v>7.0437500000000003E-4</v>
          </cell>
          <cell r="AK169">
            <v>0.37719102199999999</v>
          </cell>
          <cell r="AL169">
            <v>1.2598580999999999E-2</v>
          </cell>
          <cell r="AR169">
            <v>0.18390804599999999</v>
          </cell>
          <cell r="AS169">
            <v>4.3252399999999999E-4</v>
          </cell>
          <cell r="AT169">
            <v>0.14286457299999999</v>
          </cell>
          <cell r="AU169">
            <v>2.497768E-3</v>
          </cell>
        </row>
        <row r="170">
          <cell r="D170">
            <v>514</v>
          </cell>
          <cell r="J170">
            <v>6.8093385000000006E-2</v>
          </cell>
          <cell r="K170">
            <v>1.2369700000000001E-4</v>
          </cell>
          <cell r="L170">
            <v>0.12447847099999999</v>
          </cell>
          <cell r="M170">
            <v>4.2601679999999999E-3</v>
          </cell>
          <cell r="N170">
            <v>0.34630350199999999</v>
          </cell>
          <cell r="O170">
            <v>4.4128100000000002E-4</v>
          </cell>
          <cell r="P170">
            <v>0.23336578599999999</v>
          </cell>
          <cell r="Q170">
            <v>6.1192249999999998E-3</v>
          </cell>
          <cell r="AI170">
            <v>0.34435797699999998</v>
          </cell>
          <cell r="AJ170">
            <v>4.4010799999999998E-4</v>
          </cell>
          <cell r="AK170">
            <v>0.37719102199999999</v>
          </cell>
          <cell r="AL170">
            <v>1.2598580999999999E-2</v>
          </cell>
          <cell r="AR170">
            <v>0.130350195</v>
          </cell>
          <cell r="AS170">
            <v>2.2097299999999999E-4</v>
          </cell>
          <cell r="AT170">
            <v>0.14286457299999999</v>
          </cell>
          <cell r="AU170">
            <v>2.497768E-3</v>
          </cell>
        </row>
        <row r="171">
          <cell r="D171">
            <v>983</v>
          </cell>
          <cell r="J171">
            <v>8.0366225999999999E-2</v>
          </cell>
          <cell r="K171">
            <v>7.5262199999999999E-5</v>
          </cell>
          <cell r="L171">
            <v>0.12447847099999999</v>
          </cell>
          <cell r="M171">
            <v>4.2601679999999999E-3</v>
          </cell>
          <cell r="N171">
            <v>0.368260427</v>
          </cell>
          <cell r="O171">
            <v>2.3690899999999999E-4</v>
          </cell>
          <cell r="P171">
            <v>0.23336578599999999</v>
          </cell>
          <cell r="Q171">
            <v>6.1192249999999998E-3</v>
          </cell>
          <cell r="AI171">
            <v>0.26653102699999998</v>
          </cell>
          <cell r="AJ171">
            <v>1.9907599999999999E-4</v>
          </cell>
          <cell r="AK171">
            <v>0.37719102199999999</v>
          </cell>
          <cell r="AL171">
            <v>1.2598580999999999E-2</v>
          </cell>
          <cell r="AR171">
            <v>0.13224822</v>
          </cell>
          <cell r="AS171">
            <v>1.1686199999999999E-4</v>
          </cell>
          <cell r="AT171">
            <v>0.14286457299999999</v>
          </cell>
          <cell r="AU171">
            <v>2.497768E-3</v>
          </cell>
        </row>
        <row r="172">
          <cell r="D172">
            <v>1123</v>
          </cell>
          <cell r="J172">
            <v>6.5004452000000004E-2</v>
          </cell>
          <cell r="K172">
            <v>5.4170099999999998E-5</v>
          </cell>
          <cell r="L172">
            <v>0.12447847099999999</v>
          </cell>
          <cell r="M172">
            <v>4.2601679999999999E-3</v>
          </cell>
          <cell r="N172">
            <v>0.29830810299999999</v>
          </cell>
          <cell r="O172">
            <v>1.8656E-4</v>
          </cell>
          <cell r="P172">
            <v>0.23336578599999999</v>
          </cell>
          <cell r="Q172">
            <v>6.1192249999999998E-3</v>
          </cell>
          <cell r="AI172">
            <v>0.34105075699999998</v>
          </cell>
          <cell r="AJ172">
            <v>2.00299E-4</v>
          </cell>
          <cell r="AK172">
            <v>0.37719102199999999</v>
          </cell>
          <cell r="AL172">
            <v>1.2598580999999999E-2</v>
          </cell>
          <cell r="AR172">
            <v>0.16117542300000001</v>
          </cell>
          <cell r="AS172">
            <v>1.20497E-4</v>
          </cell>
          <cell r="AT172">
            <v>0.14286457299999999</v>
          </cell>
          <cell r="AU172">
            <v>2.497768E-3</v>
          </cell>
        </row>
        <row r="173">
          <cell r="D173">
            <v>1216</v>
          </cell>
          <cell r="J173">
            <v>7.3190789000000006E-2</v>
          </cell>
          <cell r="K173">
            <v>5.58304E-5</v>
          </cell>
          <cell r="L173">
            <v>0.12447847099999999</v>
          </cell>
          <cell r="M173">
            <v>4.2601679999999999E-3</v>
          </cell>
          <cell r="N173">
            <v>0.25740131599999999</v>
          </cell>
          <cell r="O173">
            <v>1.57322E-4</v>
          </cell>
          <cell r="P173">
            <v>0.23336578599999999</v>
          </cell>
          <cell r="Q173">
            <v>6.1192249999999998E-3</v>
          </cell>
          <cell r="AI173">
            <v>0.3125</v>
          </cell>
          <cell r="AJ173">
            <v>1.7682599999999999E-4</v>
          </cell>
          <cell r="AK173">
            <v>0.37719102199999999</v>
          </cell>
          <cell r="AL173">
            <v>1.2598580999999999E-2</v>
          </cell>
          <cell r="AR173">
            <v>0.19490131599999999</v>
          </cell>
          <cell r="AS173">
            <v>1.2914799999999999E-4</v>
          </cell>
          <cell r="AT173">
            <v>0.14286457299999999</v>
          </cell>
          <cell r="AU173">
            <v>2.497768E-3</v>
          </cell>
        </row>
        <row r="174">
          <cell r="D174">
            <v>1311</v>
          </cell>
          <cell r="J174">
            <v>6.4073226999999996E-2</v>
          </cell>
          <cell r="K174">
            <v>4.5776999999999999E-5</v>
          </cell>
          <cell r="L174">
            <v>0.12447847099999999</v>
          </cell>
          <cell r="M174">
            <v>4.2601679999999999E-3</v>
          </cell>
          <cell r="N174">
            <v>0.152555301</v>
          </cell>
          <cell r="O174">
            <v>9.8688699999999996E-5</v>
          </cell>
          <cell r="P174">
            <v>0.23336578599999999</v>
          </cell>
          <cell r="Q174">
            <v>6.1192249999999998E-3</v>
          </cell>
          <cell r="AI174">
            <v>0.30892448500000003</v>
          </cell>
          <cell r="AJ174">
            <v>1.6296999999999999E-4</v>
          </cell>
          <cell r="AK174">
            <v>0.37719102199999999</v>
          </cell>
          <cell r="AL174">
            <v>1.2598580999999999E-2</v>
          </cell>
          <cell r="AR174">
            <v>0.25019069399999999</v>
          </cell>
          <cell r="AS174">
            <v>1.43203E-4</v>
          </cell>
          <cell r="AT174">
            <v>0.14286457299999999</v>
          </cell>
          <cell r="AU174">
            <v>2.497768E-3</v>
          </cell>
        </row>
        <row r="175">
          <cell r="D175">
            <v>1139</v>
          </cell>
          <cell r="J175">
            <v>7.7260755E-2</v>
          </cell>
          <cell r="K175">
            <v>6.2646300000000004E-5</v>
          </cell>
          <cell r="L175">
            <v>0.12447847099999999</v>
          </cell>
          <cell r="M175">
            <v>4.2601679999999999E-3</v>
          </cell>
          <cell r="N175">
            <v>0.27392449499999999</v>
          </cell>
          <cell r="O175">
            <v>1.74771E-4</v>
          </cell>
          <cell r="P175">
            <v>0.23336578599999999</v>
          </cell>
          <cell r="Q175">
            <v>6.1192249999999998E-3</v>
          </cell>
          <cell r="AI175">
            <v>0.23880597000000001</v>
          </cell>
          <cell r="AJ175">
            <v>1.59734E-4</v>
          </cell>
          <cell r="AK175">
            <v>0.37719102199999999</v>
          </cell>
          <cell r="AL175">
            <v>1.2598580999999999E-2</v>
          </cell>
          <cell r="AR175">
            <v>7.3748903000000005E-2</v>
          </cell>
          <cell r="AS175">
            <v>6.0026399999999998E-5</v>
          </cell>
          <cell r="AT175">
            <v>0.14286457299999999</v>
          </cell>
          <cell r="AU175">
            <v>2.497768E-3</v>
          </cell>
        </row>
        <row r="176">
          <cell r="D176">
            <v>1257</v>
          </cell>
          <cell r="J176">
            <v>8.1145585000000006E-2</v>
          </cell>
          <cell r="K176">
            <v>5.9363800000000002E-5</v>
          </cell>
          <cell r="L176">
            <v>0.12447847099999999</v>
          </cell>
          <cell r="M176">
            <v>4.2601679999999999E-3</v>
          </cell>
          <cell r="N176">
            <v>0.18615751799999999</v>
          </cell>
          <cell r="O176">
            <v>1.20623E-4</v>
          </cell>
          <cell r="P176">
            <v>0.23336578599999999</v>
          </cell>
          <cell r="Q176">
            <v>6.1192249999999998E-3</v>
          </cell>
          <cell r="AI176">
            <v>0.32617342900000001</v>
          </cell>
          <cell r="AJ176">
            <v>1.74988E-4</v>
          </cell>
          <cell r="AK176">
            <v>0.37719102199999999</v>
          </cell>
          <cell r="AL176">
            <v>1.2598580999999999E-2</v>
          </cell>
          <cell r="AR176">
            <v>0.107398568</v>
          </cell>
          <cell r="AS176">
            <v>7.6324900000000005E-5</v>
          </cell>
          <cell r="AT176">
            <v>0.14286457299999999</v>
          </cell>
          <cell r="AU176">
            <v>2.497768E-3</v>
          </cell>
        </row>
        <row r="186">
          <cell r="G186">
            <v>454</v>
          </cell>
          <cell r="H186">
            <v>420</v>
          </cell>
          <cell r="AD186">
            <v>0.95814977999999995</v>
          </cell>
          <cell r="AE186">
            <v>8.8518300000000003E-5</v>
          </cell>
          <cell r="AF186">
            <v>0.94497086500000005</v>
          </cell>
          <cell r="AG186">
            <v>1.0541039999999999E-3</v>
          </cell>
          <cell r="AM186">
            <v>0.98809523799999999</v>
          </cell>
          <cell r="AN186">
            <v>2.8074099999999999E-5</v>
          </cell>
          <cell r="AO186">
            <v>0.915492906</v>
          </cell>
          <cell r="AP186">
            <v>3.095375E-3</v>
          </cell>
          <cell r="AV186">
            <v>1.1904761999999999E-2</v>
          </cell>
          <cell r="AW186">
            <v>2.8074099999999999E-5</v>
          </cell>
          <cell r="AX186">
            <v>8.4507094000000005E-2</v>
          </cell>
          <cell r="AY186">
            <v>3.0997300000000002E-3</v>
          </cell>
        </row>
        <row r="187">
          <cell r="G187">
            <v>983</v>
          </cell>
          <cell r="H187">
            <v>614</v>
          </cell>
          <cell r="AD187">
            <v>0.97456765000000001</v>
          </cell>
          <cell r="AE187">
            <v>2.5239899999999999E-5</v>
          </cell>
          <cell r="AF187">
            <v>0.94497086500000005</v>
          </cell>
          <cell r="AG187">
            <v>1.0541039999999999E-3</v>
          </cell>
          <cell r="AM187">
            <v>0.98697068399999999</v>
          </cell>
          <cell r="AN187">
            <v>2.0978100000000002E-5</v>
          </cell>
          <cell r="AO187">
            <v>0.915492906</v>
          </cell>
          <cell r="AP187">
            <v>3.095375E-3</v>
          </cell>
          <cell r="AV187">
            <v>1.3029316000000001E-2</v>
          </cell>
          <cell r="AW187">
            <v>2.0978100000000002E-5</v>
          </cell>
          <cell r="AX187">
            <v>8.4507094000000005E-2</v>
          </cell>
          <cell r="AY187">
            <v>3.0997300000000002E-3</v>
          </cell>
        </row>
        <row r="188">
          <cell r="G188">
            <v>1173</v>
          </cell>
          <cell r="H188">
            <v>801</v>
          </cell>
          <cell r="AD188">
            <v>0.99317988099999999</v>
          </cell>
          <cell r="AE188">
            <v>5.7795299999999999E-6</v>
          </cell>
          <cell r="AF188">
            <v>0.94497086500000005</v>
          </cell>
          <cell r="AG188">
            <v>1.0541039999999999E-3</v>
          </cell>
          <cell r="AM188">
            <v>0.94631710400000002</v>
          </cell>
          <cell r="AN188">
            <v>6.3501299999999995E-5</v>
          </cell>
          <cell r="AO188">
            <v>0.915492906</v>
          </cell>
          <cell r="AP188">
            <v>3.095375E-3</v>
          </cell>
          <cell r="AV188">
            <v>5.3682896000000001E-2</v>
          </cell>
          <cell r="AW188">
            <v>6.3501299999999995E-5</v>
          </cell>
          <cell r="AX188">
            <v>8.4507094000000005E-2</v>
          </cell>
          <cell r="AY188">
            <v>3.0997300000000002E-3</v>
          </cell>
        </row>
        <row r="189">
          <cell r="G189">
            <v>710</v>
          </cell>
          <cell r="H189">
            <v>343</v>
          </cell>
          <cell r="AD189">
            <v>0.97887323900000001</v>
          </cell>
          <cell r="AE189">
            <v>2.91684E-5</v>
          </cell>
          <cell r="AF189">
            <v>0.94497086500000005</v>
          </cell>
          <cell r="AG189">
            <v>1.0541039999999999E-3</v>
          </cell>
          <cell r="AM189">
            <v>0.97084548100000001</v>
          </cell>
          <cell r="AN189">
            <v>8.2761800000000004E-5</v>
          </cell>
          <cell r="AO189">
            <v>0.915492906</v>
          </cell>
          <cell r="AP189">
            <v>3.095375E-3</v>
          </cell>
          <cell r="AV189">
            <v>2.9154519E-2</v>
          </cell>
          <cell r="AW189">
            <v>8.2761800000000004E-5</v>
          </cell>
          <cell r="AX189">
            <v>8.4507094000000005E-2</v>
          </cell>
          <cell r="AY189">
            <v>3.0997300000000002E-3</v>
          </cell>
        </row>
        <row r="190">
          <cell r="G190">
            <v>940</v>
          </cell>
          <cell r="H190">
            <v>530</v>
          </cell>
          <cell r="AD190">
            <v>0.96595744699999997</v>
          </cell>
          <cell r="AE190">
            <v>3.50199E-5</v>
          </cell>
          <cell r="AF190">
            <v>0.94497086500000005</v>
          </cell>
          <cell r="AG190">
            <v>1.0541039999999999E-3</v>
          </cell>
          <cell r="AM190">
            <v>0.94716981099999997</v>
          </cell>
          <cell r="AN190">
            <v>9.4592000000000005E-5</v>
          </cell>
          <cell r="AO190">
            <v>0.915492906</v>
          </cell>
          <cell r="AP190">
            <v>3.095375E-3</v>
          </cell>
          <cell r="AV190">
            <v>5.2830189E-2</v>
          </cell>
          <cell r="AW190">
            <v>9.4592000000000005E-5</v>
          </cell>
          <cell r="AX190">
            <v>8.4507094000000005E-2</v>
          </cell>
          <cell r="AY190">
            <v>3.0997300000000002E-3</v>
          </cell>
        </row>
        <row r="191">
          <cell r="G191">
            <v>2215</v>
          </cell>
          <cell r="H191">
            <v>695</v>
          </cell>
          <cell r="AD191">
            <v>0.97652370200000005</v>
          </cell>
          <cell r="AE191">
            <v>1.0354600000000001E-5</v>
          </cell>
          <cell r="AF191">
            <v>0.94497086500000005</v>
          </cell>
          <cell r="AG191">
            <v>1.0541039999999999E-3</v>
          </cell>
          <cell r="AM191">
            <v>0.92230215800000004</v>
          </cell>
          <cell r="AN191">
            <v>1.0325800000000001E-4</v>
          </cell>
          <cell r="AO191">
            <v>0.915492906</v>
          </cell>
          <cell r="AP191">
            <v>3.095375E-3</v>
          </cell>
          <cell r="AV191">
            <v>7.7697842000000003E-2</v>
          </cell>
          <cell r="AW191">
            <v>1.0325800000000001E-4</v>
          </cell>
          <cell r="AX191">
            <v>8.4507094000000005E-2</v>
          </cell>
          <cell r="AY191">
            <v>3.0997300000000002E-3</v>
          </cell>
        </row>
        <row r="192">
          <cell r="G192">
            <v>1908</v>
          </cell>
          <cell r="H192">
            <v>758</v>
          </cell>
          <cell r="AD192">
            <v>0.95702306100000001</v>
          </cell>
          <cell r="AE192">
            <v>2.1567900000000001E-5</v>
          </cell>
          <cell r="AF192">
            <v>0.94497086500000005</v>
          </cell>
          <cell r="AG192">
            <v>1.0541039999999999E-3</v>
          </cell>
          <cell r="AM192">
            <v>0.90105540900000003</v>
          </cell>
          <cell r="AN192">
            <v>1.17774E-4</v>
          </cell>
          <cell r="AO192">
            <v>0.915492906</v>
          </cell>
          <cell r="AP192">
            <v>3.095375E-3</v>
          </cell>
          <cell r="AV192">
            <v>9.8944590999999998E-2</v>
          </cell>
          <cell r="AW192">
            <v>1.17774E-4</v>
          </cell>
          <cell r="AX192">
            <v>8.4507094000000005E-2</v>
          </cell>
          <cell r="AY192">
            <v>3.0997300000000002E-3</v>
          </cell>
        </row>
        <row r="193">
          <cell r="G193">
            <v>2447</v>
          </cell>
          <cell r="H193">
            <v>743</v>
          </cell>
          <cell r="AD193">
            <v>0.92766652999999999</v>
          </cell>
          <cell r="AE193">
            <v>2.74331E-5</v>
          </cell>
          <cell r="AF193">
            <v>0.94497086500000005</v>
          </cell>
          <cell r="AG193">
            <v>1.0541039999999999E-3</v>
          </cell>
          <cell r="AM193">
            <v>0.868102288</v>
          </cell>
          <cell r="AN193">
            <v>1.5431399999999999E-4</v>
          </cell>
          <cell r="AO193">
            <v>0.915492906</v>
          </cell>
          <cell r="AP193">
            <v>3.095375E-3</v>
          </cell>
          <cell r="AV193">
            <v>0.131897712</v>
          </cell>
          <cell r="AW193">
            <v>1.5431399999999999E-4</v>
          </cell>
          <cell r="AX193">
            <v>8.4507094000000005E-2</v>
          </cell>
          <cell r="AY193">
            <v>3.0997300000000002E-3</v>
          </cell>
        </row>
        <row r="194">
          <cell r="G194">
            <v>2095</v>
          </cell>
          <cell r="H194">
            <v>824</v>
          </cell>
          <cell r="AD194">
            <v>0.93317422400000005</v>
          </cell>
          <cell r="AE194">
            <v>2.97804E-5</v>
          </cell>
          <cell r="AF194">
            <v>0.94497086500000005</v>
          </cell>
          <cell r="AG194">
            <v>1.0541039999999999E-3</v>
          </cell>
          <cell r="AM194">
            <v>0.875</v>
          </cell>
          <cell r="AN194">
            <v>1.32898E-4</v>
          </cell>
          <cell r="AO194">
            <v>0.915492906</v>
          </cell>
          <cell r="AP194">
            <v>3.095375E-3</v>
          </cell>
          <cell r="AV194">
            <v>0.125</v>
          </cell>
          <cell r="AW194">
            <v>1.32898E-4</v>
          </cell>
          <cell r="AX194">
            <v>8.4507094000000005E-2</v>
          </cell>
          <cell r="AY194">
            <v>3.0997300000000002E-3</v>
          </cell>
        </row>
        <row r="195">
          <cell r="G195">
            <v>2389</v>
          </cell>
          <cell r="H195">
            <v>984</v>
          </cell>
          <cell r="AD195">
            <v>0.95144411900000003</v>
          </cell>
          <cell r="AE195">
            <v>1.9346000000000001E-5</v>
          </cell>
          <cell r="AF195">
            <v>0.94497086500000005</v>
          </cell>
          <cell r="AG195">
            <v>1.0541039999999999E-3</v>
          </cell>
          <cell r="AM195">
            <v>0.90345528500000005</v>
          </cell>
          <cell r="AN195">
            <v>8.8732299999999997E-5</v>
          </cell>
          <cell r="AO195">
            <v>0.915492906</v>
          </cell>
          <cell r="AP195">
            <v>3.095375E-3</v>
          </cell>
          <cell r="AV195">
            <v>9.6544715000000003E-2</v>
          </cell>
          <cell r="AW195">
            <v>8.8732299999999997E-5</v>
          </cell>
          <cell r="AX195">
            <v>8.4507094000000005E-2</v>
          </cell>
          <cell r="AY195">
            <v>3.0997300000000002E-3</v>
          </cell>
        </row>
        <row r="196">
          <cell r="G196">
            <v>2060</v>
          </cell>
          <cell r="H196">
            <v>748</v>
          </cell>
          <cell r="AD196">
            <v>0.90388349499999998</v>
          </cell>
          <cell r="AE196">
            <v>4.2194299999999997E-5</v>
          </cell>
          <cell r="AF196">
            <v>0.94497086500000005</v>
          </cell>
          <cell r="AG196">
            <v>1.0541039999999999E-3</v>
          </cell>
          <cell r="AM196">
            <v>0.93048128299999999</v>
          </cell>
          <cell r="AN196">
            <v>8.6594200000000005E-5</v>
          </cell>
          <cell r="AO196">
            <v>0.915492906</v>
          </cell>
          <cell r="AP196">
            <v>3.095375E-3</v>
          </cell>
          <cell r="AV196">
            <v>6.9518716999999994E-2</v>
          </cell>
          <cell r="AW196">
            <v>8.6594200000000005E-5</v>
          </cell>
          <cell r="AX196">
            <v>8.4507094000000005E-2</v>
          </cell>
          <cell r="AY196">
            <v>3.0997300000000002E-3</v>
          </cell>
        </row>
        <row r="197">
          <cell r="G197">
            <v>2635</v>
          </cell>
          <cell r="H197">
            <v>598</v>
          </cell>
          <cell r="AD197">
            <v>0.90132827299999996</v>
          </cell>
          <cell r="AE197">
            <v>3.3764499999999998E-5</v>
          </cell>
          <cell r="AF197">
            <v>0.94497086500000005</v>
          </cell>
          <cell r="AG197">
            <v>1.0541039999999999E-3</v>
          </cell>
          <cell r="AM197">
            <v>0.91806020099999996</v>
          </cell>
          <cell r="AN197">
            <v>1.2600600000000001E-4</v>
          </cell>
          <cell r="AO197">
            <v>0.915492906</v>
          </cell>
          <cell r="AP197">
            <v>3.095375E-3</v>
          </cell>
          <cell r="AV197">
            <v>8.1939798999999994E-2</v>
          </cell>
          <cell r="AW197">
            <v>1.2600600000000001E-4</v>
          </cell>
          <cell r="AX197">
            <v>8.4507094000000005E-2</v>
          </cell>
          <cell r="AY197">
            <v>3.0997300000000002E-3</v>
          </cell>
        </row>
        <row r="198">
          <cell r="G198">
            <v>3199</v>
          </cell>
          <cell r="H198">
            <v>568</v>
          </cell>
          <cell r="AD198">
            <v>0.91278524500000002</v>
          </cell>
          <cell r="AE198">
            <v>2.4893200000000001E-5</v>
          </cell>
          <cell r="AF198">
            <v>0.94497086500000005</v>
          </cell>
          <cell r="AG198">
            <v>1.0541039999999999E-3</v>
          </cell>
          <cell r="AM198">
            <v>0.88204225400000003</v>
          </cell>
          <cell r="AN198">
            <v>1.83499E-4</v>
          </cell>
          <cell r="AO198">
            <v>0.915492906</v>
          </cell>
          <cell r="AP198">
            <v>3.095375E-3</v>
          </cell>
          <cell r="AV198">
            <v>0.117957746</v>
          </cell>
          <cell r="AW198">
            <v>1.83499E-4</v>
          </cell>
          <cell r="AX198">
            <v>8.4507094000000005E-2</v>
          </cell>
          <cell r="AY198">
            <v>3.0997300000000002E-3</v>
          </cell>
        </row>
        <row r="208">
          <cell r="D208">
            <v>66</v>
          </cell>
          <cell r="J208">
            <v>0.393939394</v>
          </cell>
          <cell r="K208">
            <v>3.6730949999999999E-3</v>
          </cell>
          <cell r="L208">
            <v>0.19025525099999999</v>
          </cell>
          <cell r="M208">
            <v>1.3070167000000001E-2</v>
          </cell>
          <cell r="N208">
            <v>0.37878787899999999</v>
          </cell>
          <cell r="O208">
            <v>3.620117E-3</v>
          </cell>
          <cell r="P208">
            <v>0.60406434499999995</v>
          </cell>
          <cell r="Q208">
            <v>2.2998472999999998E-2</v>
          </cell>
          <cell r="AI208">
            <v>0.56060606099999999</v>
          </cell>
          <cell r="AJ208">
            <v>3.7896449999999999E-3</v>
          </cell>
          <cell r="AK208">
            <v>0.32828362700000002</v>
          </cell>
          <cell r="AL208">
            <v>2.2094531000000001E-2</v>
          </cell>
          <cell r="AR208">
            <v>6.0606061000000003E-2</v>
          </cell>
          <cell r="AS208">
            <v>8.7589199999999997E-4</v>
          </cell>
          <cell r="AT208">
            <v>2.6213604000000001E-2</v>
          </cell>
          <cell r="AU208">
            <v>5.4350899999999996E-4</v>
          </cell>
        </row>
        <row r="209">
          <cell r="D209">
            <v>61</v>
          </cell>
          <cell r="J209">
            <v>0.44262295099999999</v>
          </cell>
          <cell r="K209">
            <v>4.1117979999999998E-3</v>
          </cell>
          <cell r="L209">
            <v>0.19025525099999999</v>
          </cell>
          <cell r="M209">
            <v>1.3070167000000001E-2</v>
          </cell>
          <cell r="N209">
            <v>0.32786885199999999</v>
          </cell>
          <cell r="O209">
            <v>3.6728479999999998E-3</v>
          </cell>
          <cell r="P209">
            <v>0.60406434499999995</v>
          </cell>
          <cell r="Q209">
            <v>2.2998472999999998E-2</v>
          </cell>
          <cell r="AI209">
            <v>0.63934426200000005</v>
          </cell>
          <cell r="AJ209">
            <v>3.8430529999999999E-3</v>
          </cell>
          <cell r="AK209">
            <v>0.32828362700000002</v>
          </cell>
          <cell r="AL209">
            <v>2.2094531000000001E-2</v>
          </cell>
          <cell r="AR209">
            <v>1.6393443000000001E-2</v>
          </cell>
          <cell r="AS209">
            <v>2.6874499999999998E-4</v>
          </cell>
          <cell r="AT209">
            <v>2.6213604000000001E-2</v>
          </cell>
          <cell r="AU209">
            <v>5.4350899999999996E-4</v>
          </cell>
        </row>
        <row r="210">
          <cell r="D210">
            <v>101</v>
          </cell>
          <cell r="J210">
            <v>0.19801980199999999</v>
          </cell>
          <cell r="K210">
            <v>1.58808E-3</v>
          </cell>
          <cell r="L210">
            <v>0.19025525099999999</v>
          </cell>
          <cell r="M210">
            <v>1.3070167000000001E-2</v>
          </cell>
          <cell r="N210">
            <v>0.63366336599999995</v>
          </cell>
          <cell r="O210">
            <v>2.3213410000000002E-3</v>
          </cell>
          <cell r="P210">
            <v>0.60406434499999995</v>
          </cell>
          <cell r="Q210">
            <v>2.2998472999999998E-2</v>
          </cell>
          <cell r="AI210">
            <v>0.27722772299999998</v>
          </cell>
          <cell r="AJ210">
            <v>2.003725E-3</v>
          </cell>
          <cell r="AK210">
            <v>0.32828362700000002</v>
          </cell>
          <cell r="AL210">
            <v>2.2094531000000001E-2</v>
          </cell>
          <cell r="AR210">
            <v>7.9207921000000001E-2</v>
          </cell>
          <cell r="AS210">
            <v>7.2933999999999998E-4</v>
          </cell>
          <cell r="AT210">
            <v>2.6213604000000001E-2</v>
          </cell>
          <cell r="AU210">
            <v>5.4350899999999996E-4</v>
          </cell>
        </row>
        <row r="211">
          <cell r="D211">
            <v>78</v>
          </cell>
          <cell r="J211">
            <v>0.23076923099999999</v>
          </cell>
          <cell r="K211">
            <v>2.3053869999999999E-3</v>
          </cell>
          <cell r="L211">
            <v>0.19025525099999999</v>
          </cell>
          <cell r="M211">
            <v>1.3070167000000001E-2</v>
          </cell>
          <cell r="N211">
            <v>0.35897435900000002</v>
          </cell>
          <cell r="O211">
            <v>2.988465E-3</v>
          </cell>
          <cell r="P211">
            <v>0.60406434499999995</v>
          </cell>
          <cell r="Q211">
            <v>2.2998472999999998E-2</v>
          </cell>
          <cell r="AI211">
            <v>0.448717949</v>
          </cell>
          <cell r="AJ211">
            <v>3.212599E-3</v>
          </cell>
          <cell r="AK211">
            <v>0.32828362700000002</v>
          </cell>
          <cell r="AL211">
            <v>2.2094531000000001E-2</v>
          </cell>
          <cell r="AR211">
            <v>5.1282051000000002E-2</v>
          </cell>
          <cell r="AS211">
            <v>6.3184700000000005E-4</v>
          </cell>
          <cell r="AT211">
            <v>2.6213604000000001E-2</v>
          </cell>
          <cell r="AU211">
            <v>5.4350899999999996E-4</v>
          </cell>
        </row>
        <row r="212">
          <cell r="D212">
            <v>162</v>
          </cell>
          <cell r="J212">
            <v>0.27160493800000002</v>
          </cell>
          <cell r="K212">
            <v>1.2287929999999999E-3</v>
          </cell>
          <cell r="L212">
            <v>0.19025525099999999</v>
          </cell>
          <cell r="M212">
            <v>1.3070167000000001E-2</v>
          </cell>
          <cell r="N212">
            <v>0.54938271599999999</v>
          </cell>
          <cell r="O212">
            <v>1.537648E-3</v>
          </cell>
          <cell r="P212">
            <v>0.60406434499999995</v>
          </cell>
          <cell r="Q212">
            <v>2.2998472999999998E-2</v>
          </cell>
          <cell r="AI212">
            <v>0.42592592600000001</v>
          </cell>
          <cell r="AJ212">
            <v>1.518714E-3</v>
          </cell>
          <cell r="AK212">
            <v>0.32828362700000002</v>
          </cell>
          <cell r="AL212">
            <v>2.2094531000000001E-2</v>
          </cell>
          <cell r="AR212">
            <v>0</v>
          </cell>
          <cell r="AS212">
            <v>0</v>
          </cell>
          <cell r="AT212">
            <v>2.6213604000000001E-2</v>
          </cell>
          <cell r="AU212">
            <v>5.4350899999999996E-4</v>
          </cell>
        </row>
        <row r="213">
          <cell r="D213">
            <v>165</v>
          </cell>
          <cell r="J213">
            <v>0.212121212</v>
          </cell>
          <cell r="K213">
            <v>1.01906E-3</v>
          </cell>
          <cell r="L213">
            <v>0.19025525099999999</v>
          </cell>
          <cell r="M213">
            <v>1.3070167000000001E-2</v>
          </cell>
          <cell r="N213">
            <v>0.55151515200000001</v>
          </cell>
          <cell r="O213">
            <v>1.508208E-3</v>
          </cell>
          <cell r="P213">
            <v>0.60406434499999995</v>
          </cell>
          <cell r="Q213">
            <v>2.2998472999999998E-2</v>
          </cell>
          <cell r="AI213">
            <v>0.37575757599999998</v>
          </cell>
          <cell r="AJ213">
            <v>1.430267E-3</v>
          </cell>
          <cell r="AK213">
            <v>0.32828362700000002</v>
          </cell>
          <cell r="AL213">
            <v>2.2094531000000001E-2</v>
          </cell>
          <cell r="AR213">
            <v>3.6363635999999998E-2</v>
          </cell>
          <cell r="AS213">
            <v>2.1366700000000001E-4</v>
          </cell>
          <cell r="AT213">
            <v>2.6213604000000001E-2</v>
          </cell>
          <cell r="AU213">
            <v>5.4350899999999996E-4</v>
          </cell>
        </row>
        <row r="214">
          <cell r="D214">
            <v>257</v>
          </cell>
          <cell r="J214">
            <v>0.13618677000000001</v>
          </cell>
          <cell r="K214">
            <v>4.59531E-4</v>
          </cell>
          <cell r="L214">
            <v>0.19025525099999999</v>
          </cell>
          <cell r="M214">
            <v>1.3070167000000001E-2</v>
          </cell>
          <cell r="N214">
            <v>0.68093385200000001</v>
          </cell>
          <cell r="O214">
            <v>8.4868300000000003E-4</v>
          </cell>
          <cell r="P214">
            <v>0.60406434499999995</v>
          </cell>
          <cell r="Q214">
            <v>2.2998472999999998E-2</v>
          </cell>
          <cell r="AI214">
            <v>0.28793774300000002</v>
          </cell>
          <cell r="AJ214">
            <v>8.0089699999999996E-4</v>
          </cell>
          <cell r="AK214">
            <v>0.32828362700000002</v>
          </cell>
          <cell r="AL214">
            <v>2.2094531000000001E-2</v>
          </cell>
          <cell r="AR214">
            <v>1.5564201999999999E-2</v>
          </cell>
          <cell r="AS214">
            <v>5.9851400000000001E-5</v>
          </cell>
          <cell r="AT214">
            <v>2.6213604000000001E-2</v>
          </cell>
          <cell r="AU214">
            <v>5.4350899999999996E-4</v>
          </cell>
        </row>
        <row r="215">
          <cell r="D215">
            <v>306</v>
          </cell>
          <cell r="J215">
            <v>0.130718954</v>
          </cell>
          <cell r="K215">
            <v>3.72562E-4</v>
          </cell>
          <cell r="L215">
            <v>0.19025525099999999</v>
          </cell>
          <cell r="M215">
            <v>1.3070167000000001E-2</v>
          </cell>
          <cell r="N215">
            <v>0.67973856200000005</v>
          </cell>
          <cell r="O215">
            <v>7.1375099999999999E-4</v>
          </cell>
          <cell r="P215">
            <v>0.60406434499999995</v>
          </cell>
          <cell r="Q215">
            <v>2.2998472999999998E-2</v>
          </cell>
          <cell r="AI215">
            <v>0.27777777799999998</v>
          </cell>
          <cell r="AJ215">
            <v>6.57762E-4</v>
          </cell>
          <cell r="AK215">
            <v>0.32828362700000002</v>
          </cell>
          <cell r="AL215">
            <v>2.2094531000000001E-2</v>
          </cell>
          <cell r="AR215">
            <v>1.3071895E-2</v>
          </cell>
          <cell r="AS215">
            <v>4.2298400000000001E-5</v>
          </cell>
          <cell r="AT215">
            <v>2.6213604000000001E-2</v>
          </cell>
          <cell r="AU215">
            <v>5.4350899999999996E-4</v>
          </cell>
        </row>
        <row r="216">
          <cell r="D216">
            <v>424</v>
          </cell>
          <cell r="J216">
            <v>7.0754716999999995E-2</v>
          </cell>
          <cell r="K216">
            <v>1.55434E-4</v>
          </cell>
          <cell r="L216">
            <v>0.19025525099999999</v>
          </cell>
          <cell r="M216">
            <v>1.3070167000000001E-2</v>
          </cell>
          <cell r="N216">
            <v>0.77358490599999996</v>
          </cell>
          <cell r="O216">
            <v>4.1406899999999998E-4</v>
          </cell>
          <cell r="P216">
            <v>0.60406434499999995</v>
          </cell>
          <cell r="Q216">
            <v>2.2998472999999998E-2</v>
          </cell>
          <cell r="AI216">
            <v>0.16745283</v>
          </cell>
          <cell r="AJ216">
            <v>3.2958E-4</v>
          </cell>
          <cell r="AK216">
            <v>0.32828362700000002</v>
          </cell>
          <cell r="AL216">
            <v>2.2094531000000001E-2</v>
          </cell>
          <cell r="AR216">
            <v>1.4150942999999999E-2</v>
          </cell>
          <cell r="AS216">
            <v>3.29804E-5</v>
          </cell>
          <cell r="AT216">
            <v>2.6213604000000001E-2</v>
          </cell>
          <cell r="AU216">
            <v>5.4350899999999996E-4</v>
          </cell>
        </row>
        <row r="217">
          <cell r="D217">
            <v>313</v>
          </cell>
          <cell r="J217">
            <v>0.17891373799999999</v>
          </cell>
          <cell r="K217">
            <v>4.7084500000000001E-4</v>
          </cell>
          <cell r="L217">
            <v>0.19025525099999999</v>
          </cell>
          <cell r="M217">
            <v>1.3070167000000001E-2</v>
          </cell>
          <cell r="N217">
            <v>0.619808307</v>
          </cell>
          <cell r="O217">
            <v>7.5527600000000004E-4</v>
          </cell>
          <cell r="P217">
            <v>0.60406434499999995</v>
          </cell>
          <cell r="Q217">
            <v>2.2998472999999998E-2</v>
          </cell>
          <cell r="AI217">
            <v>0.35143770000000002</v>
          </cell>
          <cell r="AJ217">
            <v>7.3054200000000004E-4</v>
          </cell>
          <cell r="AK217">
            <v>0.32828362700000002</v>
          </cell>
          <cell r="AL217">
            <v>2.2094531000000001E-2</v>
          </cell>
          <cell r="AR217">
            <v>1.2779553000000001E-2</v>
          </cell>
          <cell r="AS217">
            <v>4.0436699999999999E-5</v>
          </cell>
          <cell r="AT217">
            <v>2.6213604000000001E-2</v>
          </cell>
          <cell r="AU217">
            <v>5.4350899999999996E-4</v>
          </cell>
        </row>
        <row r="218">
          <cell r="D218">
            <v>502</v>
          </cell>
          <cell r="J218">
            <v>0.109561753</v>
          </cell>
          <cell r="K218">
            <v>1.9472599999999999E-4</v>
          </cell>
          <cell r="L218">
            <v>0.19025525099999999</v>
          </cell>
          <cell r="M218">
            <v>1.3070167000000001E-2</v>
          </cell>
          <cell r="N218">
            <v>0.67330677299999997</v>
          </cell>
          <cell r="O218">
            <v>4.3905099999999998E-4</v>
          </cell>
          <cell r="P218">
            <v>0.60406434499999995</v>
          </cell>
          <cell r="Q218">
            <v>2.2998472999999998E-2</v>
          </cell>
          <cell r="AI218">
            <v>0.25896414299999998</v>
          </cell>
          <cell r="AJ218">
            <v>3.8303700000000003E-4</v>
          </cell>
          <cell r="AK218">
            <v>0.32828362700000002</v>
          </cell>
          <cell r="AL218">
            <v>2.2094531000000001E-2</v>
          </cell>
          <cell r="AR218">
            <v>9.9601589999999997E-3</v>
          </cell>
          <cell r="AS218">
            <v>1.96825E-5</v>
          </cell>
          <cell r="AT218">
            <v>2.6213604000000001E-2</v>
          </cell>
          <cell r="AU218">
            <v>5.4350899999999996E-4</v>
          </cell>
        </row>
        <row r="219">
          <cell r="D219">
            <v>513</v>
          </cell>
          <cell r="J219">
            <v>0.10331384</v>
          </cell>
          <cell r="K219">
            <v>1.8093800000000001E-4</v>
          </cell>
          <cell r="L219">
            <v>0.19025525099999999</v>
          </cell>
          <cell r="M219">
            <v>1.3070167000000001E-2</v>
          </cell>
          <cell r="N219">
            <v>0.74463937599999996</v>
          </cell>
          <cell r="O219">
            <v>3.7138999999999998E-4</v>
          </cell>
          <cell r="P219">
            <v>0.60406434499999995</v>
          </cell>
          <cell r="Q219">
            <v>2.2998472999999998E-2</v>
          </cell>
          <cell r="AI219">
            <v>0.16959064300000001</v>
          </cell>
          <cell r="AJ219">
            <v>2.7505800000000001E-4</v>
          </cell>
          <cell r="AK219">
            <v>0.32828362700000002</v>
          </cell>
          <cell r="AL219">
            <v>2.2094531000000001E-2</v>
          </cell>
          <cell r="AR219">
            <v>9.7465889999999999E-3</v>
          </cell>
          <cell r="AS219">
            <v>1.8850799999999999E-5</v>
          </cell>
          <cell r="AT219">
            <v>2.6213604000000001E-2</v>
          </cell>
          <cell r="AU219">
            <v>5.4350899999999996E-4</v>
          </cell>
        </row>
        <row r="220">
          <cell r="D220">
            <v>471</v>
          </cell>
          <cell r="J220">
            <v>0.10191082799999999</v>
          </cell>
          <cell r="K220">
            <v>1.9473400000000001E-4</v>
          </cell>
          <cell r="L220">
            <v>0.19025525099999999</v>
          </cell>
          <cell r="M220">
            <v>1.3070167000000001E-2</v>
          </cell>
          <cell r="N220">
            <v>0.73885350299999997</v>
          </cell>
          <cell r="O220">
            <v>4.1052999999999999E-4</v>
          </cell>
          <cell r="P220">
            <v>0.60406434499999995</v>
          </cell>
          <cell r="Q220">
            <v>2.2998472999999998E-2</v>
          </cell>
          <cell r="AI220">
            <v>0.18895966</v>
          </cell>
          <cell r="AJ220">
            <v>3.26072E-4</v>
          </cell>
          <cell r="AK220">
            <v>0.32828362700000002</v>
          </cell>
          <cell r="AL220">
            <v>2.2094531000000001E-2</v>
          </cell>
          <cell r="AR220">
            <v>1.6985138E-2</v>
          </cell>
          <cell r="AS220">
            <v>3.5524800000000002E-5</v>
          </cell>
          <cell r="AT220">
            <v>2.6213604000000001E-2</v>
          </cell>
          <cell r="AU220">
            <v>5.4350899999999996E-4</v>
          </cell>
        </row>
        <row r="230">
          <cell r="G230">
            <v>364</v>
          </cell>
          <cell r="H230">
            <v>626</v>
          </cell>
          <cell r="AD230">
            <v>0.87912087900000002</v>
          </cell>
          <cell r="AE230">
            <v>2.9274800000000001E-4</v>
          </cell>
          <cell r="AF230">
            <v>0.82777370100000003</v>
          </cell>
          <cell r="AG230">
            <v>4.4111050000000002E-3</v>
          </cell>
          <cell r="AM230">
            <v>0.80670926499999995</v>
          </cell>
          <cell r="AN230">
            <v>2.4948700000000001E-4</v>
          </cell>
          <cell r="AO230">
            <v>0.82773213099999998</v>
          </cell>
          <cell r="AP230">
            <v>1.0723709999999999E-3</v>
          </cell>
          <cell r="AV230">
            <v>0.19329073499999999</v>
          </cell>
          <cell r="AW230">
            <v>2.4948700000000001E-4</v>
          </cell>
          <cell r="AX230">
            <v>0.17226786899999999</v>
          </cell>
          <cell r="AY230">
            <v>1.0741590000000001E-3</v>
          </cell>
        </row>
        <row r="231">
          <cell r="G231">
            <v>204</v>
          </cell>
          <cell r="H231">
            <v>821</v>
          </cell>
          <cell r="AD231">
            <v>0.735294118</v>
          </cell>
          <cell r="AE231">
            <v>9.5880100000000001E-4</v>
          </cell>
          <cell r="AF231">
            <v>0.82777370100000003</v>
          </cell>
          <cell r="AG231">
            <v>4.4111050000000002E-3</v>
          </cell>
          <cell r="AM231">
            <v>0.78806333699999997</v>
          </cell>
          <cell r="AN231">
            <v>2.0368200000000001E-4</v>
          </cell>
          <cell r="AO231">
            <v>0.82773213099999998</v>
          </cell>
          <cell r="AP231">
            <v>1.0723709999999999E-3</v>
          </cell>
          <cell r="AV231">
            <v>0.211936663</v>
          </cell>
          <cell r="AW231">
            <v>2.0368200000000001E-4</v>
          </cell>
          <cell r="AX231">
            <v>0.17226786899999999</v>
          </cell>
          <cell r="AY231">
            <v>1.0741590000000001E-3</v>
          </cell>
        </row>
        <row r="232">
          <cell r="G232">
            <v>254</v>
          </cell>
          <cell r="H232">
            <v>576</v>
          </cell>
          <cell r="AD232">
            <v>0.90157480300000004</v>
          </cell>
          <cell r="AE232">
            <v>3.5074200000000002E-4</v>
          </cell>
          <cell r="AF232">
            <v>0.82777370100000003</v>
          </cell>
          <cell r="AG232">
            <v>4.4111050000000002E-3</v>
          </cell>
          <cell r="AM232">
            <v>0.87847222199999997</v>
          </cell>
          <cell r="AN232">
            <v>1.8566700000000001E-4</v>
          </cell>
          <cell r="AO232">
            <v>0.82773213099999998</v>
          </cell>
          <cell r="AP232">
            <v>1.0723709999999999E-3</v>
          </cell>
          <cell r="AV232">
            <v>0.121527778</v>
          </cell>
          <cell r="AW232">
            <v>1.8566700000000001E-4</v>
          </cell>
          <cell r="AX232">
            <v>0.17226786899999999</v>
          </cell>
          <cell r="AY232">
            <v>1.0741590000000001E-3</v>
          </cell>
        </row>
        <row r="233">
          <cell r="G233">
            <v>375</v>
          </cell>
          <cell r="H233">
            <v>731</v>
          </cell>
          <cell r="AD233">
            <v>0.85066666700000004</v>
          </cell>
          <cell r="AE233">
            <v>3.3965999999999998E-4</v>
          </cell>
          <cell r="AF233">
            <v>0.82777370100000003</v>
          </cell>
          <cell r="AG233">
            <v>4.4111050000000002E-3</v>
          </cell>
          <cell r="AM233">
            <v>0.88645690799999999</v>
          </cell>
          <cell r="AN233">
            <v>1.37878E-4</v>
          </cell>
          <cell r="AO233">
            <v>0.82773213099999998</v>
          </cell>
          <cell r="AP233">
            <v>1.0723709999999999E-3</v>
          </cell>
          <cell r="AV233">
            <v>0.113543092</v>
          </cell>
          <cell r="AW233">
            <v>1.37878E-4</v>
          </cell>
          <cell r="AX233">
            <v>0.17226786899999999</v>
          </cell>
          <cell r="AY233">
            <v>1.0741590000000001E-3</v>
          </cell>
        </row>
        <row r="234">
          <cell r="G234">
            <v>390</v>
          </cell>
          <cell r="H234">
            <v>729</v>
          </cell>
          <cell r="AD234">
            <v>0.90256410300000001</v>
          </cell>
          <cell r="AE234">
            <v>2.2607200000000001E-4</v>
          </cell>
          <cell r="AF234">
            <v>0.82777370100000003</v>
          </cell>
          <cell r="AG234">
            <v>4.4111050000000002E-3</v>
          </cell>
          <cell r="AM234">
            <v>0.82578875200000001</v>
          </cell>
          <cell r="AN234">
            <v>1.97612E-4</v>
          </cell>
          <cell r="AO234">
            <v>0.82773213099999998</v>
          </cell>
          <cell r="AP234">
            <v>1.0723709999999999E-3</v>
          </cell>
          <cell r="AV234">
            <v>0.17421124800000001</v>
          </cell>
          <cell r="AW234">
            <v>1.97612E-4</v>
          </cell>
          <cell r="AX234">
            <v>0.17226786899999999</v>
          </cell>
          <cell r="AY234">
            <v>1.0741590000000001E-3</v>
          </cell>
        </row>
        <row r="235">
          <cell r="G235">
            <v>963</v>
          </cell>
          <cell r="H235">
            <v>836</v>
          </cell>
          <cell r="AD235">
            <v>0.84631360300000003</v>
          </cell>
          <cell r="AE235">
            <v>1.35205E-4</v>
          </cell>
          <cell r="AF235">
            <v>0.82777370100000003</v>
          </cell>
          <cell r="AG235">
            <v>4.4111050000000002E-3</v>
          </cell>
          <cell r="AM235">
            <v>0.83732057400000004</v>
          </cell>
          <cell r="AN235">
            <v>1.63132E-4</v>
          </cell>
          <cell r="AO235">
            <v>0.82773213099999998</v>
          </cell>
          <cell r="AP235">
            <v>1.0723709999999999E-3</v>
          </cell>
          <cell r="AV235">
            <v>0.16267942599999999</v>
          </cell>
          <cell r="AW235">
            <v>1.63132E-4</v>
          </cell>
          <cell r="AX235">
            <v>0.17226786899999999</v>
          </cell>
          <cell r="AY235">
            <v>1.0741590000000001E-3</v>
          </cell>
        </row>
        <row r="236">
          <cell r="G236">
            <v>487</v>
          </cell>
          <cell r="H236">
            <v>801</v>
          </cell>
          <cell r="AD236">
            <v>0.89322381900000003</v>
          </cell>
          <cell r="AE236">
            <v>1.96245E-4</v>
          </cell>
          <cell r="AF236">
            <v>0.82777370100000003</v>
          </cell>
          <cell r="AG236">
            <v>4.4111050000000002E-3</v>
          </cell>
          <cell r="AM236">
            <v>0.856429463</v>
          </cell>
          <cell r="AN236">
            <v>1.5369799999999999E-4</v>
          </cell>
          <cell r="AO236">
            <v>0.82773213099999998</v>
          </cell>
          <cell r="AP236">
            <v>1.0723709999999999E-3</v>
          </cell>
          <cell r="AV236">
            <v>0.143570537</v>
          </cell>
          <cell r="AW236">
            <v>1.5369799999999999E-4</v>
          </cell>
          <cell r="AX236">
            <v>0.17226786899999999</v>
          </cell>
          <cell r="AY236">
            <v>1.0741590000000001E-3</v>
          </cell>
        </row>
        <row r="237">
          <cell r="G237">
            <v>457</v>
          </cell>
          <cell r="H237">
            <v>675</v>
          </cell>
          <cell r="AD237">
            <v>0.81181619299999996</v>
          </cell>
          <cell r="AE237">
            <v>3.3502299999999999E-4</v>
          </cell>
          <cell r="AF237">
            <v>0.82777370100000003</v>
          </cell>
          <cell r="AG237">
            <v>4.4111050000000002E-3</v>
          </cell>
          <cell r="AM237">
            <v>0.82814814800000003</v>
          </cell>
          <cell r="AN237">
            <v>2.1115500000000001E-4</v>
          </cell>
          <cell r="AO237">
            <v>0.82773213099999998</v>
          </cell>
          <cell r="AP237">
            <v>1.0723709999999999E-3</v>
          </cell>
          <cell r="AV237">
            <v>0.171851852</v>
          </cell>
          <cell r="AW237">
            <v>2.1115500000000001E-4</v>
          </cell>
          <cell r="AX237">
            <v>0.17226786899999999</v>
          </cell>
          <cell r="AY237">
            <v>1.0741590000000001E-3</v>
          </cell>
        </row>
        <row r="238">
          <cell r="G238">
            <v>557</v>
          </cell>
          <cell r="H238">
            <v>1423</v>
          </cell>
          <cell r="AD238">
            <v>0.84560143600000004</v>
          </cell>
          <cell r="AE238">
            <v>2.3482E-4</v>
          </cell>
          <cell r="AF238">
            <v>0.82777370100000003</v>
          </cell>
          <cell r="AG238">
            <v>4.4111050000000002E-3</v>
          </cell>
          <cell r="AM238">
            <v>0.78004216400000004</v>
          </cell>
          <cell r="AN238">
            <v>1.20658E-4</v>
          </cell>
          <cell r="AO238">
            <v>0.82773213099999998</v>
          </cell>
          <cell r="AP238">
            <v>1.0723709999999999E-3</v>
          </cell>
          <cell r="AV238">
            <v>0.21995783599999999</v>
          </cell>
          <cell r="AW238">
            <v>1.20658E-4</v>
          </cell>
          <cell r="AX238">
            <v>0.17226786899999999</v>
          </cell>
          <cell r="AY238">
            <v>1.0741590000000001E-3</v>
          </cell>
        </row>
        <row r="239">
          <cell r="G239">
            <v>1185</v>
          </cell>
          <cell r="H239">
            <v>2765</v>
          </cell>
          <cell r="AD239">
            <v>0.88438818600000002</v>
          </cell>
          <cell r="AE239">
            <v>8.6356199999999998E-5</v>
          </cell>
          <cell r="AF239">
            <v>0.82777370100000003</v>
          </cell>
          <cell r="AG239">
            <v>4.4111050000000002E-3</v>
          </cell>
          <cell r="AM239">
            <v>0.79710669099999998</v>
          </cell>
          <cell r="AN239">
            <v>5.8512199999999999E-5</v>
          </cell>
          <cell r="AO239">
            <v>0.82773213099999998</v>
          </cell>
          <cell r="AP239">
            <v>1.0723709999999999E-3</v>
          </cell>
          <cell r="AV239">
            <v>0.20289330899999999</v>
          </cell>
          <cell r="AW239">
            <v>5.8512199999999999E-5</v>
          </cell>
          <cell r="AX239">
            <v>0.17226786899999999</v>
          </cell>
          <cell r="AY239">
            <v>1.0741590000000001E-3</v>
          </cell>
        </row>
        <row r="240">
          <cell r="G240">
            <v>958</v>
          </cell>
          <cell r="H240">
            <v>2151</v>
          </cell>
          <cell r="AD240">
            <v>0.79018789099999998</v>
          </cell>
          <cell r="AE240">
            <v>1.7323999999999999E-4</v>
          </cell>
          <cell r="AF240">
            <v>0.82777370100000003</v>
          </cell>
          <cell r="AG240">
            <v>4.4111050000000002E-3</v>
          </cell>
          <cell r="AM240">
            <v>0.80009297999999995</v>
          </cell>
          <cell r="AN240">
            <v>7.4392699999999997E-5</v>
          </cell>
          <cell r="AO240">
            <v>0.82773213099999998</v>
          </cell>
          <cell r="AP240">
            <v>1.0723709999999999E-3</v>
          </cell>
          <cell r="AV240">
            <v>0.19990701999999999</v>
          </cell>
          <cell r="AW240">
            <v>7.4392699999999997E-5</v>
          </cell>
          <cell r="AX240">
            <v>0.17226786899999999</v>
          </cell>
          <cell r="AY240">
            <v>1.0741590000000001E-3</v>
          </cell>
        </row>
        <row r="241">
          <cell r="G241">
            <v>1749</v>
          </cell>
          <cell r="H241">
            <v>1595</v>
          </cell>
          <cell r="AD241">
            <v>0.69582618600000001</v>
          </cell>
          <cell r="AE241">
            <v>1.21082E-4</v>
          </cell>
          <cell r="AF241">
            <v>0.82777370100000003</v>
          </cell>
          <cell r="AG241">
            <v>4.4111050000000002E-3</v>
          </cell>
          <cell r="AM241">
            <v>0.82257053300000005</v>
          </cell>
          <cell r="AN241">
            <v>9.1561E-5</v>
          </cell>
          <cell r="AO241">
            <v>0.82773213099999998</v>
          </cell>
          <cell r="AP241">
            <v>1.0723709999999999E-3</v>
          </cell>
          <cell r="AV241">
            <v>0.17742946700000001</v>
          </cell>
          <cell r="AW241">
            <v>9.1561E-5</v>
          </cell>
          <cell r="AX241">
            <v>0.17226786899999999</v>
          </cell>
          <cell r="AY241">
            <v>1.0741590000000001E-3</v>
          </cell>
        </row>
        <row r="242">
          <cell r="G242">
            <v>640</v>
          </cell>
          <cell r="H242">
            <v>524</v>
          </cell>
          <cell r="AD242">
            <v>0.74531250000000004</v>
          </cell>
          <cell r="AE242">
            <v>2.9706099999999999E-4</v>
          </cell>
          <cell r="AF242">
            <v>0.82777370100000003</v>
          </cell>
          <cell r="AG242">
            <v>4.4111050000000002E-3</v>
          </cell>
          <cell r="AV242">
            <v>0.145038168</v>
          </cell>
          <cell r="AW242">
            <v>2.3709800000000001E-4</v>
          </cell>
          <cell r="AX242">
            <v>0.17226786899999999</v>
          </cell>
          <cell r="AY242">
            <v>1.0741590000000001E-3</v>
          </cell>
        </row>
        <row r="252">
          <cell r="D252">
            <v>1221</v>
          </cell>
          <cell r="J252">
            <v>0.246519247</v>
          </cell>
          <cell r="K252">
            <v>1.5225199999999999E-4</v>
          </cell>
          <cell r="L252">
            <v>0.22084458100000001</v>
          </cell>
          <cell r="M252">
            <v>1.365163E-3</v>
          </cell>
          <cell r="N252">
            <v>9.9099098999999996E-2</v>
          </cell>
          <cell r="O252">
            <v>7.3179100000000005E-5</v>
          </cell>
          <cell r="P252">
            <v>0.102415992</v>
          </cell>
          <cell r="Q252">
            <v>1.7392600000000001E-3</v>
          </cell>
          <cell r="AI252">
            <v>0.75184275199999995</v>
          </cell>
          <cell r="AJ252">
            <v>1.52931E-4</v>
          </cell>
          <cell r="AK252">
            <v>0.70954271800000002</v>
          </cell>
          <cell r="AL252">
            <v>1.9049780000000001E-3</v>
          </cell>
          <cell r="AR252">
            <v>0.10892710899999999</v>
          </cell>
          <cell r="AS252">
            <v>7.9559000000000002E-5</v>
          </cell>
          <cell r="AT252">
            <v>0.112032852</v>
          </cell>
          <cell r="AU252">
            <v>1.0560649999999999E-3</v>
          </cell>
        </row>
        <row r="253">
          <cell r="D253">
            <v>1591</v>
          </cell>
          <cell r="J253">
            <v>0.233815211</v>
          </cell>
          <cell r="K253">
            <v>1.1267E-4</v>
          </cell>
          <cell r="L253">
            <v>0.22084458100000001</v>
          </cell>
          <cell r="M253">
            <v>1.365163E-3</v>
          </cell>
          <cell r="N253">
            <v>7.7938404000000003E-2</v>
          </cell>
          <cell r="O253">
            <v>4.5197500000000002E-5</v>
          </cell>
          <cell r="P253">
            <v>0.102415992</v>
          </cell>
          <cell r="Q253">
            <v>1.7392600000000001E-3</v>
          </cell>
          <cell r="AI253">
            <v>0.76492771800000003</v>
          </cell>
          <cell r="AJ253">
            <v>1.1309E-4</v>
          </cell>
          <cell r="AK253">
            <v>0.70954271800000002</v>
          </cell>
          <cell r="AL253">
            <v>1.9049780000000001E-3</v>
          </cell>
          <cell r="AR253">
            <v>0.12130735400000001</v>
          </cell>
          <cell r="AS253">
            <v>6.7038899999999999E-5</v>
          </cell>
          <cell r="AT253">
            <v>0.112032852</v>
          </cell>
          <cell r="AU253">
            <v>1.0560649999999999E-3</v>
          </cell>
        </row>
        <row r="254">
          <cell r="D254">
            <v>1203</v>
          </cell>
          <cell r="J254">
            <v>0.20532003300000001</v>
          </cell>
          <cell r="K254">
            <v>1.3574400000000001E-4</v>
          </cell>
          <cell r="L254">
            <v>0.22084458100000001</v>
          </cell>
          <cell r="M254">
            <v>1.365163E-3</v>
          </cell>
          <cell r="N254">
            <v>0.12551953399999999</v>
          </cell>
          <cell r="O254">
            <v>9.1318100000000002E-5</v>
          </cell>
          <cell r="P254">
            <v>0.102415992</v>
          </cell>
          <cell r="Q254">
            <v>1.7392600000000001E-3</v>
          </cell>
          <cell r="AI254">
            <v>0.71903574400000003</v>
          </cell>
          <cell r="AJ254">
            <v>1.68073E-4</v>
          </cell>
          <cell r="AK254">
            <v>0.70954271800000002</v>
          </cell>
          <cell r="AL254">
            <v>1.9049780000000001E-3</v>
          </cell>
          <cell r="AR254">
            <v>9.1438070999999996E-2</v>
          </cell>
          <cell r="AS254">
            <v>6.9115800000000007E-5</v>
          </cell>
          <cell r="AT254">
            <v>0.112032852</v>
          </cell>
          <cell r="AU254">
            <v>1.0560649999999999E-3</v>
          </cell>
        </row>
        <row r="255">
          <cell r="D255">
            <v>1041</v>
          </cell>
          <cell r="J255">
            <v>0.20845341000000001</v>
          </cell>
          <cell r="K255">
            <v>1.5865399999999999E-4</v>
          </cell>
          <cell r="L255">
            <v>0.22084458100000001</v>
          </cell>
          <cell r="M255">
            <v>1.365163E-3</v>
          </cell>
          <cell r="N255">
            <v>9.0297791000000002E-2</v>
          </cell>
          <cell r="O255">
            <v>7.8984699999999996E-5</v>
          </cell>
          <cell r="P255">
            <v>0.102415992</v>
          </cell>
          <cell r="Q255">
            <v>1.7392600000000001E-3</v>
          </cell>
          <cell r="AI255">
            <v>0.71950048</v>
          </cell>
          <cell r="AJ255">
            <v>1.94057E-4</v>
          </cell>
          <cell r="AK255">
            <v>0.70954271800000002</v>
          </cell>
          <cell r="AL255">
            <v>1.9049780000000001E-3</v>
          </cell>
          <cell r="AR255">
            <v>7.6849183000000001E-2</v>
          </cell>
          <cell r="AS255">
            <v>6.8214799999999996E-5</v>
          </cell>
          <cell r="AT255">
            <v>0.112032852</v>
          </cell>
          <cell r="AU255">
            <v>1.0560649999999999E-3</v>
          </cell>
        </row>
        <row r="256">
          <cell r="D256">
            <v>1117</v>
          </cell>
          <cell r="J256">
            <v>0.28021486099999998</v>
          </cell>
          <cell r="K256">
            <v>1.8073000000000001E-4</v>
          </cell>
          <cell r="L256">
            <v>0.22084458100000001</v>
          </cell>
          <cell r="M256">
            <v>1.365163E-3</v>
          </cell>
          <cell r="N256">
            <v>9.6687555999999994E-2</v>
          </cell>
          <cell r="O256">
            <v>7.8260800000000001E-5</v>
          </cell>
          <cell r="P256">
            <v>0.102415992</v>
          </cell>
          <cell r="Q256">
            <v>1.7392600000000001E-3</v>
          </cell>
          <cell r="AI256">
            <v>0.77350044799999995</v>
          </cell>
          <cell r="AJ256">
            <v>1.5698700000000001E-4</v>
          </cell>
          <cell r="AK256">
            <v>0.70954271800000002</v>
          </cell>
          <cell r="AL256">
            <v>1.9049780000000001E-3</v>
          </cell>
          <cell r="AR256">
            <v>5.5505818999999998E-2</v>
          </cell>
          <cell r="AS256">
            <v>4.6975699999999998E-5</v>
          </cell>
          <cell r="AT256">
            <v>0.112032852</v>
          </cell>
          <cell r="AU256">
            <v>1.0560649999999999E-3</v>
          </cell>
        </row>
        <row r="257">
          <cell r="D257">
            <v>1283</v>
          </cell>
          <cell r="J257">
            <v>0.27513639899999998</v>
          </cell>
          <cell r="K257">
            <v>1.5556700000000001E-4</v>
          </cell>
          <cell r="L257">
            <v>0.22084458100000001</v>
          </cell>
          <cell r="M257">
            <v>1.365163E-3</v>
          </cell>
          <cell r="N257">
            <v>9.6648479999999995E-2</v>
          </cell>
          <cell r="O257">
            <v>6.8102599999999994E-5</v>
          </cell>
          <cell r="P257">
            <v>0.102415992</v>
          </cell>
          <cell r="Q257">
            <v>1.7392600000000001E-3</v>
          </cell>
          <cell r="AI257">
            <v>0.71940763799999996</v>
          </cell>
          <cell r="AJ257">
            <v>1.5745700000000001E-4</v>
          </cell>
          <cell r="AK257">
            <v>0.70954271800000002</v>
          </cell>
          <cell r="AL257">
            <v>1.9049780000000001E-3</v>
          </cell>
          <cell r="AR257">
            <v>0.11457521399999999</v>
          </cell>
          <cell r="AS257">
            <v>7.9132400000000002E-5</v>
          </cell>
          <cell r="AT257">
            <v>0.112032852</v>
          </cell>
          <cell r="AU257">
            <v>1.0560649999999999E-3</v>
          </cell>
        </row>
        <row r="258">
          <cell r="D258">
            <v>1167</v>
          </cell>
          <cell r="J258">
            <v>0.26649528700000003</v>
          </cell>
          <cell r="K258">
            <v>1.67646E-4</v>
          </cell>
          <cell r="L258">
            <v>0.22084458100000001</v>
          </cell>
          <cell r="M258">
            <v>1.365163E-3</v>
          </cell>
          <cell r="N258">
            <v>3.5132819000000003E-2</v>
          </cell>
          <cell r="O258">
            <v>2.90725E-5</v>
          </cell>
          <cell r="P258">
            <v>0.102415992</v>
          </cell>
          <cell r="Q258">
            <v>1.7392600000000001E-3</v>
          </cell>
          <cell r="AI258">
            <v>0.715509854</v>
          </cell>
          <cell r="AJ258">
            <v>1.7457599999999999E-4</v>
          </cell>
          <cell r="AK258">
            <v>0.70954271800000002</v>
          </cell>
          <cell r="AL258">
            <v>1.9049780000000001E-3</v>
          </cell>
          <cell r="AR258">
            <v>0.14481576700000001</v>
          </cell>
          <cell r="AS258">
            <v>1.0621299999999999E-4</v>
          </cell>
          <cell r="AT258">
            <v>0.112032852</v>
          </cell>
          <cell r="AU258">
            <v>1.0560649999999999E-3</v>
          </cell>
        </row>
        <row r="259">
          <cell r="D259">
            <v>1571</v>
          </cell>
          <cell r="J259">
            <v>0.187141948</v>
          </cell>
          <cell r="K259">
            <v>9.6891600000000006E-5</v>
          </cell>
          <cell r="L259">
            <v>0.22084458100000001</v>
          </cell>
          <cell r="M259">
            <v>1.365163E-3</v>
          </cell>
          <cell r="N259">
            <v>0.12667091</v>
          </cell>
          <cell r="O259">
            <v>7.0462000000000004E-5</v>
          </cell>
          <cell r="P259">
            <v>0.102415992</v>
          </cell>
          <cell r="Q259">
            <v>1.7392600000000001E-3</v>
          </cell>
          <cell r="AI259">
            <v>0.69700827499999995</v>
          </cell>
          <cell r="AJ259">
            <v>1.3451399999999999E-4</v>
          </cell>
          <cell r="AK259">
            <v>0.70954271800000002</v>
          </cell>
          <cell r="AL259">
            <v>1.9049780000000001E-3</v>
          </cell>
          <cell r="AR259">
            <v>0.12985359599999999</v>
          </cell>
          <cell r="AS259">
            <v>7.1969200000000002E-5</v>
          </cell>
          <cell r="AT259">
            <v>0.112032852</v>
          </cell>
          <cell r="AU259">
            <v>1.0560649999999999E-3</v>
          </cell>
        </row>
        <row r="260">
          <cell r="D260">
            <v>1979</v>
          </cell>
          <cell r="J260">
            <v>0.16776149600000001</v>
          </cell>
          <cell r="K260">
            <v>7.0585200000000003E-5</v>
          </cell>
          <cell r="L260">
            <v>0.22084458100000001</v>
          </cell>
          <cell r="M260">
            <v>1.365163E-3</v>
          </cell>
          <cell r="N260">
            <v>7.5290550999999997E-2</v>
          </cell>
          <cell r="O260">
            <v>3.5198099999999998E-5</v>
          </cell>
          <cell r="P260">
            <v>0.102415992</v>
          </cell>
          <cell r="Q260">
            <v>1.7392600000000001E-3</v>
          </cell>
          <cell r="AI260">
            <v>0.67003537099999999</v>
          </cell>
          <cell r="AJ260">
            <v>1.11773E-4</v>
          </cell>
          <cell r="AK260">
            <v>0.70954271800000002</v>
          </cell>
          <cell r="AL260">
            <v>1.9049780000000001E-3</v>
          </cell>
          <cell r="AR260">
            <v>0.16422435599999999</v>
          </cell>
          <cell r="AS260">
            <v>6.9390700000000006E-5</v>
          </cell>
          <cell r="AT260">
            <v>0.112032852</v>
          </cell>
          <cell r="AU260">
            <v>1.0560649999999999E-3</v>
          </cell>
        </row>
        <row r="261">
          <cell r="D261">
            <v>1976</v>
          </cell>
          <cell r="J261">
            <v>0.17763157900000001</v>
          </cell>
          <cell r="K261">
            <v>7.3963799999999998E-5</v>
          </cell>
          <cell r="L261">
            <v>0.22084458100000001</v>
          </cell>
          <cell r="M261">
            <v>1.365163E-3</v>
          </cell>
          <cell r="N261">
            <v>6.2753035999999998E-2</v>
          </cell>
          <cell r="O261">
            <v>2.9779799999999999E-5</v>
          </cell>
          <cell r="P261">
            <v>0.102415992</v>
          </cell>
          <cell r="Q261">
            <v>1.7392600000000001E-3</v>
          </cell>
          <cell r="AI261">
            <v>0.75708502</v>
          </cell>
          <cell r="AJ261">
            <v>9.3117599999999998E-5</v>
          </cell>
          <cell r="AK261">
            <v>0.70954271800000002</v>
          </cell>
          <cell r="AL261">
            <v>1.9049780000000001E-3</v>
          </cell>
          <cell r="AR261">
            <v>0.11386639699999999</v>
          </cell>
          <cell r="AS261">
            <v>5.1088999999999998E-5</v>
          </cell>
          <cell r="AT261">
            <v>0.112032852</v>
          </cell>
          <cell r="AU261">
            <v>1.0560649999999999E-3</v>
          </cell>
        </row>
        <row r="262">
          <cell r="D262">
            <v>1997</v>
          </cell>
          <cell r="J262">
            <v>0.17826740099999999</v>
          </cell>
          <cell r="K262">
            <v>7.3390800000000002E-5</v>
          </cell>
          <cell r="L262">
            <v>0.22084458100000001</v>
          </cell>
          <cell r="M262">
            <v>1.365163E-3</v>
          </cell>
          <cell r="N262">
            <v>7.7616425000000003E-2</v>
          </cell>
          <cell r="O262">
            <v>3.5867800000000002E-5</v>
          </cell>
          <cell r="P262">
            <v>0.102415992</v>
          </cell>
          <cell r="Q262">
            <v>1.7392600000000001E-3</v>
          </cell>
          <cell r="AI262">
            <v>0.69404106200000004</v>
          </cell>
          <cell r="AJ262">
            <v>1.06387E-4</v>
          </cell>
          <cell r="AK262">
            <v>0.70954271800000002</v>
          </cell>
          <cell r="AL262">
            <v>1.9049780000000001E-3</v>
          </cell>
          <cell r="AR262">
            <v>0.14972458699999999</v>
          </cell>
          <cell r="AS262">
            <v>6.3781099999999998E-5</v>
          </cell>
          <cell r="AT262">
            <v>0.112032852</v>
          </cell>
          <cell r="AU262">
            <v>1.0560649999999999E-3</v>
          </cell>
        </row>
        <row r="263">
          <cell r="D263">
            <v>1472</v>
          </cell>
          <cell r="J263">
            <v>0.228940217</v>
          </cell>
          <cell r="K263">
            <v>1.20004E-4</v>
          </cell>
          <cell r="L263">
            <v>0.22084458100000001</v>
          </cell>
          <cell r="M263">
            <v>1.365163E-3</v>
          </cell>
          <cell r="N263">
            <v>0.11073369600000001</v>
          </cell>
          <cell r="O263">
            <v>6.6941999999999997E-5</v>
          </cell>
          <cell r="P263">
            <v>0.102415992</v>
          </cell>
          <cell r="Q263">
            <v>1.7392600000000001E-3</v>
          </cell>
          <cell r="AI263">
            <v>0.66915760899999999</v>
          </cell>
          <cell r="AJ263">
            <v>1.505E-4</v>
          </cell>
          <cell r="AK263">
            <v>0.70954271800000002</v>
          </cell>
          <cell r="AL263">
            <v>1.9049780000000001E-3</v>
          </cell>
          <cell r="AR263">
            <v>0.13790760899999999</v>
          </cell>
          <cell r="AS263">
            <v>8.0822000000000006E-5</v>
          </cell>
          <cell r="AT263">
            <v>0.112032852</v>
          </cell>
          <cell r="AU263">
            <v>1.0560649999999999E-3</v>
          </cell>
        </row>
        <row r="264">
          <cell r="D264">
            <v>1657</v>
          </cell>
          <cell r="J264">
            <v>0.21062160499999999</v>
          </cell>
          <cell r="K264">
            <v>1.00399E-4</v>
          </cell>
          <cell r="L264">
            <v>0.22084458100000001</v>
          </cell>
          <cell r="M264">
            <v>1.365163E-3</v>
          </cell>
          <cell r="N264">
            <v>0.15570307799999999</v>
          </cell>
          <cell r="O264">
            <v>7.9383799999999997E-5</v>
          </cell>
          <cell r="P264">
            <v>0.102415992</v>
          </cell>
          <cell r="Q264">
            <v>1.7392600000000001E-3</v>
          </cell>
          <cell r="AI264">
            <v>0.63246831599999997</v>
          </cell>
          <cell r="AJ264">
            <v>1.4037000000000001E-4</v>
          </cell>
          <cell r="AK264">
            <v>0.70954271800000002</v>
          </cell>
          <cell r="AL264">
            <v>1.9049780000000001E-3</v>
          </cell>
          <cell r="AR264">
            <v>9.4146046999999997E-2</v>
          </cell>
          <cell r="AS264">
            <v>5.1499100000000003E-5</v>
          </cell>
          <cell r="AT264">
            <v>0.112032852</v>
          </cell>
          <cell r="AU264">
            <v>1.0560649999999999E-3</v>
          </cell>
        </row>
        <row r="274">
          <cell r="G274">
            <v>525</v>
          </cell>
          <cell r="H274">
            <v>292</v>
          </cell>
          <cell r="AD274">
            <v>0.98476190500000005</v>
          </cell>
          <cell r="AE274">
            <v>2.8637200000000001E-5</v>
          </cell>
          <cell r="AF274">
            <v>0.98349167199999998</v>
          </cell>
          <cell r="AG274">
            <v>8.9143399999999998E-5</v>
          </cell>
          <cell r="AM274">
            <v>0.96232876700000003</v>
          </cell>
          <cell r="AN274">
            <v>1.24578E-4</v>
          </cell>
          <cell r="AO274">
            <v>0.94453026799999995</v>
          </cell>
          <cell r="AP274">
            <v>9.1548599999999997E-4</v>
          </cell>
          <cell r="AV274">
            <v>3.7671232999999998E-2</v>
          </cell>
          <cell r="AW274">
            <v>1.24578E-4</v>
          </cell>
          <cell r="AX274">
            <v>5.5469732000000001E-2</v>
          </cell>
          <cell r="AY274">
            <v>9.1752999999999995E-4</v>
          </cell>
        </row>
        <row r="275">
          <cell r="G275">
            <v>880</v>
          </cell>
          <cell r="H275">
            <v>634</v>
          </cell>
          <cell r="AD275">
            <v>0.98068181799999998</v>
          </cell>
          <cell r="AE275">
            <v>2.1552900000000002E-5</v>
          </cell>
          <cell r="AF275">
            <v>0.98349167199999998</v>
          </cell>
          <cell r="AG275">
            <v>8.9143399999999998E-5</v>
          </cell>
          <cell r="AM275">
            <v>0.97003154599999997</v>
          </cell>
          <cell r="AN275">
            <v>4.5924699999999998E-5</v>
          </cell>
          <cell r="AO275">
            <v>0.94453026799999995</v>
          </cell>
          <cell r="AP275">
            <v>9.1548599999999997E-4</v>
          </cell>
          <cell r="AV275">
            <v>2.9968453999999999E-2</v>
          </cell>
          <cell r="AW275">
            <v>4.5924699999999998E-5</v>
          </cell>
          <cell r="AX275">
            <v>5.5469732000000001E-2</v>
          </cell>
          <cell r="AY275">
            <v>9.1752999999999995E-4</v>
          </cell>
        </row>
        <row r="276">
          <cell r="G276">
            <v>1714</v>
          </cell>
          <cell r="H276">
            <v>918</v>
          </cell>
          <cell r="AD276">
            <v>0.98483080499999998</v>
          </cell>
          <cell r="AE276">
            <v>8.7210100000000007E-6</v>
          </cell>
          <cell r="AF276">
            <v>0.98349167199999998</v>
          </cell>
          <cell r="AG276">
            <v>8.9143399999999998E-5</v>
          </cell>
          <cell r="AM276">
            <v>0.95098039199999995</v>
          </cell>
          <cell r="AN276">
            <v>5.0836099999999999E-5</v>
          </cell>
          <cell r="AO276">
            <v>0.94453026799999995</v>
          </cell>
          <cell r="AP276">
            <v>9.1548599999999997E-4</v>
          </cell>
          <cell r="AV276">
            <v>4.9019607999999999E-2</v>
          </cell>
          <cell r="AW276">
            <v>5.0836099999999999E-5</v>
          </cell>
          <cell r="AX276">
            <v>5.5469732000000001E-2</v>
          </cell>
          <cell r="AY276">
            <v>9.1752999999999995E-4</v>
          </cell>
        </row>
        <row r="277">
          <cell r="G277">
            <v>761</v>
          </cell>
          <cell r="H277">
            <v>556</v>
          </cell>
          <cell r="AD277">
            <v>0.97634691200000001</v>
          </cell>
          <cell r="AE277">
            <v>3.0386300000000001E-5</v>
          </cell>
          <cell r="AF277">
            <v>0.98349167199999998</v>
          </cell>
          <cell r="AG277">
            <v>8.9143399999999998E-5</v>
          </cell>
          <cell r="AM277">
            <v>0.96043165500000005</v>
          </cell>
          <cell r="AN277">
            <v>6.8473300000000001E-5</v>
          </cell>
          <cell r="AO277">
            <v>0.94453026799999995</v>
          </cell>
          <cell r="AP277">
            <v>9.1548599999999997E-4</v>
          </cell>
          <cell r="AV277">
            <v>3.9568344999999998E-2</v>
          </cell>
          <cell r="AW277">
            <v>6.8473300000000001E-5</v>
          </cell>
          <cell r="AX277">
            <v>5.5469732000000001E-2</v>
          </cell>
          <cell r="AY277">
            <v>9.1752999999999995E-4</v>
          </cell>
        </row>
        <row r="278">
          <cell r="G278">
            <v>1117</v>
          </cell>
          <cell r="H278">
            <v>702</v>
          </cell>
          <cell r="AD278">
            <v>0.98746642799999995</v>
          </cell>
          <cell r="AE278">
            <v>1.1090000000000001E-5</v>
          </cell>
          <cell r="AF278">
            <v>0.98349167199999998</v>
          </cell>
          <cell r="AG278">
            <v>8.9143399999999998E-5</v>
          </cell>
          <cell r="AM278">
            <v>0.97435897400000004</v>
          </cell>
          <cell r="AN278">
            <v>3.5639899999999997E-5</v>
          </cell>
          <cell r="AO278">
            <v>0.94453026799999995</v>
          </cell>
          <cell r="AP278">
            <v>9.1548599999999997E-4</v>
          </cell>
          <cell r="AV278">
            <v>2.5641026000000001E-2</v>
          </cell>
          <cell r="AW278">
            <v>3.5639899999999997E-5</v>
          </cell>
          <cell r="AX278">
            <v>5.5469732000000001E-2</v>
          </cell>
          <cell r="AY278">
            <v>9.1752999999999995E-4</v>
          </cell>
        </row>
        <row r="279">
          <cell r="G279">
            <v>1398</v>
          </cell>
          <cell r="H279">
            <v>489</v>
          </cell>
          <cell r="AD279">
            <v>0.99284692399999996</v>
          </cell>
          <cell r="AE279">
            <v>5.0836900000000003E-6</v>
          </cell>
          <cell r="AF279">
            <v>0.98349167199999998</v>
          </cell>
          <cell r="AG279">
            <v>8.9143399999999998E-5</v>
          </cell>
          <cell r="AM279">
            <v>0.93660531700000005</v>
          </cell>
          <cell r="AN279">
            <v>1.21672E-4</v>
          </cell>
          <cell r="AO279">
            <v>0.94453026799999995</v>
          </cell>
          <cell r="AP279">
            <v>9.1548599999999997E-4</v>
          </cell>
          <cell r="AV279">
            <v>6.3394682999999993E-2</v>
          </cell>
          <cell r="AW279">
            <v>1.21672E-4</v>
          </cell>
          <cell r="AX279">
            <v>5.5469732000000001E-2</v>
          </cell>
          <cell r="AY279">
            <v>9.1752999999999995E-4</v>
          </cell>
        </row>
        <row r="280">
          <cell r="G280">
            <v>1429</v>
          </cell>
          <cell r="H280">
            <v>635</v>
          </cell>
          <cell r="AD280">
            <v>0.96571028699999995</v>
          </cell>
          <cell r="AE280">
            <v>2.3189000000000001E-5</v>
          </cell>
          <cell r="AF280">
            <v>0.98349167199999998</v>
          </cell>
          <cell r="AG280">
            <v>8.9143399999999998E-5</v>
          </cell>
          <cell r="AM280">
            <v>0.94803149600000003</v>
          </cell>
          <cell r="AN280">
            <v>7.7709399999999998E-5</v>
          </cell>
          <cell r="AO280">
            <v>0.94453026799999995</v>
          </cell>
          <cell r="AP280">
            <v>9.1548599999999997E-4</v>
          </cell>
          <cell r="AV280">
            <v>5.1968503999999999E-2</v>
          </cell>
          <cell r="AW280">
            <v>7.7709399999999998E-5</v>
          </cell>
          <cell r="AX280">
            <v>5.5469732000000001E-2</v>
          </cell>
          <cell r="AY280">
            <v>9.1752999999999995E-4</v>
          </cell>
        </row>
        <row r="281">
          <cell r="G281">
            <v>2502</v>
          </cell>
          <cell r="H281">
            <v>720</v>
          </cell>
          <cell r="AD281">
            <v>0.98641087100000002</v>
          </cell>
          <cell r="AE281">
            <v>5.3596399999999997E-6</v>
          </cell>
          <cell r="AF281">
            <v>0.98349167199999998</v>
          </cell>
          <cell r="AG281">
            <v>8.9143399999999998E-5</v>
          </cell>
          <cell r="AM281">
            <v>0.94444444400000005</v>
          </cell>
          <cell r="AN281">
            <v>7.2975199999999999E-5</v>
          </cell>
          <cell r="AO281">
            <v>0.94453026799999995</v>
          </cell>
          <cell r="AP281">
            <v>9.1548599999999997E-4</v>
          </cell>
          <cell r="AV281">
            <v>5.5555555999999999E-2</v>
          </cell>
          <cell r="AW281">
            <v>7.2975199999999999E-5</v>
          </cell>
          <cell r="AX281">
            <v>5.5469732000000001E-2</v>
          </cell>
          <cell r="AY281">
            <v>9.1752999999999995E-4</v>
          </cell>
        </row>
        <row r="282">
          <cell r="G282">
            <v>2746</v>
          </cell>
          <cell r="H282">
            <v>1021</v>
          </cell>
          <cell r="AD282">
            <v>0.96467589200000003</v>
          </cell>
          <cell r="AE282">
            <v>1.2414E-5</v>
          </cell>
          <cell r="AF282">
            <v>0.98349167199999998</v>
          </cell>
          <cell r="AG282">
            <v>8.9143399999999998E-5</v>
          </cell>
          <cell r="AM282">
            <v>0.95788442699999998</v>
          </cell>
          <cell r="AN282">
            <v>3.9550800000000001E-5</v>
          </cell>
          <cell r="AO282">
            <v>0.94453026799999995</v>
          </cell>
          <cell r="AP282">
            <v>9.1548599999999997E-4</v>
          </cell>
          <cell r="AV282">
            <v>4.2115573000000003E-2</v>
          </cell>
          <cell r="AW282">
            <v>3.9550800000000001E-5</v>
          </cell>
          <cell r="AX282">
            <v>5.5469732000000001E-2</v>
          </cell>
          <cell r="AY282">
            <v>9.1752999999999995E-4</v>
          </cell>
        </row>
        <row r="283">
          <cell r="G283">
            <v>2836</v>
          </cell>
          <cell r="H283">
            <v>1053</v>
          </cell>
          <cell r="AD283">
            <v>0.98942172100000003</v>
          </cell>
          <cell r="AE283">
            <v>3.6918399999999998E-6</v>
          </cell>
          <cell r="AF283">
            <v>0.98349167199999998</v>
          </cell>
          <cell r="AG283">
            <v>8.9143399999999998E-5</v>
          </cell>
          <cell r="AM283">
            <v>0.96391263100000002</v>
          </cell>
          <cell r="AN283">
            <v>3.3065699999999998E-5</v>
          </cell>
          <cell r="AO283">
            <v>0.94453026799999995</v>
          </cell>
          <cell r="AP283">
            <v>9.1548599999999997E-4</v>
          </cell>
          <cell r="AV283">
            <v>3.6087369000000001E-2</v>
          </cell>
          <cell r="AW283">
            <v>3.3065699999999998E-5</v>
          </cell>
          <cell r="AX283">
            <v>5.5469732000000001E-2</v>
          </cell>
          <cell r="AY283">
            <v>9.1752999999999995E-4</v>
          </cell>
        </row>
        <row r="284">
          <cell r="G284">
            <v>3442</v>
          </cell>
          <cell r="H284">
            <v>951</v>
          </cell>
          <cell r="AD284">
            <v>0.99331783799999995</v>
          </cell>
          <cell r="AE284">
            <v>1.92895E-6</v>
          </cell>
          <cell r="AF284">
            <v>0.98349167199999998</v>
          </cell>
          <cell r="AG284">
            <v>8.9143399999999998E-5</v>
          </cell>
          <cell r="AM284">
            <v>0.94742376399999995</v>
          </cell>
          <cell r="AN284">
            <v>5.2433699999999999E-5</v>
          </cell>
          <cell r="AO284">
            <v>0.94453026799999995</v>
          </cell>
          <cell r="AP284">
            <v>9.1548599999999997E-4</v>
          </cell>
          <cell r="AV284">
            <v>5.2576235999999998E-2</v>
          </cell>
          <cell r="AW284">
            <v>5.2433699999999999E-5</v>
          </cell>
          <cell r="AX284">
            <v>5.5469732000000001E-2</v>
          </cell>
          <cell r="AY284">
            <v>9.1752999999999995E-4</v>
          </cell>
        </row>
        <row r="285">
          <cell r="G285">
            <v>3327</v>
          </cell>
          <cell r="H285">
            <v>828</v>
          </cell>
          <cell r="AD285">
            <v>0.98767658599999997</v>
          </cell>
          <cell r="AE285">
            <v>3.65952E-6</v>
          </cell>
          <cell r="AF285">
            <v>0.98349167199999998</v>
          </cell>
          <cell r="AG285">
            <v>8.9143399999999998E-5</v>
          </cell>
          <cell r="AM285">
            <v>0.89492753599999997</v>
          </cell>
          <cell r="AN285">
            <v>1.1370300000000001E-4</v>
          </cell>
          <cell r="AO285">
            <v>0.94453026799999995</v>
          </cell>
          <cell r="AP285">
            <v>9.1548599999999997E-4</v>
          </cell>
          <cell r="AV285">
            <v>0.105072464</v>
          </cell>
          <cell r="AW285">
            <v>1.1370300000000001E-4</v>
          </cell>
          <cell r="AX285">
            <v>5.5469732000000001E-2</v>
          </cell>
          <cell r="AY285">
            <v>9.1752999999999995E-4</v>
          </cell>
        </row>
        <row r="286">
          <cell r="G286">
            <v>3638</v>
          </cell>
          <cell r="H286">
            <v>718</v>
          </cell>
          <cell r="AD286">
            <v>0.99505222599999998</v>
          </cell>
          <cell r="AE286">
            <v>1.3536700000000001E-6</v>
          </cell>
          <cell r="AF286">
            <v>0.98349167199999998</v>
          </cell>
          <cell r="AG286">
            <v>8.9143399999999998E-5</v>
          </cell>
          <cell r="AM286">
            <v>0.86350974899999999</v>
          </cell>
          <cell r="AN286">
            <v>1.6437999999999999E-4</v>
          </cell>
          <cell r="AO286">
            <v>0.94453026799999995</v>
          </cell>
          <cell r="AP286">
            <v>9.1548599999999997E-4</v>
          </cell>
          <cell r="AV286">
            <v>0.13649025100000001</v>
          </cell>
          <cell r="AW286">
            <v>1.6437999999999999E-4</v>
          </cell>
          <cell r="AX286">
            <v>5.5469732000000001E-2</v>
          </cell>
          <cell r="AY286">
            <v>9.1752999999999995E-4</v>
          </cell>
        </row>
        <row r="296">
          <cell r="D296">
            <v>136</v>
          </cell>
          <cell r="J296">
            <v>0.20588235299999999</v>
          </cell>
          <cell r="K296">
            <v>1.211073E-3</v>
          </cell>
          <cell r="L296">
            <v>0.14601389000000001</v>
          </cell>
          <cell r="M296">
            <v>1.586648E-3</v>
          </cell>
          <cell r="N296">
            <v>0.40441176499999998</v>
          </cell>
          <cell r="O296">
            <v>1.7841700000000001E-3</v>
          </cell>
          <cell r="P296">
            <v>0.61743827600000001</v>
          </cell>
          <cell r="Q296">
            <v>5.442634E-3</v>
          </cell>
          <cell r="AI296">
            <v>0.514705882</v>
          </cell>
          <cell r="AJ296">
            <v>1.8502499999999999E-3</v>
          </cell>
          <cell r="AK296">
            <v>0.33668710600000001</v>
          </cell>
          <cell r="AL296">
            <v>4.4514749999999999E-3</v>
          </cell>
          <cell r="AR296">
            <v>2.2058824000000001E-2</v>
          </cell>
          <cell r="AS296">
            <v>1.59794E-4</v>
          </cell>
          <cell r="AT296">
            <v>2.5896555000000002E-2</v>
          </cell>
          <cell r="AU296">
            <v>1.86563E-4</v>
          </cell>
        </row>
        <row r="297">
          <cell r="D297">
            <v>371</v>
          </cell>
          <cell r="J297">
            <v>0.15094339600000001</v>
          </cell>
          <cell r="K297">
            <v>3.4637699999999998E-4</v>
          </cell>
          <cell r="L297">
            <v>0.14601389000000001</v>
          </cell>
          <cell r="M297">
            <v>1.586648E-3</v>
          </cell>
          <cell r="N297">
            <v>0.62533692699999999</v>
          </cell>
          <cell r="O297">
            <v>6.3321799999999995E-4</v>
          </cell>
          <cell r="P297">
            <v>0.61743827600000001</v>
          </cell>
          <cell r="Q297">
            <v>5.442634E-3</v>
          </cell>
          <cell r="AI297">
            <v>0.35040431300000002</v>
          </cell>
          <cell r="AJ297">
            <v>6.1519199999999997E-4</v>
          </cell>
          <cell r="AK297">
            <v>0.33668710600000001</v>
          </cell>
          <cell r="AL297">
            <v>4.4514749999999999E-3</v>
          </cell>
          <cell r="AR297">
            <v>8.0862529999999998E-3</v>
          </cell>
          <cell r="AS297">
            <v>2.1678000000000001E-5</v>
          </cell>
          <cell r="AT297">
            <v>2.5896555000000002E-2</v>
          </cell>
          <cell r="AU297">
            <v>1.86563E-4</v>
          </cell>
        </row>
        <row r="298">
          <cell r="D298">
            <v>532</v>
          </cell>
          <cell r="J298">
            <v>0.12593984999999999</v>
          </cell>
          <cell r="K298">
            <v>2.0730499999999999E-4</v>
          </cell>
          <cell r="L298">
            <v>0.14601389000000001</v>
          </cell>
          <cell r="M298">
            <v>1.586648E-3</v>
          </cell>
          <cell r="N298">
            <v>0.64849624100000003</v>
          </cell>
          <cell r="O298">
            <v>4.2928200000000001E-4</v>
          </cell>
          <cell r="P298">
            <v>0.61743827600000001</v>
          </cell>
          <cell r="Q298">
            <v>5.442634E-3</v>
          </cell>
          <cell r="AI298">
            <v>0.31578947400000001</v>
          </cell>
          <cell r="AJ298">
            <v>4.0690499999999999E-4</v>
          </cell>
          <cell r="AK298">
            <v>0.33668710600000001</v>
          </cell>
          <cell r="AL298">
            <v>4.4514749999999999E-3</v>
          </cell>
          <cell r="AR298">
            <v>1.3157894999999999E-2</v>
          </cell>
          <cell r="AS298">
            <v>2.4453399999999999E-5</v>
          </cell>
          <cell r="AT298">
            <v>2.5896555000000002E-2</v>
          </cell>
          <cell r="AU298">
            <v>1.86563E-4</v>
          </cell>
        </row>
        <row r="299">
          <cell r="D299">
            <v>654</v>
          </cell>
          <cell r="J299">
            <v>0.120795107</v>
          </cell>
          <cell r="K299">
            <v>1.6264E-4</v>
          </cell>
          <cell r="L299">
            <v>0.14601389000000001</v>
          </cell>
          <cell r="M299">
            <v>1.586648E-3</v>
          </cell>
          <cell r="N299">
            <v>0.64373088700000003</v>
          </cell>
          <cell r="O299">
            <v>3.51212E-4</v>
          </cell>
          <cell r="P299">
            <v>0.61743827600000001</v>
          </cell>
          <cell r="Q299">
            <v>5.442634E-3</v>
          </cell>
          <cell r="AI299">
            <v>0.31498470899999997</v>
          </cell>
          <cell r="AJ299">
            <v>3.3042800000000002E-4</v>
          </cell>
          <cell r="AK299">
            <v>0.33668710600000001</v>
          </cell>
          <cell r="AL299">
            <v>4.4514749999999999E-3</v>
          </cell>
          <cell r="AR299">
            <v>1.6819572000000001E-2</v>
          </cell>
          <cell r="AS299">
            <v>2.5324200000000001E-5</v>
          </cell>
          <cell r="AT299">
            <v>2.5896555000000002E-2</v>
          </cell>
          <cell r="AU299">
            <v>1.86563E-4</v>
          </cell>
        </row>
        <row r="300">
          <cell r="D300">
            <v>783</v>
          </cell>
          <cell r="J300">
            <v>0.185185185</v>
          </cell>
          <cell r="K300">
            <v>1.9295599999999999E-4</v>
          </cell>
          <cell r="L300">
            <v>0.14601389000000001</v>
          </cell>
          <cell r="M300">
            <v>1.586648E-3</v>
          </cell>
          <cell r="N300">
            <v>0.54278416299999999</v>
          </cell>
          <cell r="O300">
            <v>3.1735200000000002E-4</v>
          </cell>
          <cell r="P300">
            <v>0.61743827600000001</v>
          </cell>
          <cell r="Q300">
            <v>5.442634E-3</v>
          </cell>
          <cell r="AI300">
            <v>0.40868454700000001</v>
          </cell>
          <cell r="AJ300">
            <v>3.0903000000000001E-4</v>
          </cell>
          <cell r="AK300">
            <v>0.33668710600000001</v>
          </cell>
          <cell r="AL300">
            <v>4.4514749999999999E-3</v>
          </cell>
          <cell r="AR300">
            <v>2.8097062999999999E-2</v>
          </cell>
          <cell r="AS300">
            <v>3.4920199999999998E-5</v>
          </cell>
          <cell r="AT300">
            <v>2.5896555000000002E-2</v>
          </cell>
          <cell r="AU300">
            <v>1.86563E-4</v>
          </cell>
        </row>
        <row r="301">
          <cell r="D301">
            <v>511</v>
          </cell>
          <cell r="J301">
            <v>0.121330724</v>
          </cell>
          <cell r="K301">
            <v>2.0903800000000001E-4</v>
          </cell>
          <cell r="L301">
            <v>0.14601389000000001</v>
          </cell>
          <cell r="M301">
            <v>1.586648E-3</v>
          </cell>
          <cell r="N301">
            <v>0.60861056800000002</v>
          </cell>
          <cell r="O301">
            <v>4.6706599999999998E-4</v>
          </cell>
          <cell r="P301">
            <v>0.61743827600000001</v>
          </cell>
          <cell r="Q301">
            <v>5.442634E-3</v>
          </cell>
          <cell r="AI301">
            <v>0.356164384</v>
          </cell>
          <cell r="AJ301">
            <v>4.4963000000000002E-4</v>
          </cell>
          <cell r="AK301">
            <v>0.33668710600000001</v>
          </cell>
          <cell r="AL301">
            <v>4.4514749999999999E-3</v>
          </cell>
          <cell r="AR301">
            <v>2.9354207E-2</v>
          </cell>
          <cell r="AS301">
            <v>5.58677E-5</v>
          </cell>
          <cell r="AT301">
            <v>2.5896555000000002E-2</v>
          </cell>
          <cell r="AU301">
            <v>1.86563E-4</v>
          </cell>
        </row>
        <row r="302">
          <cell r="D302">
            <v>612</v>
          </cell>
          <cell r="J302">
            <v>0.13888888899999999</v>
          </cell>
          <cell r="K302">
            <v>1.9574300000000001E-4</v>
          </cell>
          <cell r="L302">
            <v>0.14601389000000001</v>
          </cell>
          <cell r="M302">
            <v>1.586648E-3</v>
          </cell>
          <cell r="N302">
            <v>0.66176470600000004</v>
          </cell>
          <cell r="O302">
            <v>3.66337E-4</v>
          </cell>
          <cell r="P302">
            <v>0.61743827600000001</v>
          </cell>
          <cell r="Q302">
            <v>5.442634E-3</v>
          </cell>
          <cell r="AI302">
            <v>0.29084967299999998</v>
          </cell>
          <cell r="AJ302">
            <v>3.37571E-4</v>
          </cell>
          <cell r="AK302">
            <v>0.33668710600000001</v>
          </cell>
          <cell r="AL302">
            <v>4.4514749999999999E-3</v>
          </cell>
          <cell r="AR302">
            <v>3.2679738999999999E-2</v>
          </cell>
          <cell r="AS302">
            <v>5.1737799999999998E-5</v>
          </cell>
          <cell r="AT302">
            <v>2.5896555000000002E-2</v>
          </cell>
          <cell r="AU302">
            <v>1.86563E-4</v>
          </cell>
        </row>
        <row r="303">
          <cell r="D303">
            <v>475</v>
          </cell>
          <cell r="J303">
            <v>0.149473684</v>
          </cell>
          <cell r="K303">
            <v>2.6820899999999999E-4</v>
          </cell>
          <cell r="L303">
            <v>0.14601389000000001</v>
          </cell>
          <cell r="M303">
            <v>1.586648E-3</v>
          </cell>
          <cell r="N303">
            <v>0.675789474</v>
          </cell>
          <cell r="O303">
            <v>4.6223199999999997E-4</v>
          </cell>
          <cell r="P303">
            <v>0.61743827600000001</v>
          </cell>
          <cell r="Q303">
            <v>5.442634E-3</v>
          </cell>
          <cell r="AI303">
            <v>0.29052631600000001</v>
          </cell>
          <cell r="AJ303">
            <v>4.3485399999999998E-4</v>
          </cell>
          <cell r="AK303">
            <v>0.33668710600000001</v>
          </cell>
          <cell r="AL303">
            <v>4.4514749999999999E-3</v>
          </cell>
          <cell r="AR303">
            <v>1.4736842E-2</v>
          </cell>
          <cell r="AS303">
            <v>3.0632200000000001E-5</v>
          </cell>
          <cell r="AT303">
            <v>2.5896555000000002E-2</v>
          </cell>
          <cell r="AU303">
            <v>1.86563E-4</v>
          </cell>
        </row>
        <row r="304">
          <cell r="D304">
            <v>618</v>
          </cell>
          <cell r="J304">
            <v>0.105177994</v>
          </cell>
          <cell r="K304">
            <v>1.5253700000000001E-4</v>
          </cell>
          <cell r="L304">
            <v>0.14601389000000001</v>
          </cell>
          <cell r="M304">
            <v>1.586648E-3</v>
          </cell>
          <cell r="N304">
            <v>0.601941748</v>
          </cell>
          <cell r="O304">
            <v>3.8834299999999998E-4</v>
          </cell>
          <cell r="P304">
            <v>0.61743827600000001</v>
          </cell>
          <cell r="Q304">
            <v>5.442634E-3</v>
          </cell>
          <cell r="AI304">
            <v>0.33171520999999998</v>
          </cell>
          <cell r="AJ304">
            <v>3.5928700000000002E-4</v>
          </cell>
          <cell r="AK304">
            <v>0.33668710600000001</v>
          </cell>
          <cell r="AL304">
            <v>4.4514749999999999E-3</v>
          </cell>
          <cell r="AR304">
            <v>2.7508090999999998E-2</v>
          </cell>
          <cell r="AS304">
            <v>4.3357199999999999E-5</v>
          </cell>
          <cell r="AT304">
            <v>2.5896555000000002E-2</v>
          </cell>
          <cell r="AU304">
            <v>1.86563E-4</v>
          </cell>
        </row>
        <row r="305">
          <cell r="D305">
            <v>680</v>
          </cell>
          <cell r="J305">
            <v>9.2647059000000004E-2</v>
          </cell>
          <cell r="K305">
            <v>1.23805E-4</v>
          </cell>
          <cell r="L305">
            <v>0.14601389000000001</v>
          </cell>
          <cell r="M305">
            <v>1.586648E-3</v>
          </cell>
          <cell r="N305">
            <v>0.64264705899999996</v>
          </cell>
          <cell r="O305">
            <v>3.3822099999999999E-4</v>
          </cell>
          <cell r="P305">
            <v>0.61743827600000001</v>
          </cell>
          <cell r="Q305">
            <v>5.442634E-3</v>
          </cell>
          <cell r="AI305">
            <v>0.31470588199999999</v>
          </cell>
          <cell r="AJ305">
            <v>3.17623E-4</v>
          </cell>
          <cell r="AK305">
            <v>0.33668710600000001</v>
          </cell>
          <cell r="AL305">
            <v>4.4514749999999999E-3</v>
          </cell>
          <cell r="AR305">
            <v>3.2352941000000003E-2</v>
          </cell>
          <cell r="AS305">
            <v>4.6106400000000003E-5</v>
          </cell>
          <cell r="AT305">
            <v>2.5896555000000002E-2</v>
          </cell>
          <cell r="AU305">
            <v>1.86563E-4</v>
          </cell>
        </row>
        <row r="306">
          <cell r="D306">
            <v>362</v>
          </cell>
          <cell r="J306">
            <v>0.16850828700000001</v>
          </cell>
          <cell r="K306">
            <v>3.8812500000000002E-4</v>
          </cell>
          <cell r="L306">
            <v>0.14601389000000001</v>
          </cell>
          <cell r="M306">
            <v>1.586648E-3</v>
          </cell>
          <cell r="N306">
            <v>0.62983425400000004</v>
          </cell>
          <cell r="O306">
            <v>6.4582599999999995E-4</v>
          </cell>
          <cell r="P306">
            <v>0.61743827600000001</v>
          </cell>
          <cell r="Q306">
            <v>5.442634E-3</v>
          </cell>
          <cell r="AI306">
            <v>0.35911602199999998</v>
          </cell>
          <cell r="AJ306">
            <v>6.3753900000000001E-4</v>
          </cell>
          <cell r="AK306">
            <v>0.33668710600000001</v>
          </cell>
          <cell r="AL306">
            <v>4.4514749999999999E-3</v>
          </cell>
          <cell r="AR306">
            <v>1.1049724E-2</v>
          </cell>
          <cell r="AS306">
            <v>3.0270400000000001E-5</v>
          </cell>
          <cell r="AT306">
            <v>2.5896555000000002E-2</v>
          </cell>
          <cell r="AU306">
            <v>1.86563E-4</v>
          </cell>
        </row>
        <row r="307">
          <cell r="D307">
            <v>370</v>
          </cell>
          <cell r="J307">
            <v>0.10270270300000001</v>
          </cell>
          <cell r="K307">
            <v>2.4974200000000001E-4</v>
          </cell>
          <cell r="L307">
            <v>0.14601389000000001</v>
          </cell>
          <cell r="M307">
            <v>1.586648E-3</v>
          </cell>
          <cell r="N307">
            <v>0.66756756799999994</v>
          </cell>
          <cell r="O307">
            <v>6.0141199999999995E-4</v>
          </cell>
          <cell r="P307">
            <v>0.61743827600000001</v>
          </cell>
          <cell r="Q307">
            <v>5.442634E-3</v>
          </cell>
          <cell r="AI307">
            <v>0.27027026999999998</v>
          </cell>
          <cell r="AJ307">
            <v>5.3448299999999999E-4</v>
          </cell>
          <cell r="AK307">
            <v>0.33668710600000001</v>
          </cell>
          <cell r="AL307">
            <v>4.4514749999999999E-3</v>
          </cell>
          <cell r="AR307">
            <v>5.6756756999999998E-2</v>
          </cell>
          <cell r="AS307">
            <v>1.4508199999999999E-4</v>
          </cell>
          <cell r="AT307">
            <v>2.5896555000000002E-2</v>
          </cell>
          <cell r="AU307">
            <v>1.86563E-4</v>
          </cell>
        </row>
        <row r="308">
          <cell r="D308">
            <v>637</v>
          </cell>
          <cell r="J308">
            <v>0.150706436</v>
          </cell>
          <cell r="K308">
            <v>2.0124800000000001E-4</v>
          </cell>
          <cell r="L308">
            <v>0.14601389000000001</v>
          </cell>
          <cell r="M308">
            <v>1.586648E-3</v>
          </cell>
          <cell r="N308">
            <v>0.70486656199999997</v>
          </cell>
          <cell r="O308">
            <v>3.27091E-4</v>
          </cell>
          <cell r="P308">
            <v>0.61743827600000001</v>
          </cell>
          <cell r="Q308">
            <v>5.442634E-3</v>
          </cell>
          <cell r="AI308">
            <v>0.24175824200000001</v>
          </cell>
          <cell r="AJ308">
            <v>2.8822500000000003E-4</v>
          </cell>
          <cell r="AK308">
            <v>0.33668710600000001</v>
          </cell>
          <cell r="AL308">
            <v>4.4514749999999999E-3</v>
          </cell>
          <cell r="AR308">
            <v>2.5117739E-2</v>
          </cell>
          <cell r="AS308">
            <v>3.8501299999999997E-5</v>
          </cell>
          <cell r="AT308">
            <v>2.5896555000000002E-2</v>
          </cell>
          <cell r="AU308">
            <v>1.86563E-4</v>
          </cell>
        </row>
        <row r="318">
          <cell r="G318">
            <v>1478</v>
          </cell>
          <cell r="H318">
            <v>279</v>
          </cell>
          <cell r="AD318">
            <v>0.99932341000000002</v>
          </cell>
          <cell r="AE318">
            <v>4.5777400000000001E-7</v>
          </cell>
          <cell r="AF318">
            <v>0.98779804699999996</v>
          </cell>
          <cell r="AG318">
            <v>2.0975599999999999E-4</v>
          </cell>
          <cell r="AM318">
            <v>1</v>
          </cell>
          <cell r="AN318">
            <v>0</v>
          </cell>
          <cell r="AO318">
            <v>0.98821147200000004</v>
          </cell>
          <cell r="AP318">
            <v>5.1523900000000002E-4</v>
          </cell>
          <cell r="AV318">
            <v>0</v>
          </cell>
          <cell r="AW318">
            <v>0</v>
          </cell>
          <cell r="AX318">
            <v>1.1788528E-2</v>
          </cell>
          <cell r="AY318">
            <v>5.1482899999999996E-4</v>
          </cell>
        </row>
        <row r="319">
          <cell r="G319">
            <v>868</v>
          </cell>
          <cell r="H319">
            <v>119</v>
          </cell>
          <cell r="AD319">
            <v>1</v>
          </cell>
          <cell r="AE319">
            <v>0</v>
          </cell>
          <cell r="AF319">
            <v>0.98779804699999996</v>
          </cell>
          <cell r="AG319">
            <v>2.0975599999999999E-4</v>
          </cell>
          <cell r="AM319">
            <v>1</v>
          </cell>
          <cell r="AN319">
            <v>0</v>
          </cell>
          <cell r="AO319">
            <v>0.98821147200000004</v>
          </cell>
          <cell r="AP319">
            <v>5.1523900000000002E-4</v>
          </cell>
          <cell r="AV319">
            <v>0</v>
          </cell>
          <cell r="AW319">
            <v>0</v>
          </cell>
          <cell r="AX319">
            <v>1.1788528E-2</v>
          </cell>
          <cell r="AY319">
            <v>5.1482899999999996E-4</v>
          </cell>
        </row>
        <row r="320">
          <cell r="G320">
            <v>1473</v>
          </cell>
          <cell r="H320">
            <v>284</v>
          </cell>
          <cell r="AD320">
            <v>0.99932111300000004</v>
          </cell>
          <cell r="AE320">
            <v>4.6088700000000002E-7</v>
          </cell>
          <cell r="AF320">
            <v>0.98779804699999996</v>
          </cell>
          <cell r="AG320">
            <v>2.0975599999999999E-4</v>
          </cell>
          <cell r="AM320">
            <v>1</v>
          </cell>
          <cell r="AN320">
            <v>0</v>
          </cell>
          <cell r="AO320">
            <v>0.98821147200000004</v>
          </cell>
          <cell r="AP320">
            <v>5.1523900000000002E-4</v>
          </cell>
          <cell r="AV320">
            <v>0</v>
          </cell>
          <cell r="AW320">
            <v>0</v>
          </cell>
          <cell r="AX320">
            <v>1.1788528E-2</v>
          </cell>
          <cell r="AY320">
            <v>5.1482899999999996E-4</v>
          </cell>
        </row>
        <row r="321">
          <cell r="G321">
            <v>1248</v>
          </cell>
          <cell r="H321">
            <v>124</v>
          </cell>
          <cell r="AD321">
            <v>0.99759615400000001</v>
          </cell>
          <cell r="AE321">
            <v>1.9230699999999999E-6</v>
          </cell>
          <cell r="AF321">
            <v>0.98779804699999996</v>
          </cell>
          <cell r="AG321">
            <v>2.0975599999999999E-4</v>
          </cell>
          <cell r="AM321">
            <v>1</v>
          </cell>
          <cell r="AN321">
            <v>0</v>
          </cell>
          <cell r="AO321">
            <v>0.98821147200000004</v>
          </cell>
          <cell r="AP321">
            <v>5.1523900000000002E-4</v>
          </cell>
          <cell r="AV321">
            <v>0</v>
          </cell>
          <cell r="AW321">
            <v>0</v>
          </cell>
          <cell r="AX321">
            <v>1.1788528E-2</v>
          </cell>
          <cell r="AY321">
            <v>5.1482899999999996E-4</v>
          </cell>
        </row>
        <row r="322">
          <cell r="G322">
            <v>680</v>
          </cell>
          <cell r="H322">
            <v>181</v>
          </cell>
          <cell r="AD322">
            <v>0.97794117599999997</v>
          </cell>
          <cell r="AE322">
            <v>3.1770599999999997E-5</v>
          </cell>
          <cell r="AF322">
            <v>0.98779804699999996</v>
          </cell>
          <cell r="AG322">
            <v>2.0975599999999999E-4</v>
          </cell>
          <cell r="AM322">
            <v>1</v>
          </cell>
          <cell r="AN322">
            <v>0</v>
          </cell>
          <cell r="AO322">
            <v>0.98821147200000004</v>
          </cell>
          <cell r="AP322">
            <v>5.1523900000000002E-4</v>
          </cell>
          <cell r="AV322">
            <v>0</v>
          </cell>
          <cell r="AW322">
            <v>0</v>
          </cell>
          <cell r="AX322">
            <v>1.1788528E-2</v>
          </cell>
          <cell r="AY322">
            <v>5.1482899999999996E-4</v>
          </cell>
        </row>
        <row r="323">
          <cell r="G323">
            <v>1280</v>
          </cell>
          <cell r="H323">
            <v>216</v>
          </cell>
          <cell r="AD323">
            <v>0.98593750000000002</v>
          </cell>
          <cell r="AE323">
            <v>1.08403E-5</v>
          </cell>
          <cell r="AF323">
            <v>0.98779804699999996</v>
          </cell>
          <cell r="AG323">
            <v>2.0975599999999999E-4</v>
          </cell>
          <cell r="AM323">
            <v>0.97685185200000002</v>
          </cell>
          <cell r="AN323">
            <v>1.0517400000000001E-4</v>
          </cell>
          <cell r="AO323">
            <v>0.98821147200000004</v>
          </cell>
          <cell r="AP323">
            <v>5.1523900000000002E-4</v>
          </cell>
          <cell r="AV323">
            <v>2.3148148E-2</v>
          </cell>
          <cell r="AW323">
            <v>1.0517400000000001E-4</v>
          </cell>
          <cell r="AX323">
            <v>1.1788528E-2</v>
          </cell>
          <cell r="AY323">
            <v>5.1482899999999996E-4</v>
          </cell>
        </row>
        <row r="324">
          <cell r="G324">
            <v>1494</v>
          </cell>
          <cell r="H324">
            <v>287</v>
          </cell>
          <cell r="AD324">
            <v>0.97657295899999996</v>
          </cell>
          <cell r="AE324">
            <v>1.53237E-5</v>
          </cell>
          <cell r="AF324">
            <v>0.98779804699999996</v>
          </cell>
          <cell r="AG324">
            <v>2.0975599999999999E-4</v>
          </cell>
          <cell r="AM324">
            <v>0.92682926799999998</v>
          </cell>
          <cell r="AN324">
            <v>2.3712200000000001E-4</v>
          </cell>
          <cell r="AO324">
            <v>0.98821147200000004</v>
          </cell>
          <cell r="AP324">
            <v>5.1523900000000002E-4</v>
          </cell>
          <cell r="AV324">
            <v>7.3170732000000002E-2</v>
          </cell>
          <cell r="AW324">
            <v>2.3712200000000001E-4</v>
          </cell>
          <cell r="AX324">
            <v>1.1788528E-2</v>
          </cell>
          <cell r="AY324">
            <v>5.1482899999999996E-4</v>
          </cell>
        </row>
        <row r="325">
          <cell r="G325">
            <v>1811</v>
          </cell>
          <cell r="H325">
            <v>170</v>
          </cell>
          <cell r="AD325">
            <v>0.99558255100000004</v>
          </cell>
          <cell r="AE325">
            <v>2.4298E-6</v>
          </cell>
          <cell r="AF325">
            <v>0.98779804699999996</v>
          </cell>
          <cell r="AG325">
            <v>2.0975599999999999E-4</v>
          </cell>
          <cell r="AM325">
            <v>1</v>
          </cell>
          <cell r="AN325">
            <v>0</v>
          </cell>
          <cell r="AO325">
            <v>0.98821147200000004</v>
          </cell>
          <cell r="AP325">
            <v>5.1523900000000002E-4</v>
          </cell>
          <cell r="AV325">
            <v>0</v>
          </cell>
          <cell r="AW325">
            <v>0</v>
          </cell>
          <cell r="AX325">
            <v>1.1788528E-2</v>
          </cell>
          <cell r="AY325">
            <v>5.1482899999999996E-4</v>
          </cell>
        </row>
        <row r="326">
          <cell r="G326">
            <v>1784</v>
          </cell>
          <cell r="H326">
            <v>243</v>
          </cell>
          <cell r="AD326">
            <v>0.998878924</v>
          </cell>
          <cell r="AE326">
            <v>6.2805399999999997E-7</v>
          </cell>
          <cell r="AF326">
            <v>0.98779804699999996</v>
          </cell>
          <cell r="AG326">
            <v>2.0975599999999999E-4</v>
          </cell>
          <cell r="AM326">
            <v>1</v>
          </cell>
          <cell r="AN326">
            <v>0</v>
          </cell>
          <cell r="AO326">
            <v>0.98821147200000004</v>
          </cell>
          <cell r="AP326">
            <v>5.1523900000000002E-4</v>
          </cell>
          <cell r="AV326">
            <v>0</v>
          </cell>
          <cell r="AW326">
            <v>0</v>
          </cell>
          <cell r="AX326">
            <v>1.1788528E-2</v>
          </cell>
          <cell r="AY326">
            <v>5.1482899999999996E-4</v>
          </cell>
        </row>
        <row r="327">
          <cell r="G327">
            <v>1953</v>
          </cell>
          <cell r="H327">
            <v>232</v>
          </cell>
          <cell r="AD327">
            <v>0.99692780299999995</v>
          </cell>
          <cell r="AE327">
            <v>1.56904E-6</v>
          </cell>
          <cell r="AF327">
            <v>0.98779804699999996</v>
          </cell>
          <cell r="AG327">
            <v>2.0975599999999999E-4</v>
          </cell>
          <cell r="AM327">
            <v>1</v>
          </cell>
          <cell r="AN327">
            <v>0</v>
          </cell>
          <cell r="AO327">
            <v>0.98821147200000004</v>
          </cell>
          <cell r="AP327">
            <v>5.1523900000000002E-4</v>
          </cell>
          <cell r="AV327">
            <v>0</v>
          </cell>
          <cell r="AW327">
            <v>0</v>
          </cell>
          <cell r="AX327">
            <v>1.1788528E-2</v>
          </cell>
          <cell r="AY327">
            <v>5.1482899999999996E-4</v>
          </cell>
        </row>
        <row r="328">
          <cell r="G328">
            <v>1815</v>
          </cell>
          <cell r="H328">
            <v>277</v>
          </cell>
          <cell r="AD328">
            <v>0.99944903600000001</v>
          </cell>
          <cell r="AE328">
            <v>3.03562E-7</v>
          </cell>
          <cell r="AF328">
            <v>0.98779804699999996</v>
          </cell>
          <cell r="AG328">
            <v>2.0975599999999999E-4</v>
          </cell>
          <cell r="AM328">
            <v>1</v>
          </cell>
          <cell r="AN328">
            <v>0</v>
          </cell>
          <cell r="AO328">
            <v>0.98821147200000004</v>
          </cell>
          <cell r="AP328">
            <v>5.1523900000000002E-4</v>
          </cell>
          <cell r="AV328">
            <v>0</v>
          </cell>
          <cell r="AW328">
            <v>0</v>
          </cell>
          <cell r="AX328">
            <v>1.1788528E-2</v>
          </cell>
          <cell r="AY328">
            <v>5.1482899999999996E-4</v>
          </cell>
        </row>
        <row r="329">
          <cell r="G329">
            <v>2009</v>
          </cell>
          <cell r="H329">
            <v>259</v>
          </cell>
          <cell r="AD329">
            <v>0.96864111500000005</v>
          </cell>
          <cell r="AE329">
            <v>1.51272E-5</v>
          </cell>
          <cell r="AF329">
            <v>0.98779804699999996</v>
          </cell>
          <cell r="AG329">
            <v>2.0975599999999999E-4</v>
          </cell>
          <cell r="AM329">
            <v>0.988416988</v>
          </cell>
          <cell r="AN329">
            <v>4.4375400000000002E-5</v>
          </cell>
          <cell r="AO329">
            <v>0.98821147200000004</v>
          </cell>
          <cell r="AP329">
            <v>5.1523900000000002E-4</v>
          </cell>
          <cell r="AV329">
            <v>1.1583012E-2</v>
          </cell>
          <cell r="AW329">
            <v>4.4375400000000002E-5</v>
          </cell>
          <cell r="AX329">
            <v>1.1788528E-2</v>
          </cell>
          <cell r="AY329">
            <v>5.1482899999999996E-4</v>
          </cell>
        </row>
        <row r="330">
          <cell r="G330">
            <v>2275</v>
          </cell>
          <cell r="H330">
            <v>259</v>
          </cell>
          <cell r="AD330">
            <v>0.978901099</v>
          </cell>
          <cell r="AE330">
            <v>9.0825600000000007E-6</v>
          </cell>
          <cell r="AF330">
            <v>0.98779804699999996</v>
          </cell>
          <cell r="AG330">
            <v>2.0975599999999999E-4</v>
          </cell>
          <cell r="AM330">
            <v>0.94980695000000004</v>
          </cell>
          <cell r="AN330">
            <v>1.8478200000000001E-4</v>
          </cell>
          <cell r="AO330">
            <v>0.98821147200000004</v>
          </cell>
          <cell r="AP330">
            <v>5.1523900000000002E-4</v>
          </cell>
          <cell r="AV330">
            <v>5.0193050000000003E-2</v>
          </cell>
          <cell r="AW330">
            <v>1.8478200000000001E-4</v>
          </cell>
          <cell r="AX330">
            <v>1.1788528E-2</v>
          </cell>
          <cell r="AY330">
            <v>5.1482899999999996E-4</v>
          </cell>
        </row>
        <row r="340">
          <cell r="D340">
            <v>160</v>
          </cell>
          <cell r="J340">
            <v>0</v>
          </cell>
          <cell r="K340">
            <v>0</v>
          </cell>
          <cell r="L340">
            <v>1.5299544999999999E-2</v>
          </cell>
          <cell r="M340">
            <v>2.3553699999999999E-4</v>
          </cell>
          <cell r="N340">
            <v>0.91249999999999998</v>
          </cell>
          <cell r="O340">
            <v>5.0216200000000001E-4</v>
          </cell>
          <cell r="P340">
            <v>0.86861137799999999</v>
          </cell>
          <cell r="Q340">
            <v>5.2692640000000001E-3</v>
          </cell>
        </row>
        <row r="341">
          <cell r="D341">
            <v>157</v>
          </cell>
          <cell r="J341">
            <v>6.3694270000000004E-3</v>
          </cell>
          <cell r="K341">
            <v>4.0569599999999999E-5</v>
          </cell>
          <cell r="L341">
            <v>1.5299544999999999E-2</v>
          </cell>
          <cell r="M341">
            <v>2.3553699999999999E-4</v>
          </cell>
          <cell r="N341">
            <v>0.94904458599999997</v>
          </cell>
          <cell r="O341">
            <v>3.09993E-4</v>
          </cell>
          <cell r="P341">
            <v>0.86861137799999999</v>
          </cell>
          <cell r="Q341">
            <v>5.2692640000000001E-3</v>
          </cell>
        </row>
        <row r="342">
          <cell r="D342">
            <v>67</v>
          </cell>
          <cell r="J342">
            <v>4.4776119000000003E-2</v>
          </cell>
          <cell r="K342">
            <v>6.4804900000000004E-4</v>
          </cell>
          <cell r="L342">
            <v>1.5299544999999999E-2</v>
          </cell>
          <cell r="M342">
            <v>2.3553699999999999E-4</v>
          </cell>
          <cell r="N342">
            <v>0.79104477600000001</v>
          </cell>
          <cell r="O342">
            <v>2.5044379999999999E-3</v>
          </cell>
          <cell r="P342">
            <v>0.86861137799999999</v>
          </cell>
          <cell r="Q342">
            <v>5.2692640000000001E-3</v>
          </cell>
        </row>
        <row r="343">
          <cell r="D343">
            <v>192</v>
          </cell>
          <cell r="J343">
            <v>1.5625E-2</v>
          </cell>
          <cell r="K343">
            <v>8.0528100000000006E-5</v>
          </cell>
          <cell r="L343">
            <v>1.5299544999999999E-2</v>
          </cell>
          <cell r="M343">
            <v>2.3553699999999999E-4</v>
          </cell>
          <cell r="N343">
            <v>0.94270833300000001</v>
          </cell>
          <cell r="O343">
            <v>2.8277100000000002E-4</v>
          </cell>
          <cell r="P343">
            <v>0.86861137799999999</v>
          </cell>
          <cell r="Q343">
            <v>5.2692640000000001E-3</v>
          </cell>
        </row>
        <row r="344">
          <cell r="D344">
            <v>201</v>
          </cell>
          <cell r="J344">
            <v>1.4925373E-2</v>
          </cell>
          <cell r="K344">
            <v>7.3512999999999999E-5</v>
          </cell>
          <cell r="L344">
            <v>1.5299544999999999E-2</v>
          </cell>
          <cell r="M344">
            <v>2.3553699999999999E-4</v>
          </cell>
          <cell r="N344">
            <v>0.89552238799999995</v>
          </cell>
          <cell r="O344">
            <v>4.6780999999999998E-4</v>
          </cell>
          <cell r="P344">
            <v>0.86861137799999999</v>
          </cell>
          <cell r="Q344">
            <v>5.2692640000000001E-3</v>
          </cell>
        </row>
        <row r="345">
          <cell r="D345">
            <v>276</v>
          </cell>
          <cell r="J345">
            <v>1.8115941999999999E-2</v>
          </cell>
          <cell r="K345">
            <v>6.4682699999999997E-5</v>
          </cell>
          <cell r="L345">
            <v>1.5299544999999999E-2</v>
          </cell>
          <cell r="M345">
            <v>2.3553699999999999E-4</v>
          </cell>
          <cell r="N345">
            <v>0.82608695700000001</v>
          </cell>
          <cell r="O345">
            <v>5.22427E-4</v>
          </cell>
          <cell r="P345">
            <v>0.86861137799999999</v>
          </cell>
          <cell r="Q345">
            <v>5.2692640000000001E-3</v>
          </cell>
        </row>
        <row r="346">
          <cell r="D346">
            <v>135</v>
          </cell>
          <cell r="J346">
            <v>2.2222222E-2</v>
          </cell>
          <cell r="K346">
            <v>1.6215199999999999E-4</v>
          </cell>
          <cell r="L346">
            <v>1.5299544999999999E-2</v>
          </cell>
          <cell r="M346">
            <v>2.3553699999999999E-4</v>
          </cell>
          <cell r="N346">
            <v>0.79259259299999996</v>
          </cell>
          <cell r="O346">
            <v>1.2267879999999999E-3</v>
          </cell>
          <cell r="P346">
            <v>0.86861137799999999</v>
          </cell>
          <cell r="Q346">
            <v>5.2692640000000001E-3</v>
          </cell>
        </row>
        <row r="349">
          <cell r="D349">
            <v>55</v>
          </cell>
          <cell r="J349">
            <v>0</v>
          </cell>
          <cell r="K349">
            <v>0</v>
          </cell>
          <cell r="L349">
            <v>1.5299544999999999E-2</v>
          </cell>
          <cell r="M349">
            <v>2.3553699999999999E-4</v>
          </cell>
          <cell r="N349">
            <v>0.98181818200000004</v>
          </cell>
          <cell r="O349">
            <v>3.3057900000000001E-4</v>
          </cell>
          <cell r="P349">
            <v>0.86861137799999999</v>
          </cell>
          <cell r="Q349">
            <v>5.2692640000000001E-3</v>
          </cell>
        </row>
        <row r="350">
          <cell r="D350">
            <v>80</v>
          </cell>
          <cell r="J350">
            <v>3.7499999999999999E-2</v>
          </cell>
          <cell r="K350">
            <v>4.56883E-4</v>
          </cell>
          <cell r="L350">
            <v>1.5299544999999999E-2</v>
          </cell>
          <cell r="M350">
            <v>2.3553699999999999E-4</v>
          </cell>
          <cell r="N350">
            <v>0.85</v>
          </cell>
          <cell r="O350">
            <v>1.6139240000000001E-3</v>
          </cell>
          <cell r="P350">
            <v>0.86861137799999999</v>
          </cell>
          <cell r="Q350">
            <v>5.2692640000000001E-3</v>
          </cell>
        </row>
        <row r="351">
          <cell r="D351">
            <v>391</v>
          </cell>
          <cell r="J351">
            <v>0</v>
          </cell>
          <cell r="K351">
            <v>0</v>
          </cell>
          <cell r="L351">
            <v>1.5299544999999999E-2</v>
          </cell>
          <cell r="M351">
            <v>2.3553699999999999E-4</v>
          </cell>
          <cell r="N351">
            <v>0.90537084400000001</v>
          </cell>
          <cell r="O351">
            <v>2.1967800000000001E-4</v>
          </cell>
          <cell r="P351">
            <v>0.86861137799999999</v>
          </cell>
          <cell r="Q351">
            <v>5.2692640000000001E-3</v>
          </cell>
        </row>
        <row r="352">
          <cell r="D352">
            <v>243</v>
          </cell>
          <cell r="J352">
            <v>2.0576132E-2</v>
          </cell>
          <cell r="K352">
            <v>8.3275800000000007E-5</v>
          </cell>
          <cell r="L352">
            <v>1.5299544999999999E-2</v>
          </cell>
          <cell r="M352">
            <v>2.3553699999999999E-4</v>
          </cell>
          <cell r="N352">
            <v>0.76131687199999998</v>
          </cell>
          <cell r="O352">
            <v>7.5088200000000003E-4</v>
          </cell>
          <cell r="P352">
            <v>0.86861137799999999</v>
          </cell>
          <cell r="Q352">
            <v>5.2692640000000001E-3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atie Howard" id="{4EF1F454-7715-4346-9203-AE6840C64668}" userId="Katie Howard" providerId="None"/>
  <person displayName="Joy, Philip J (DFG)" id="{84AED1DB-CEEF-46FA-AFE8-A9482D8C2393}" userId="S::philip.joy@alaska.gov::07bb4402-e822-4d82-9684-e0a3bfb665f9" providerId="AD"/>
  <person displayName="Webster, Sarah R (DFG)" id="{FFDA9C8F-439A-4FA2-8BEC-CE5DCE936A5A}" userId="S::sarah.webster@alaska.gov::59db7636-3d5a-4e70-a230-37a0ec0386fe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19-11-08T23:24:26.42" personId="{4EF1F454-7715-4346-9203-AE6840C64668}" id="{775795E9-59A4-4C2B-9D0B-970CC03CF14A}">
    <text>C:\Users\kghoward\Desktop\Rockfish SF Harvest reconstruction\R code\logbook_harvest</text>
  </threadedComment>
  <threadedComment ref="E1" dT="2019-11-18T22:10:30.62" personId="{4EF1F454-7715-4346-9203-AE6840C64668}" id="{85D5FC7A-24C2-4223-8707-6B719028EF92}">
    <text>SWHS data with too few respondents: 
mainland and westside=WKMA
SOUTHEAST, SOUTHWEST = SKMA
EYKT and IBS=EWYKT</text>
  </threadedComment>
  <threadedComment ref="K1" dT="2019-11-04T20:56:56.47" personId="{4EF1F454-7715-4346-9203-AE6840C64668}" id="{AA9E4D02-CF20-4B46-8624-D9D4257BE7DB}">
    <text>=logbook CFMU RF harvest /guided proportion SWHS RF harvest</text>
  </threadedComment>
  <threadedComment ref="L1" dT="2019-11-04T20:56:56.47" personId="{4EF1F454-7715-4346-9203-AE6840C64668}" id="{6ED5C177-5F75-486B-AE5C-4D8904CC603D}">
    <text>=logbook CFMU RF harvest /guided proportion SWHS RF harvest</text>
  </threadedComment>
  <threadedComment ref="L1" dT="2019-12-31T00:11:06.98" personId="{4EF1F454-7715-4346-9203-AE6840C64668}" id="{A301F803-BE1F-42C8-96BE-ACC1EBA73C81}" parentId="{6ED5C177-5F75-486B-AE5C-4D8904CC603D}">
    <text>pre-2011 bootstrapping needed for variance estimates</text>
  </threadedComment>
  <threadedComment ref="P1" dT="2019-11-04T22:30:11.90" personId="{4EF1F454-7715-4346-9203-AE6840C64668}" id="{4A58EEE8-6932-45F5-8E80-9D47700F3E80}">
    <text>add variances of log_rfharv and TOTAL_rfharv. since logbook assume variance of zero, variance = that of total harvest estimate</text>
  </threadedComment>
  <threadedComment ref="E26" dT="2024-08-13T21:31:34.45" personId="{84AED1DB-CEEF-46FA-AFE8-A9482D8C2393}" id="{DB4E246C-B848-44B5-B5A0-4074E6099624}">
    <text>47 respondents under 50, but using anyway since it would match recent years and no other alternatives.</text>
  </threadedComment>
  <threadedComment ref="E51" dT="2024-08-13T21:33:32.95" personId="{84AED1DB-CEEF-46FA-AFE8-A9482D8C2393}" id="{2689698F-4480-4BF6-8F1C-64C50F490E59}">
    <text xml:space="preserve">Low sample size (41) but don’t want to use Afognak because also low sample size. </text>
  </threadedComment>
  <threadedComment ref="E65" dT="2019-12-11T01:50:06.68" personId="{4EF1F454-7715-4346-9203-AE6840C64668}" id="{AF43EECD-E180-4969-BCA0-8F194CBC2935}">
    <text>substitute WKMA as best surrogate</text>
  </threadedComment>
  <threadedComment ref="E76" dT="2024-08-13T21:34:11.66" personId="{84AED1DB-CEEF-46FA-AFE8-A9482D8C2393}" id="{7833E81E-5A68-4F98-88DC-EE589F8A9AB2}">
    <text>Subbed Afognak because of low sample size</text>
  </threadedComment>
  <threadedComment ref="F76" dT="2024-08-13T21:34:11.66" personId="{84AED1DB-CEEF-46FA-AFE8-A9482D8C2393}" id="{B501C9FD-FEB3-406B-AA02-8E4333B814F1}">
    <text>Subbed Afognak because of low sample size</text>
  </threadedComment>
  <threadedComment ref="G76" dT="2024-08-13T21:34:11.66" personId="{84AED1DB-CEEF-46FA-AFE8-A9482D8C2393}" id="{C0F93926-8F3D-4088-BC55-955E3C876275}">
    <text>Subbed Afognak because of low sample size</text>
  </threadedComment>
  <threadedComment ref="H76" dT="2024-08-13T21:34:11.66" personId="{84AED1DB-CEEF-46FA-AFE8-A9482D8C2393}" id="{FA48B479-4D71-4F49-B8DE-41DB973984FD}">
    <text>Subbed Afognak because of low sample size</text>
  </threadedComment>
  <threadedComment ref="E121" dT="2023-06-06T19:54:31.64" personId="{FFDA9C8F-439A-4FA2-8BEC-CE5DCE936A5A}" id="{5A0F5DCC-2B3C-438C-A0B4-9B74718FE666}">
    <text>Subbed Westside due to low sample - more consistent proportions than northeast (nearest neighbor)</text>
  </threadedComment>
  <threadedComment ref="E126" dT="2024-08-13T21:35:14.23" personId="{84AED1DB-CEEF-46FA-AFE8-A9482D8C2393}" id="{9AD36856-1E35-4919-B19C-A9099B07E2B6}">
    <text>Subbed Afognak because of low sample size</text>
  </threadedComment>
  <threadedComment ref="F126" dT="2024-08-13T21:35:14.23" personId="{84AED1DB-CEEF-46FA-AFE8-A9482D8C2393}" id="{B4C9B029-743D-4159-8E82-DD6FC0D07EEE}">
    <text>Subbed Afognak because of low sample size</text>
  </threadedComment>
  <threadedComment ref="G126" dT="2024-08-13T21:35:14.23" personId="{84AED1DB-CEEF-46FA-AFE8-A9482D8C2393}" id="{F0FFDDEE-A4DA-447F-A4D5-31BFD562B243}">
    <text>Subbed Afognak because of low sample size</text>
  </threadedComment>
  <threadedComment ref="H126" dT="2024-08-13T21:35:14.23" personId="{84AED1DB-CEEF-46FA-AFE8-A9482D8C2393}" id="{0801D007-3BFC-4CE0-9126-DB22DD3E18C0}">
    <text>Subbed Afognak because of low sample size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2" dT="2019-11-08T23:24:26.42" personId="{4EF1F454-7715-4346-9203-AE6840C64668}" id="{CDEF81F2-575A-4396-92F0-157572F31FB5}">
    <text>C:\Users\kghoward\Desktop\Rockfish SF Harvest reconstruction\R code\logbook_harvest</text>
  </threadedComment>
  <threadedComment ref="F2" dT="2019-11-09T01:53:04.10" personId="{4EF1F454-7715-4346-9203-AE6840C64668}" id="{F6C31A2C-E692-40FE-9BCF-418DC29BCE93}">
    <text>Substitutions when no port sample data available:
1. AFOGNAK &amp; WKMA = NORTHEAST
2. SKMA = EASTSIDE</text>
  </threadedComment>
  <threadedComment ref="N2" dT="2019-11-04T22:30:11.90" personId="{4EF1F454-7715-4346-9203-AE6840C64668}" id="{37717508-8924-41EE-BD2E-DBB495D51F38}">
    <text>add variances of log_rfharv and TOTAL_rfharv. since logbook assume variance of zero, variance = that of total harvest estimate</text>
  </threadedComment>
  <threadedComment ref="O2" dT="2019-11-12T19:36:13.11" personId="{4EF1F454-7715-4346-9203-AE6840C64668}" id="{35011469-C84D-4FE4-9515-70FC1774D3C5}">
    <text>Substitutions when no port sample data available:
1. AFOGNAK &amp; WKMA &amp; SKMA &amp; EASTSIDE = NORTHEAST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2" dT="2019-11-09T01:53:04.10" personId="{4EF1F454-7715-4346-9203-AE6840C64668}" id="{5536D63F-8920-4E36-8CC8-1A7F12ED2E6C}">
    <text>Substitutions when no port sample data available from mean logbook proportions (AFOGNAK, WKMA, SKMA, CI, EASTSIDE, NORTHEAST)</text>
  </threadedComment>
  <threadedComment ref="O2" dT="2019-11-04T22:30:11.90" personId="{4EF1F454-7715-4346-9203-AE6840C64668}" id="{D3FDD8F1-8010-4BF3-997A-CBBA4560959A}">
    <text>add variances of log_rfharv and TOTAL_rfharv. since logbook assume variance of zero, variance = that of total harvest estimate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F2" dT="2019-11-09T01:53:04.10" personId="{4EF1F454-7715-4346-9203-AE6840C64668}" id="{A42CC030-ACEC-4060-8312-7F444929EA9A}">
    <text>Substitutions when no port sample data available from mean logbook proportions (AFOGNAK, WKMA, SKMA, CI, EASTSIDE, NORTHEAST)</text>
  </threadedComment>
  <threadedComment ref="N2" dT="2019-11-04T22:30:11.90" personId="{4EF1F454-7715-4346-9203-AE6840C64668}" id="{395E7875-D433-406A-9CB6-B8379504EDE7}">
    <text>add variances of log_rfharv and TOTAL_rfharv. since logbook assume variance of zero, variance = that of total harvest estimate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F2" dT="2019-11-09T01:53:04.10" personId="{4EF1F454-7715-4346-9203-AE6840C64668}" id="{08A33481-555A-4897-B499-BB6394654238}">
    <text>Substitutions when no port sample data available from mean logbook proportions (AFOGNAK, WKMA, SKMA, CI, EASTSIDE, NORTHEAST)</text>
  </threadedComment>
  <threadedComment ref="N2" dT="2019-11-04T22:30:11.90" personId="{4EF1F454-7715-4346-9203-AE6840C64668}" id="{214489EA-54E8-488C-9644-E3D8984FBD97}">
    <text>add variances of log_rfharv and TOTAL_rfharv. since logbook assume variance of zero, variance = that of total harvest estimate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1" dT="2019-11-08T23:24:26.42" personId="{4EF1F454-7715-4346-9203-AE6840C64668}" id="{6A782F1B-EE30-4623-A70E-0F248925A880}">
    <text>C:\Users\kghoward\Desktop\Rockfish SF Harvest reconstruction\R code\logbook_harvest</text>
  </threadedComment>
  <threadedComment ref="D1" dT="2019-11-18T22:10:30.62" personId="{4EF1F454-7715-4346-9203-AE6840C64668}" id="{8C8DE39C-9C9D-4C4C-AFEE-9B7D1EB24BE1}">
    <text>SWHS data with too few respondents: BSAI - Bering and aleutian
mainland and westside=WKMA
Chignik, SAKPEN, SOUTHEAST, SOUTHWEST = SOKO2SAP
EYKT and IBS=EWT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6B42C-ACC5-408D-AB66-156210C7E187}">
  <sheetPr>
    <tabColor rgb="FF00B050"/>
  </sheetPr>
  <dimension ref="A1:T51"/>
  <sheetViews>
    <sheetView topLeftCell="A9" workbookViewId="0">
      <selection activeCell="M13" sqref="M13"/>
    </sheetView>
  </sheetViews>
  <sheetFormatPr defaultRowHeight="14.4" x14ac:dyDescent="0.3"/>
  <sheetData>
    <row r="1" spans="1:3" ht="18" x14ac:dyDescent="0.35">
      <c r="A1" s="5" t="s">
        <v>0</v>
      </c>
    </row>
    <row r="2" spans="1:3" x14ac:dyDescent="0.3">
      <c r="A2" s="41" t="s">
        <v>99</v>
      </c>
    </row>
    <row r="3" spans="1:3" x14ac:dyDescent="0.3">
      <c r="A3" s="41"/>
      <c r="B3" s="42" t="s">
        <v>100</v>
      </c>
    </row>
    <row r="4" spans="1:3" x14ac:dyDescent="0.3">
      <c r="B4" t="s">
        <v>107</v>
      </c>
    </row>
    <row r="5" spans="1:3" x14ac:dyDescent="0.3">
      <c r="B5" t="s">
        <v>97</v>
      </c>
    </row>
    <row r="6" spans="1:3" x14ac:dyDescent="0.3">
      <c r="A6" t="s">
        <v>109</v>
      </c>
    </row>
    <row r="7" spans="1:3" x14ac:dyDescent="0.3">
      <c r="A7" t="s">
        <v>137</v>
      </c>
    </row>
    <row r="8" spans="1:3" x14ac:dyDescent="0.3">
      <c r="A8" s="4" t="s">
        <v>9</v>
      </c>
    </row>
    <row r="9" spans="1:3" x14ac:dyDescent="0.3">
      <c r="B9" s="4" t="s">
        <v>16</v>
      </c>
    </row>
    <row r="10" spans="1:3" x14ac:dyDescent="0.3">
      <c r="B10" t="s">
        <v>98</v>
      </c>
    </row>
    <row r="11" spans="1:3" x14ac:dyDescent="0.3">
      <c r="C11" t="s">
        <v>108</v>
      </c>
    </row>
    <row r="12" spans="1:3" x14ac:dyDescent="0.3">
      <c r="B12" t="s">
        <v>103</v>
      </c>
    </row>
    <row r="13" spans="1:3" x14ac:dyDescent="0.3">
      <c r="C13" t="s">
        <v>105</v>
      </c>
    </row>
    <row r="14" spans="1:3" x14ac:dyDescent="0.3">
      <c r="B14" t="s">
        <v>104</v>
      </c>
    </row>
    <row r="15" spans="1:3" x14ac:dyDescent="0.3">
      <c r="C15" t="s">
        <v>101</v>
      </c>
    </row>
    <row r="16" spans="1:3" x14ac:dyDescent="0.3">
      <c r="B16" s="4" t="s">
        <v>17</v>
      </c>
    </row>
    <row r="17" spans="1:4" x14ac:dyDescent="0.3">
      <c r="B17" t="s">
        <v>98</v>
      </c>
    </row>
    <row r="18" spans="1:4" x14ac:dyDescent="0.3">
      <c r="C18" t="s">
        <v>102</v>
      </c>
    </row>
    <row r="19" spans="1:4" x14ac:dyDescent="0.3">
      <c r="B19" t="s">
        <v>103</v>
      </c>
    </row>
    <row r="20" spans="1:4" x14ac:dyDescent="0.3">
      <c r="C20" t="s">
        <v>106</v>
      </c>
    </row>
    <row r="21" spans="1:4" x14ac:dyDescent="0.3">
      <c r="B21" t="s">
        <v>104</v>
      </c>
    </row>
    <row r="22" spans="1:4" x14ac:dyDescent="0.3">
      <c r="C22" t="s">
        <v>101</v>
      </c>
    </row>
    <row r="24" spans="1:4" x14ac:dyDescent="0.3">
      <c r="A24" s="4" t="s">
        <v>10</v>
      </c>
    </row>
    <row r="25" spans="1:4" x14ac:dyDescent="0.3">
      <c r="B25" s="4" t="s">
        <v>16</v>
      </c>
    </row>
    <row r="26" spans="1:4" x14ac:dyDescent="0.3">
      <c r="B26" t="s">
        <v>111</v>
      </c>
    </row>
    <row r="27" spans="1:4" x14ac:dyDescent="0.3">
      <c r="B27" t="s">
        <v>112</v>
      </c>
    </row>
    <row r="28" spans="1:4" x14ac:dyDescent="0.3">
      <c r="C28" t="s">
        <v>113</v>
      </c>
    </row>
    <row r="29" spans="1:4" x14ac:dyDescent="0.3">
      <c r="D29" t="s">
        <v>114</v>
      </c>
    </row>
    <row r="30" spans="1:4" x14ac:dyDescent="0.3">
      <c r="C30" t="s">
        <v>160</v>
      </c>
    </row>
    <row r="31" spans="1:4" x14ac:dyDescent="0.3">
      <c r="D31" t="s">
        <v>115</v>
      </c>
    </row>
    <row r="32" spans="1:4" x14ac:dyDescent="0.3">
      <c r="C32" t="s">
        <v>116</v>
      </c>
    </row>
    <row r="33" spans="1:20" x14ac:dyDescent="0.3">
      <c r="D33" t="s">
        <v>119</v>
      </c>
    </row>
    <row r="34" spans="1:20" x14ac:dyDescent="0.3">
      <c r="B34" s="4" t="s">
        <v>17</v>
      </c>
    </row>
    <row r="35" spans="1:20" x14ac:dyDescent="0.3">
      <c r="B35" t="s">
        <v>11</v>
      </c>
    </row>
    <row r="36" spans="1:20" x14ac:dyDescent="0.3">
      <c r="C36" t="s">
        <v>123</v>
      </c>
    </row>
    <row r="37" spans="1:20" x14ac:dyDescent="0.3">
      <c r="B37" t="s">
        <v>103</v>
      </c>
    </row>
    <row r="38" spans="1:20" x14ac:dyDescent="0.3">
      <c r="C38" t="s">
        <v>126</v>
      </c>
    </row>
    <row r="39" spans="1:20" x14ac:dyDescent="0.3">
      <c r="B39" t="s">
        <v>127</v>
      </c>
    </row>
    <row r="40" spans="1:20" x14ac:dyDescent="0.3">
      <c r="C40" t="s">
        <v>130</v>
      </c>
    </row>
    <row r="42" spans="1:20" x14ac:dyDescent="0.3">
      <c r="A42" t="s">
        <v>12</v>
      </c>
    </row>
    <row r="43" spans="1:20" x14ac:dyDescent="0.3">
      <c r="B43" t="s">
        <v>135</v>
      </c>
    </row>
    <row r="44" spans="1:20" x14ac:dyDescent="0.3">
      <c r="B44" t="s">
        <v>136</v>
      </c>
    </row>
    <row r="46" spans="1:20" x14ac:dyDescent="0.3">
      <c r="A46" s="44" t="s">
        <v>13</v>
      </c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</row>
    <row r="49" customFormat="1" x14ac:dyDescent="0.3"/>
    <row r="50" customFormat="1" x14ac:dyDescent="0.3"/>
    <row r="51" customFormat="1" x14ac:dyDescent="0.3"/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7F0DC-5E07-4106-8471-0321948C826C}">
  <sheetPr>
    <tabColor rgb="FF00B0F0"/>
  </sheetPr>
  <dimension ref="A1:AF86"/>
  <sheetViews>
    <sheetView topLeftCell="G57" workbookViewId="0">
      <selection activeCell="AC62" sqref="AC62:AD86"/>
    </sheetView>
  </sheetViews>
  <sheetFormatPr defaultRowHeight="14.4" x14ac:dyDescent="0.3"/>
  <cols>
    <col min="2" max="2" width="9.5546875" bestFit="1" customWidth="1"/>
    <col min="3" max="3" width="10" bestFit="1" customWidth="1"/>
    <col min="5" max="5" width="10" bestFit="1" customWidth="1"/>
    <col min="7" max="7" width="11" bestFit="1" customWidth="1"/>
    <col min="11" max="11" width="10.44140625" bestFit="1" customWidth="1"/>
    <col min="12" max="14" width="10.44140625" customWidth="1"/>
    <col min="17" max="17" width="9.109375" style="99"/>
  </cols>
  <sheetData>
    <row r="1" spans="1:17" ht="21" x14ac:dyDescent="0.4">
      <c r="A1" s="109" t="s">
        <v>94</v>
      </c>
      <c r="B1" s="109"/>
      <c r="C1" s="109"/>
      <c r="D1" s="109"/>
      <c r="E1" s="109"/>
      <c r="F1" s="109"/>
      <c r="G1" s="109"/>
      <c r="H1" s="109"/>
      <c r="I1" s="109"/>
      <c r="J1" s="109"/>
      <c r="Q1" s="98" t="s">
        <v>174</v>
      </c>
    </row>
    <row r="2" spans="1:17" x14ac:dyDescent="0.3">
      <c r="A2" t="s">
        <v>34</v>
      </c>
      <c r="B2" s="109" t="s">
        <v>45</v>
      </c>
      <c r="C2" s="109"/>
      <c r="D2" s="109" t="s">
        <v>48</v>
      </c>
      <c r="E2" s="109"/>
      <c r="F2" s="109" t="s">
        <v>91</v>
      </c>
      <c r="G2" s="109"/>
      <c r="H2" s="109" t="s">
        <v>54</v>
      </c>
      <c r="I2" s="109"/>
      <c r="J2" s="109" t="s">
        <v>82</v>
      </c>
      <c r="K2" s="109"/>
      <c r="L2" s="9"/>
      <c r="M2" s="9"/>
      <c r="N2" s="9"/>
    </row>
    <row r="3" spans="1:17" x14ac:dyDescent="0.3">
      <c r="B3" s="9" t="s">
        <v>138</v>
      </c>
      <c r="C3" s="9" t="s">
        <v>139</v>
      </c>
      <c r="D3" s="9" t="s">
        <v>138</v>
      </c>
      <c r="E3" s="9" t="s">
        <v>139</v>
      </c>
      <c r="F3" s="9" t="s">
        <v>138</v>
      </c>
      <c r="G3" s="9" t="s">
        <v>139</v>
      </c>
      <c r="H3" s="9" t="s">
        <v>138</v>
      </c>
      <c r="I3" s="9" t="s">
        <v>139</v>
      </c>
      <c r="J3" s="9" t="s">
        <v>138</v>
      </c>
      <c r="K3" s="9" t="s">
        <v>139</v>
      </c>
      <c r="L3" s="9"/>
      <c r="M3" s="9"/>
      <c r="N3" s="9"/>
    </row>
    <row r="4" spans="1:17" x14ac:dyDescent="0.3">
      <c r="A4">
        <v>1998</v>
      </c>
      <c r="B4" s="1">
        <f>'rockfish harvests'!K2</f>
        <v>529.5015960846614</v>
      </c>
      <c r="C4" s="1">
        <f>'rockfish harvests'!L2</f>
        <v>3943.5752117924521</v>
      </c>
      <c r="D4" s="1">
        <f>'rockfish harvests'!K102</f>
        <v>179.10831553366631</v>
      </c>
      <c r="E4" s="1">
        <f>'rockfish harvests'!L102</f>
        <v>350.7410435791694</v>
      </c>
      <c r="F4" s="1">
        <f>'rockfish harvests'!K152</f>
        <v>2646.751507803267</v>
      </c>
      <c r="G4" s="1">
        <f>'rockfish harvests'!L152</f>
        <v>130721.74657888399</v>
      </c>
      <c r="H4" s="1">
        <f>'rockfish harvests'!K27</f>
        <v>190.68660416251171</v>
      </c>
      <c r="I4" s="1">
        <f>'rockfish harvests'!L27</f>
        <v>681.09032990436276</v>
      </c>
      <c r="J4" s="1">
        <f>'rockfish harvests'!K52</f>
        <v>34.921501147605341</v>
      </c>
      <c r="K4" s="1">
        <f>'rockfish harvests'!L52</f>
        <v>23.019267226088481</v>
      </c>
      <c r="L4" s="1"/>
      <c r="M4" s="1"/>
      <c r="N4" s="1"/>
    </row>
    <row r="5" spans="1:17" x14ac:dyDescent="0.3">
      <c r="A5">
        <v>1999</v>
      </c>
      <c r="B5" s="1">
        <f>'rockfish harvests'!K3</f>
        <v>644.05722985297768</v>
      </c>
      <c r="C5" s="1">
        <f>'rockfish harvests'!L3</f>
        <v>5834.5115045216135</v>
      </c>
      <c r="D5" s="1">
        <f>'rockfish harvests'!K103</f>
        <v>137.68705174501304</v>
      </c>
      <c r="E5" s="1">
        <f>'rockfish harvests'!L103</f>
        <v>206.21704461477333</v>
      </c>
      <c r="F5" s="1">
        <f>'rockfish harvests'!K153</f>
        <v>3319.1117698661938</v>
      </c>
      <c r="G5" s="1">
        <f>'rockfish harvests'!L153</f>
        <v>205572.61399024838</v>
      </c>
      <c r="H5" s="1">
        <f>'rockfish harvests'!K28</f>
        <v>293.76044425035587</v>
      </c>
      <c r="I5" s="1">
        <f>'rockfish harvests'!L28</f>
        <v>1616.4079487649926</v>
      </c>
      <c r="J5" s="1">
        <f>'rockfish harvests'!K53</f>
        <v>113.81822596256556</v>
      </c>
      <c r="K5" s="1">
        <f>'rockfish harvests'!L53</f>
        <v>244.52840246752979</v>
      </c>
      <c r="L5" s="1"/>
      <c r="M5" s="1"/>
      <c r="N5" s="1"/>
    </row>
    <row r="6" spans="1:17" x14ac:dyDescent="0.3">
      <c r="A6">
        <v>2000</v>
      </c>
      <c r="B6" s="1">
        <f>'rockfish harvests'!K4</f>
        <v>1797.2506097873604</v>
      </c>
      <c r="C6" s="1">
        <f>'rockfish harvests'!L4</f>
        <v>45433.151217293431</v>
      </c>
      <c r="D6" s="1">
        <f>'rockfish harvests'!K104</f>
        <v>481.33572634826874</v>
      </c>
      <c r="E6" s="1">
        <f>'rockfish harvests'!L104</f>
        <v>2520.1973619204136</v>
      </c>
      <c r="F6" s="1">
        <f>'rockfish harvests'!K154</f>
        <v>3762.0157520187568</v>
      </c>
      <c r="G6" s="1">
        <f>'rockfish harvests'!L154</f>
        <v>264096.54694560438</v>
      </c>
      <c r="H6" s="1">
        <f>'rockfish harvests'!K29</f>
        <v>497.33127842384812</v>
      </c>
      <c r="I6" s="1">
        <f>'rockfish harvests'!L29</f>
        <v>4632.9316469334572</v>
      </c>
      <c r="J6" s="1">
        <f>'rockfish harvests'!K54</f>
        <v>84.070280540531371</v>
      </c>
      <c r="K6" s="1">
        <f>'rockfish harvests'!L54</f>
        <v>133.41070511690512</v>
      </c>
      <c r="L6" s="1"/>
      <c r="M6" s="1"/>
      <c r="N6" s="1"/>
    </row>
    <row r="7" spans="1:17" x14ac:dyDescent="0.3">
      <c r="A7">
        <v>2001</v>
      </c>
      <c r="B7" s="1">
        <f>'rockfish harvests'!K5</f>
        <v>680.96960073387947</v>
      </c>
      <c r="C7" s="1">
        <f>'rockfish harvests'!L5</f>
        <v>6522.4540899783578</v>
      </c>
      <c r="D7" s="1">
        <f>'rockfish harvests'!K105</f>
        <v>339.09703652904039</v>
      </c>
      <c r="E7" s="1">
        <f>'rockfish harvests'!L105</f>
        <v>1250.7956034403612</v>
      </c>
      <c r="F7" s="1">
        <f>'rockfish harvests'!K155</f>
        <v>3701.5389030501337</v>
      </c>
      <c r="G7" s="1">
        <f>'rockfish harvests'!L155</f>
        <v>255673.74912670467</v>
      </c>
      <c r="H7" s="1">
        <f>'rockfish harvests'!K30</f>
        <v>1522.9159872978976</v>
      </c>
      <c r="I7" s="1">
        <f>'rockfish harvests'!L30</f>
        <v>43442.642717188777</v>
      </c>
      <c r="J7" s="1">
        <f>'rockfish harvests'!K55</f>
        <v>34.921501147605341</v>
      </c>
      <c r="K7" s="1">
        <f>'rockfish harvests'!L55</f>
        <v>23.019267226088481</v>
      </c>
      <c r="L7" s="1"/>
      <c r="M7" s="1"/>
      <c r="N7" s="1"/>
    </row>
    <row r="8" spans="1:17" x14ac:dyDescent="0.3">
      <c r="A8">
        <v>2002</v>
      </c>
      <c r="B8" s="1">
        <f>'rockfish harvests'!K6</f>
        <v>439.12992944521204</v>
      </c>
      <c r="C8" s="1">
        <f>'rockfish harvests'!L6</f>
        <v>2712.3245630524034</v>
      </c>
      <c r="D8" s="1">
        <f>'rockfish harvests'!K106</f>
        <v>362.99313641867076</v>
      </c>
      <c r="E8" s="1">
        <f>'rockfish harvests'!L106</f>
        <v>1433.2936737274742</v>
      </c>
      <c r="F8" s="1">
        <f>'rockfish harvests'!K156</f>
        <v>4023.4891872654503</v>
      </c>
      <c r="G8" s="1">
        <f>'rockfish harvests'!L156</f>
        <v>302083.62252065231</v>
      </c>
      <c r="H8" s="1">
        <f>'rockfish harvests'!K31</f>
        <v>1133.8122409662858</v>
      </c>
      <c r="I8" s="1">
        <f>'rockfish harvests'!L31</f>
        <v>24079.453591943871</v>
      </c>
      <c r="J8" s="1">
        <f>'rockfish harvests'!K56</f>
        <v>128.04550420788624</v>
      </c>
      <c r="K8" s="1">
        <f>'rockfish harvests'!L56</f>
        <v>309.48125937296737</v>
      </c>
      <c r="L8" s="1"/>
      <c r="M8" s="1"/>
      <c r="N8" s="1"/>
    </row>
    <row r="9" spans="1:17" x14ac:dyDescent="0.3">
      <c r="A9">
        <v>2003</v>
      </c>
      <c r="B9" s="1">
        <f>'rockfish harvests'!K7</f>
        <v>721.70049274039195</v>
      </c>
      <c r="C9" s="1">
        <f>'rockfish harvests'!L7</f>
        <v>7326.0450447481962</v>
      </c>
      <c r="D9" s="1">
        <f>'rockfish harvests'!K107</f>
        <v>1151.5644327764728</v>
      </c>
      <c r="E9" s="1">
        <f>'rockfish harvests'!L107</f>
        <v>14424.967484458195</v>
      </c>
      <c r="F9" s="1">
        <f>'rockfish harvests'!K157</f>
        <v>4879.0587270862643</v>
      </c>
      <c r="G9" s="1">
        <f>'rockfish harvests'!L157</f>
        <v>444215.38374428463</v>
      </c>
      <c r="H9" s="1">
        <f>'rockfish harvests'!K32</f>
        <v>1426.2842622155438</v>
      </c>
      <c r="I9" s="1">
        <f>'rockfish harvests'!L32</f>
        <v>38104.522630157575</v>
      </c>
      <c r="J9" s="1">
        <f>'rockfish harvests'!K57</f>
        <v>186.24800612056183</v>
      </c>
      <c r="K9" s="1">
        <f>'rockfish harvests'!L57</f>
        <v>654.77026776429454</v>
      </c>
      <c r="L9" s="1"/>
      <c r="M9" s="1"/>
      <c r="N9" s="1"/>
    </row>
    <row r="10" spans="1:17" x14ac:dyDescent="0.3">
      <c r="A10">
        <v>2004</v>
      </c>
      <c r="B10" s="1">
        <f>'rockfish harvests'!K8</f>
        <v>595.68929559524418</v>
      </c>
      <c r="C10" s="1">
        <f>'rockfish harvests'!L8</f>
        <v>4991.087377424823</v>
      </c>
      <c r="D10" s="1">
        <f>'rockfish harvests'!K108</f>
        <v>830.67394854429358</v>
      </c>
      <c r="E10" s="1">
        <f>'rockfish harvests'!L108</f>
        <v>7505.8440731652699</v>
      </c>
      <c r="F10" s="1">
        <f>'rockfish harvests'!K158</f>
        <v>5853.8032339923066</v>
      </c>
      <c r="G10" s="1">
        <f>'rockfish harvests'!L158</f>
        <v>639436.97291537211</v>
      </c>
      <c r="H10" s="1">
        <f>'rockfish harvests'!K33</f>
        <v>1043.6226308894222</v>
      </c>
      <c r="I10" s="1">
        <f>'rockfish harvests'!L33</f>
        <v>20400.993674682817</v>
      </c>
      <c r="J10" s="1">
        <f>'rockfish harvests'!K58</f>
        <v>258.67778627855807</v>
      </c>
      <c r="K10" s="1">
        <f>'rockfish harvests'!L58</f>
        <v>1263.059930100877</v>
      </c>
      <c r="L10" s="1"/>
      <c r="M10" s="1"/>
      <c r="N10" s="1"/>
    </row>
    <row r="11" spans="1:17" x14ac:dyDescent="0.3">
      <c r="A11">
        <v>2005</v>
      </c>
      <c r="B11" s="1">
        <f>'rockfish harvests'!K9</f>
        <v>1762.8839196568656</v>
      </c>
      <c r="C11" s="1">
        <f>'rockfish harvests'!L9</f>
        <v>43712.235118346529</v>
      </c>
      <c r="D11" s="1">
        <f>'rockfish harvests'!K109</f>
        <v>1413.283622043853</v>
      </c>
      <c r="E11" s="1">
        <f>'rockfish harvests'!L109</f>
        <v>21726.862182169472</v>
      </c>
      <c r="F11" s="1">
        <f>'rockfish harvests'!K159</f>
        <v>8255.0898842170445</v>
      </c>
      <c r="G11" s="1">
        <f>'rockfish harvests'!L159</f>
        <v>1271642.7403433286</v>
      </c>
      <c r="H11" s="1">
        <f>'rockfish harvests'!K34</f>
        <v>1631.1435193901339</v>
      </c>
      <c r="I11" s="1">
        <f>'rockfish harvests'!L34</f>
        <v>49836.633162719001</v>
      </c>
      <c r="J11" s="1">
        <f>'rockfish harvests'!K59</f>
        <v>371.20262330973088</v>
      </c>
      <c r="K11" s="1">
        <f>'rockfish harvests'!L59</f>
        <v>2600.9245845619785</v>
      </c>
      <c r="L11" s="1"/>
      <c r="M11" s="1"/>
      <c r="N11" s="1"/>
    </row>
    <row r="12" spans="1:17" x14ac:dyDescent="0.3">
      <c r="A12">
        <v>2006</v>
      </c>
      <c r="B12" s="1">
        <f>'rockfish harvests'!K10</f>
        <v>1177.3773470632495</v>
      </c>
      <c r="C12" s="1">
        <f>'rockfish harvests'!L10</f>
        <v>19497.859309067106</v>
      </c>
      <c r="D12" s="1">
        <f>'rockfish harvests'!K110</f>
        <v>1725.0708301276015</v>
      </c>
      <c r="E12" s="1">
        <f>'rockfish harvests'!L110</f>
        <v>32370.709657002288</v>
      </c>
      <c r="F12" s="1">
        <f>'rockfish harvests'!K160</f>
        <v>6568.8530365036731</v>
      </c>
      <c r="G12" s="1">
        <f>'rockfish harvests'!L160</f>
        <v>805194.11996587296</v>
      </c>
      <c r="H12" s="1">
        <f>'rockfish harvests'!K35</f>
        <v>949.56775180926445</v>
      </c>
      <c r="I12" s="1">
        <f>'rockfish harvests'!L35</f>
        <v>16889.47924597438</v>
      </c>
      <c r="J12" s="1">
        <f>'rockfish harvests'!K60</f>
        <v>391.89684621201548</v>
      </c>
      <c r="K12" s="1">
        <f>'rockfish harvests'!L60</f>
        <v>2899.0067280657854</v>
      </c>
      <c r="L12" s="1"/>
      <c r="M12" s="1"/>
      <c r="N12" s="1"/>
    </row>
    <row r="13" spans="1:17" x14ac:dyDescent="0.3">
      <c r="A13">
        <v>2007</v>
      </c>
      <c r="B13" s="1">
        <f>'rockfish harvests'!K11</f>
        <v>3166.8268535063407</v>
      </c>
      <c r="C13" s="1">
        <f>'rockfish harvests'!L11</f>
        <v>141060.11022920778</v>
      </c>
      <c r="D13" s="1">
        <f>'rockfish harvests'!K111</f>
        <v>3961.0630340858711</v>
      </c>
      <c r="E13" s="1">
        <f>'rockfish harvests'!L111</f>
        <v>170671.83757600674</v>
      </c>
      <c r="F13" s="1">
        <f>'rockfish harvests'!K161</f>
        <v>9035.9527282530889</v>
      </c>
      <c r="G13" s="1">
        <f>'rockfish harvests'!L161</f>
        <v>1523594.5272363999</v>
      </c>
      <c r="H13" s="1">
        <f>'rockfish harvests'!K36</f>
        <v>2119.4558368062958</v>
      </c>
      <c r="I13" s="1">
        <f>'rockfish harvests'!L36</f>
        <v>84142.049852969925</v>
      </c>
      <c r="J13" s="1">
        <f>'rockfish harvests'!K61</f>
        <v>1484.8104932389235</v>
      </c>
      <c r="K13" s="1">
        <f>'rockfish harvests'!L61</f>
        <v>41614.793352991655</v>
      </c>
      <c r="L13" s="1"/>
      <c r="M13" s="1"/>
      <c r="N13" s="1"/>
    </row>
    <row r="14" spans="1:17" x14ac:dyDescent="0.3">
      <c r="A14">
        <v>2008</v>
      </c>
      <c r="B14" s="1">
        <f>'rockfish harvests'!K12</f>
        <v>3398.4838017933798</v>
      </c>
      <c r="C14" s="1">
        <f>'rockfish harvests'!L12</f>
        <v>162452.3467972634</v>
      </c>
      <c r="D14" s="1">
        <f>'rockfish harvests'!K112</f>
        <v>2629.7088973778937</v>
      </c>
      <c r="E14" s="1">
        <f>'rockfish harvests'!L112</f>
        <v>75223.529863537799</v>
      </c>
      <c r="F14" s="1">
        <f>'rockfish harvests'!K162</f>
        <v>11134.855133634712</v>
      </c>
      <c r="G14" s="1">
        <f>'rockfish harvests'!L162</f>
        <v>2313612.6269270084</v>
      </c>
      <c r="H14" s="1">
        <f>'rockfish harvests'!K37</f>
        <v>1540.9539093132703</v>
      </c>
      <c r="I14" s="1">
        <f>'rockfish harvests'!L37</f>
        <v>44477.835342425082</v>
      </c>
      <c r="J14" s="1">
        <f>'rockfish harvests'!K62</f>
        <v>1461.5294924738532</v>
      </c>
      <c r="K14" s="1">
        <f>'rockfish harvests'!L62</f>
        <v>40320.030618645244</v>
      </c>
      <c r="L14" s="1"/>
      <c r="M14" s="1"/>
      <c r="N14" s="1"/>
    </row>
    <row r="15" spans="1:17" x14ac:dyDescent="0.3">
      <c r="A15">
        <v>2009</v>
      </c>
      <c r="B15" s="1">
        <f>'rockfish harvests'!K13</f>
        <v>4789.6983318908196</v>
      </c>
      <c r="C15" s="1">
        <f>'rockfish harvests'!L13</f>
        <v>322679.89242321515</v>
      </c>
      <c r="D15" s="1">
        <f>'rockfish harvests'!K113</f>
        <v>2612.6402545995866</v>
      </c>
      <c r="E15" s="1">
        <f>'rockfish harvests'!L113</f>
        <v>74250.19273710491</v>
      </c>
      <c r="F15" s="1">
        <f>'rockfish harvests'!K163</f>
        <v>11328.736796504711</v>
      </c>
      <c r="G15" s="1">
        <f>'rockfish harvests'!L163</f>
        <v>2394883.9707024693</v>
      </c>
      <c r="H15" s="1">
        <f>'rockfish harvests'!K38</f>
        <v>2382.2941290302983</v>
      </c>
      <c r="I15" s="1">
        <f>'rockfish harvests'!L38</f>
        <v>106305.34609967883</v>
      </c>
      <c r="J15" s="1">
        <f>'rockfish harvests'!K63</f>
        <v>1047.6450344281602</v>
      </c>
      <c r="K15" s="1">
        <f>'rockfish harvests'!L63</f>
        <v>20717.340503479634</v>
      </c>
      <c r="L15" s="1"/>
      <c r="M15" s="1"/>
      <c r="N15" s="1"/>
    </row>
    <row r="16" spans="1:17" x14ac:dyDescent="0.3">
      <c r="A16">
        <v>2010</v>
      </c>
      <c r="B16" s="1">
        <f>'rockfish harvests'!K14</f>
        <v>3859.2520176170519</v>
      </c>
      <c r="C16" s="1">
        <f>'rockfish harvests'!L14</f>
        <v>209489.30732140518</v>
      </c>
      <c r="D16" s="1">
        <f>'rockfish harvests'!K114</f>
        <v>2907.3588199050278</v>
      </c>
      <c r="E16" s="1">
        <f>'rockfish harvests'!L114</f>
        <v>91946.589896274556</v>
      </c>
      <c r="F16" s="1">
        <f>'rockfish harvests'!K164</f>
        <v>14480.647866281181</v>
      </c>
      <c r="G16" s="1">
        <f>'rockfish harvests'!L164</f>
        <v>3912888.6469779164</v>
      </c>
      <c r="H16" s="1">
        <f>'rockfish harvests'!K39</f>
        <v>1631.1435193901339</v>
      </c>
      <c r="I16" s="1">
        <f>'rockfish harvests'!L39</f>
        <v>49836.633162719001</v>
      </c>
      <c r="J16" s="1">
        <f>'rockfish harvests'!K64</f>
        <v>832.94247181695698</v>
      </c>
      <c r="K16" s="1">
        <f>'rockfish harvests'!L64</f>
        <v>13095.910579257932</v>
      </c>
      <c r="L16" s="1"/>
      <c r="M16" s="1"/>
      <c r="N16" s="1"/>
    </row>
    <row r="17" spans="1:32" x14ac:dyDescent="0.3">
      <c r="A17">
        <v>2011</v>
      </c>
      <c r="B17" s="1">
        <f>'rockfish harvests'!K15</f>
        <v>3904.7408195848857</v>
      </c>
      <c r="C17" s="1">
        <f>'rockfish harvests'!L15</f>
        <v>200039.3867927817</v>
      </c>
      <c r="D17" s="1">
        <f>'rockfish harvests'!K115</f>
        <v>1979.4612042209808</v>
      </c>
      <c r="E17" s="1">
        <f>'rockfish harvests'!L115</f>
        <v>1649.9620849615694</v>
      </c>
      <c r="F17" s="1">
        <f>'rockfish harvests'!K165</f>
        <v>12904.522735409953</v>
      </c>
      <c r="G17" s="1">
        <f>'rockfish harvests'!L165</f>
        <v>2122890.1028359062</v>
      </c>
      <c r="H17" s="1">
        <f>'rockfish harvests'!K40</f>
        <v>1687.1685166498487</v>
      </c>
      <c r="I17" s="1">
        <f>'rockfish harvests'!L40</f>
        <v>51469.344301835146</v>
      </c>
      <c r="J17" s="1">
        <f>'rockfish harvests'!K65</f>
        <v>850.99495459132186</v>
      </c>
      <c r="K17" s="1">
        <f>'rockfish harvests'!L65</f>
        <v>13094.402331197241</v>
      </c>
      <c r="L17" s="1"/>
      <c r="M17" s="1"/>
      <c r="N17" s="1"/>
    </row>
    <row r="18" spans="1:32" x14ac:dyDescent="0.3">
      <c r="A18">
        <v>2012</v>
      </c>
      <c r="B18" s="1">
        <f>'rockfish harvests'!K16</f>
        <v>4135.7541899441339</v>
      </c>
      <c r="C18" s="1">
        <f>'rockfish harvests'!L16</f>
        <v>261396.56419933448</v>
      </c>
      <c r="D18" s="1">
        <f>'rockfish harvests'!K116</f>
        <v>3709.3989021043003</v>
      </c>
      <c r="E18" s="1">
        <f>'rockfish harvests'!L116</f>
        <v>25117.984568882985</v>
      </c>
      <c r="F18" s="1">
        <f>'rockfish harvests'!K166</f>
        <v>11751.479333744601</v>
      </c>
      <c r="G18" s="1">
        <f>'rockfish harvests'!L166</f>
        <v>2023168.1052428612</v>
      </c>
      <c r="H18" s="1">
        <f>'rockfish harvests'!K41</f>
        <v>2871.7026143790849</v>
      </c>
      <c r="I18" s="1">
        <f>'rockfish harvests'!L41</f>
        <v>412684.87548151758</v>
      </c>
      <c r="J18" s="1">
        <f>'rockfish harvests'!K66</f>
        <v>1509</v>
      </c>
      <c r="K18" s="1">
        <f>'rockfish harvests'!L66</f>
        <v>113950.9906442892</v>
      </c>
      <c r="L18" s="1"/>
      <c r="M18" s="1"/>
      <c r="N18" s="1"/>
    </row>
    <row r="19" spans="1:32" x14ac:dyDescent="0.3">
      <c r="A19">
        <v>2013</v>
      </c>
      <c r="B19" s="1">
        <f>'rockfish harvests'!K17</f>
        <v>3218.128956927867</v>
      </c>
      <c r="C19" s="1">
        <f>'rockfish harvests'!L17</f>
        <v>125971.00775365347</v>
      </c>
      <c r="D19" s="1">
        <f>'rockfish harvests'!K117</f>
        <v>2558.7798861480078</v>
      </c>
      <c r="E19" s="1">
        <f>'rockfish harvests'!L117</f>
        <v>93936.264893907151</v>
      </c>
      <c r="F19" s="1">
        <f>'rockfish harvests'!K167</f>
        <v>18590.830039525692</v>
      </c>
      <c r="G19" s="1">
        <f>'rockfish harvests'!L167</f>
        <v>4761147.9363994701</v>
      </c>
      <c r="H19" s="1">
        <f>'rockfish harvests'!K42</f>
        <v>2384.9594594594591</v>
      </c>
      <c r="I19" s="1">
        <f>'rockfish harvests'!L42</f>
        <v>69446.330827502126</v>
      </c>
      <c r="J19" s="1">
        <f>'rockfish harvests'!K67</f>
        <v>1244.7972972972973</v>
      </c>
      <c r="K19" s="1">
        <f>'rockfish harvests'!L67</f>
        <v>18918.407507863983</v>
      </c>
      <c r="L19" s="1"/>
      <c r="M19" s="1"/>
      <c r="N19" s="1"/>
    </row>
    <row r="20" spans="1:32" x14ac:dyDescent="0.3">
      <c r="A20">
        <v>2014</v>
      </c>
      <c r="B20" s="1">
        <f>'rockfish harvests'!K18</f>
        <v>4077.1607301869994</v>
      </c>
      <c r="C20" s="1">
        <f>'rockfish harvests'!L18</f>
        <v>268862.96198516607</v>
      </c>
      <c r="D20" s="1">
        <f>'rockfish harvests'!K118</f>
        <v>3801.8794981842188</v>
      </c>
      <c r="E20" s="1">
        <f>'rockfish harvests'!L118</f>
        <v>23714.551436006946</v>
      </c>
      <c r="F20" s="1">
        <f>'rockfish harvests'!K168</f>
        <v>17307.007400098668</v>
      </c>
      <c r="G20" s="1">
        <f>'rockfish harvests'!L168</f>
        <v>1633143.8585763292</v>
      </c>
      <c r="H20" s="1">
        <f>'rockfish harvests'!K43</f>
        <v>3202.8709245198747</v>
      </c>
      <c r="I20" s="1">
        <f>'rockfish harvests'!L43</f>
        <v>244720.20702808804</v>
      </c>
      <c r="J20" s="1">
        <f>'rockfish harvests'!K68</f>
        <v>872.90263510495754</v>
      </c>
      <c r="K20" s="1">
        <f>'rockfish harvests'!L68</f>
        <v>18177.015037346606</v>
      </c>
      <c r="L20" s="1"/>
      <c r="M20" s="1"/>
      <c r="N20" s="1"/>
    </row>
    <row r="21" spans="1:32" x14ac:dyDescent="0.3">
      <c r="A21">
        <v>2015</v>
      </c>
      <c r="B21" s="1">
        <f>'rockfish harvests'!K19</f>
        <v>5655.4958972529439</v>
      </c>
      <c r="C21" s="1">
        <f>'rockfish harvests'!L19</f>
        <v>1075446.4405794584</v>
      </c>
      <c r="D21" s="1">
        <f>'rockfish harvests'!K119</f>
        <v>3719.19872110182</v>
      </c>
      <c r="E21" s="1">
        <f>'rockfish harvests'!L119</f>
        <v>360398.18316320516</v>
      </c>
      <c r="F21" s="1">
        <f>'rockfish harvests'!K169</f>
        <v>23153.477406902814</v>
      </c>
      <c r="G21" s="1">
        <f>'rockfish harvests'!L169</f>
        <v>10110394.020791385</v>
      </c>
      <c r="H21" s="1">
        <f>'rockfish harvests'!K44</f>
        <v>2955.5510553337135</v>
      </c>
      <c r="I21" s="1">
        <f>'rockfish harvests'!L44</f>
        <v>669754.36895301775</v>
      </c>
      <c r="J21" s="1">
        <f>'rockfish harvests'!K69</f>
        <v>900.78094694808897</v>
      </c>
      <c r="K21" s="1">
        <f>'rockfish harvests'!L69</f>
        <v>62212.407283949418</v>
      </c>
      <c r="L21" s="1"/>
      <c r="M21" s="1"/>
      <c r="N21" s="1"/>
    </row>
    <row r="22" spans="1:32" x14ac:dyDescent="0.3">
      <c r="A22">
        <v>2016</v>
      </c>
      <c r="B22" s="1">
        <f>'rockfish harvests'!K20</f>
        <v>5754.5865442204031</v>
      </c>
      <c r="C22" s="1">
        <f>'rockfish harvests'!L20</f>
        <v>63684.114088437818</v>
      </c>
      <c r="D22" s="1">
        <f>'rockfish harvests'!K120</f>
        <v>3979.190684713376</v>
      </c>
      <c r="E22" s="1">
        <f>'rockfish harvests'!L120</f>
        <v>86017.579810230731</v>
      </c>
      <c r="F22" s="1">
        <f>'rockfish harvests'!K170</f>
        <v>27727.366319691999</v>
      </c>
      <c r="G22" s="1">
        <f>'rockfish harvests'!L170</f>
        <v>22590691.391820997</v>
      </c>
      <c r="H22" s="1">
        <f>'rockfish harvests'!K45</f>
        <v>3632.1269714513874</v>
      </c>
      <c r="I22" s="1">
        <f>'rockfish harvests'!L45</f>
        <v>25370.25919469192</v>
      </c>
      <c r="J22" s="1">
        <f>'rockfish harvests'!K70</f>
        <v>898.41878980891727</v>
      </c>
      <c r="K22" s="1">
        <f>'rockfish harvests'!L70</f>
        <v>4384.8563398414108</v>
      </c>
      <c r="L22" s="1"/>
      <c r="M22" s="1"/>
      <c r="N22" s="1"/>
    </row>
    <row r="23" spans="1:32" x14ac:dyDescent="0.3">
      <c r="A23">
        <v>2017</v>
      </c>
      <c r="B23" s="1">
        <f>'rockfish harvests'!K21</f>
        <v>5293.7475824448302</v>
      </c>
      <c r="C23" s="1">
        <f>'rockfish harvests'!L21</f>
        <v>89663.784684390819</v>
      </c>
      <c r="D23" s="1">
        <f>'rockfish harvests'!K121</f>
        <v>5286.8031716417918</v>
      </c>
      <c r="E23" s="1">
        <f>'rockfish harvests'!L121</f>
        <v>628325.57356668822</v>
      </c>
      <c r="F23" s="1">
        <f>'rockfish harvests'!K171</f>
        <v>10477.282570932253</v>
      </c>
      <c r="G23" s="1">
        <f>'rockfish harvests'!L171</f>
        <v>1035822.3149322054</v>
      </c>
      <c r="H23" s="1">
        <f>'rockfish harvests'!K46</f>
        <v>3896.8833955223881</v>
      </c>
      <c r="I23" s="1">
        <f>'rockfish harvests'!L46</f>
        <v>341376.2270959196</v>
      </c>
      <c r="J23" s="1">
        <f>'rockfish harvests'!K71</f>
        <v>895.24813432835822</v>
      </c>
      <c r="K23" s="1">
        <f>'rockfish harvests'!L71</f>
        <v>18017.117128178837</v>
      </c>
      <c r="L23" s="1"/>
      <c r="M23" s="1"/>
      <c r="N23" s="1"/>
    </row>
    <row r="24" spans="1:32" x14ac:dyDescent="0.3">
      <c r="A24">
        <v>2018</v>
      </c>
      <c r="B24" s="1">
        <f>'rockfish harvests'!K22</f>
        <v>7190.4016172506736</v>
      </c>
      <c r="C24" s="1">
        <f>'rockfish harvests'!L22</f>
        <v>412259.26032139536</v>
      </c>
      <c r="D24" s="1">
        <f>'rockfish harvests'!K122</f>
        <v>4216.2796271637817</v>
      </c>
      <c r="E24" s="1">
        <f>'rockfish harvests'!L122</f>
        <v>37596.448991886558</v>
      </c>
      <c r="F24" s="1">
        <f>'rockfish harvests'!K172</f>
        <v>17169.778908418131</v>
      </c>
      <c r="G24" s="1">
        <f>'rockfish harvests'!L172</f>
        <v>6090869.3085533688</v>
      </c>
      <c r="H24" s="1">
        <f>'rockfish harvests'!K47</f>
        <v>4979.3662731006161</v>
      </c>
      <c r="I24" s="1">
        <f>'rockfish harvests'!L47</f>
        <v>176905.35655507445</v>
      </c>
      <c r="J24" s="1">
        <f>'rockfish harvests'!K72</f>
        <v>778.64245379876797</v>
      </c>
      <c r="K24" s="1">
        <f>'rockfish harvests'!L72</f>
        <v>4325.8254808581805</v>
      </c>
      <c r="L24" s="1"/>
      <c r="M24" s="1"/>
      <c r="N24" s="1"/>
    </row>
    <row r="25" spans="1:32" x14ac:dyDescent="0.3">
      <c r="A25">
        <v>2019</v>
      </c>
      <c r="B25" s="1">
        <f>'rockfish harvests'!K23</f>
        <v>11217.376425855515</v>
      </c>
      <c r="C25" s="1">
        <f>'rockfish harvests'!L23</f>
        <v>3560251.2769631236</v>
      </c>
      <c r="D25" s="1">
        <f>'rockfish harvests'!K123</f>
        <v>7507.1545603495351</v>
      </c>
      <c r="E25" s="1">
        <f>'rockfish harvests'!L123</f>
        <v>1939226.0896531206</v>
      </c>
      <c r="F25" s="1">
        <f>'rockfish harvests'!K173</f>
        <v>20184.660072182862</v>
      </c>
      <c r="G25" s="1">
        <f>'rockfish harvests'!L173</f>
        <v>5030013.8598571327</v>
      </c>
      <c r="H25" s="1">
        <f>'rockfish harvests'!K48</f>
        <v>11501.863117870724</v>
      </c>
      <c r="I25" s="1">
        <f>'rockfish harvests'!L48</f>
        <v>3743126.0537553802</v>
      </c>
      <c r="J25" s="1">
        <f>'rockfish harvests'!K73</f>
        <v>946.32441288913162</v>
      </c>
      <c r="K25" s="1">
        <f>'rockfish harvests'!L73</f>
        <v>30814.691102249373</v>
      </c>
      <c r="L25" s="1"/>
      <c r="M25" s="1"/>
      <c r="N25" s="1"/>
    </row>
    <row r="26" spans="1:32" x14ac:dyDescent="0.3">
      <c r="A26">
        <v>2020</v>
      </c>
      <c r="B26" s="1">
        <f>'rockfish harvests'!K24</f>
        <v>7587.4199820520489</v>
      </c>
      <c r="C26" s="1">
        <f>'rockfish harvests'!L24</f>
        <v>564645.39156800637</v>
      </c>
      <c r="D26" s="1">
        <f>'rockfish harvests'!K124</f>
        <v>1792.0725207514197</v>
      </c>
      <c r="E26" s="1">
        <f>'rockfish harvests'!L124</f>
        <v>20342.54532916598</v>
      </c>
      <c r="F26" s="1">
        <f>'rockfish harvests'!K174</f>
        <v>9904.9695845697333</v>
      </c>
      <c r="G26" s="1">
        <f>'rockfish harvests'!L174</f>
        <v>2642689.7102351333</v>
      </c>
      <c r="H26" s="1">
        <f>'rockfish harvests'!K49</f>
        <v>4798.2830930537348</v>
      </c>
      <c r="I26" s="1">
        <f>'rockfish harvests'!L49</f>
        <v>145836.37674785985</v>
      </c>
      <c r="J26" s="1">
        <f>'rockfish harvests'!K74</f>
        <v>359.12800349497599</v>
      </c>
      <c r="K26" s="1">
        <f>'rockfish harvests'!L74</f>
        <v>816.94472651239755</v>
      </c>
      <c r="L26" s="1"/>
      <c r="M26" s="1"/>
      <c r="N26" s="1"/>
    </row>
    <row r="27" spans="1:32" x14ac:dyDescent="0.3">
      <c r="A27">
        <v>2021</v>
      </c>
      <c r="B27" s="1">
        <f>'rockfish harvests'!K25</f>
        <v>10413.682714889619</v>
      </c>
      <c r="C27" s="1">
        <f>'rockfish harvests'!L25</f>
        <v>336808.63980312884</v>
      </c>
      <c r="D27" s="1">
        <f>'rockfish harvests'!K125</f>
        <v>3335.5695162047909</v>
      </c>
      <c r="E27" s="1">
        <f>'rockfish harvests'!L125</f>
        <v>34555.289276141099</v>
      </c>
      <c r="F27" s="1">
        <f>'rockfish harvests'!K175</f>
        <v>16602.747125224181</v>
      </c>
      <c r="G27" s="1">
        <f>'rockfish harvests'!L175</f>
        <v>2666714.9901529583</v>
      </c>
      <c r="H27" s="1">
        <f>'rockfish harvests'!K50</f>
        <v>9161.5434476279934</v>
      </c>
      <c r="I27" s="1">
        <f>'rockfish harvests'!L50</f>
        <v>260682.47263099358</v>
      </c>
      <c r="J27" s="1">
        <f>'rockfish harvests'!K75</f>
        <v>1875.3184593705964</v>
      </c>
      <c r="K27" s="1">
        <f>'rockfish harvests'!L75</f>
        <v>10922.563990757333</v>
      </c>
      <c r="L27" s="1"/>
      <c r="M27" s="1"/>
      <c r="N27" s="1"/>
    </row>
    <row r="28" spans="1:32" x14ac:dyDescent="0.3">
      <c r="A28">
        <v>2022</v>
      </c>
      <c r="B28" s="1">
        <f>'rockfish harvests'!K26</f>
        <v>12768.878214229373</v>
      </c>
      <c r="C28" s="1">
        <f>'rockfish harvests'!L26</f>
        <v>2029671.2150868119</v>
      </c>
      <c r="D28" s="1">
        <f>'rockfish harvests'!K126</f>
        <v>2527.2457800914972</v>
      </c>
      <c r="E28" s="1">
        <f>'rockfish harvests'!L126</f>
        <v>79508.793444844647</v>
      </c>
      <c r="F28" s="1">
        <f>'rockfish harvests'!K176</f>
        <v>14487.096800572421</v>
      </c>
      <c r="G28" s="1">
        <f>'rockfish harvests'!L176</f>
        <v>1054686.774762708</v>
      </c>
      <c r="H28" s="1">
        <f>'rockfish harvests'!K51</f>
        <v>15671.724832214764</v>
      </c>
      <c r="I28" s="1">
        <f>'rockfish harvests'!L51</f>
        <v>4143553.5425617779</v>
      </c>
      <c r="J28" s="1">
        <f>'rockfish harvests'!K76</f>
        <v>1825.3098280485881</v>
      </c>
      <c r="K28" s="1">
        <f>'rockfish harvests'!L76</f>
        <v>41475.667798459108</v>
      </c>
      <c r="L28" s="1"/>
      <c r="M28" s="1"/>
      <c r="N28" s="1"/>
    </row>
    <row r="30" spans="1:32" x14ac:dyDescent="0.3">
      <c r="A30" s="109" t="s">
        <v>95</v>
      </c>
      <c r="B30" s="109"/>
      <c r="C30" s="109"/>
      <c r="D30" s="109"/>
      <c r="E30" s="109"/>
      <c r="F30" s="109"/>
      <c r="G30" s="109"/>
      <c r="H30" s="109"/>
      <c r="I30" s="109"/>
      <c r="J30" s="109"/>
    </row>
    <row r="31" spans="1:32" x14ac:dyDescent="0.3">
      <c r="A31" t="s">
        <v>34</v>
      </c>
      <c r="B31" s="109" t="s">
        <v>45</v>
      </c>
      <c r="C31" s="109"/>
      <c r="D31" s="109" t="s">
        <v>48</v>
      </c>
      <c r="E31" s="109"/>
      <c r="F31" s="109" t="s">
        <v>91</v>
      </c>
      <c r="G31" s="109"/>
      <c r="H31" s="109" t="s">
        <v>54</v>
      </c>
      <c r="I31" s="109"/>
      <c r="J31" s="109" t="s">
        <v>82</v>
      </c>
      <c r="K31" s="109"/>
      <c r="L31" s="109" t="s">
        <v>157</v>
      </c>
      <c r="M31" s="109"/>
      <c r="N31" s="109"/>
      <c r="O31" s="109"/>
      <c r="P31" s="9"/>
      <c r="Q31" s="100"/>
      <c r="R31" t="s">
        <v>34</v>
      </c>
      <c r="S31" s="109" t="s">
        <v>45</v>
      </c>
      <c r="T31" s="109"/>
      <c r="U31" s="109" t="s">
        <v>48</v>
      </c>
      <c r="V31" s="109"/>
      <c r="W31" s="109" t="s">
        <v>91</v>
      </c>
      <c r="X31" s="109"/>
      <c r="Y31" s="109" t="s">
        <v>54</v>
      </c>
      <c r="Z31" s="109"/>
      <c r="AA31" s="109" t="s">
        <v>82</v>
      </c>
      <c r="AB31" s="109"/>
      <c r="AC31" s="109" t="s">
        <v>157</v>
      </c>
      <c r="AD31" s="109"/>
      <c r="AE31" s="9"/>
      <c r="AF31" s="9"/>
    </row>
    <row r="32" spans="1:32" x14ac:dyDescent="0.3">
      <c r="B32" s="9" t="s">
        <v>138</v>
      </c>
      <c r="C32" s="9" t="s">
        <v>139</v>
      </c>
      <c r="D32" s="9" t="s">
        <v>138</v>
      </c>
      <c r="E32" s="9" t="s">
        <v>139</v>
      </c>
      <c r="F32" s="9" t="s">
        <v>138</v>
      </c>
      <c r="G32" s="9" t="s">
        <v>139</v>
      </c>
      <c r="H32" s="9" t="s">
        <v>138</v>
      </c>
      <c r="I32" s="9" t="s">
        <v>139</v>
      </c>
      <c r="J32" s="9" t="s">
        <v>138</v>
      </c>
      <c r="K32" s="9" t="s">
        <v>139</v>
      </c>
      <c r="L32" s="9" t="s">
        <v>138</v>
      </c>
      <c r="M32" s="9" t="s">
        <v>154</v>
      </c>
      <c r="N32" s="9" t="s">
        <v>155</v>
      </c>
      <c r="O32" s="9" t="s">
        <v>156</v>
      </c>
      <c r="P32" s="9"/>
      <c r="Q32" s="100"/>
      <c r="S32" s="9" t="s">
        <v>138</v>
      </c>
      <c r="T32" s="9" t="s">
        <v>175</v>
      </c>
      <c r="U32" s="9" t="s">
        <v>138</v>
      </c>
      <c r="V32" s="9" t="s">
        <v>175</v>
      </c>
      <c r="W32" s="9" t="s">
        <v>138</v>
      </c>
      <c r="X32" s="9" t="s">
        <v>175</v>
      </c>
      <c r="Y32" s="9" t="s">
        <v>138</v>
      </c>
      <c r="Z32" s="9" t="s">
        <v>175</v>
      </c>
      <c r="AA32" s="9" t="s">
        <v>138</v>
      </c>
      <c r="AB32" s="9" t="s">
        <v>175</v>
      </c>
      <c r="AC32" s="9" t="s">
        <v>138</v>
      </c>
      <c r="AD32" s="9" t="s">
        <v>175</v>
      </c>
      <c r="AE32" s="9"/>
      <c r="AF32" s="9"/>
    </row>
    <row r="33" spans="1:32" x14ac:dyDescent="0.3">
      <c r="A33">
        <v>1998</v>
      </c>
      <c r="B33" s="1">
        <f>'BRF harvest'!V3</f>
        <v>359.1413642850506</v>
      </c>
      <c r="C33" s="1">
        <f>'BRF harvest'!W3</f>
        <v>2942.4447255600389</v>
      </c>
      <c r="D33" s="1">
        <f>'BRF harvest'!V103</f>
        <v>89.096673170685818</v>
      </c>
      <c r="E33" s="1">
        <f>'BRF harvest'!W103</f>
        <v>260.22095333662071</v>
      </c>
      <c r="F33" s="1">
        <f>'BRF harvest'!V153</f>
        <v>1751.2551217634721</v>
      </c>
      <c r="G33" s="1">
        <f>'BRF harvest'!W153</f>
        <v>94644.456334564195</v>
      </c>
      <c r="H33" s="1">
        <f>'BRF harvest'!V28</f>
        <v>129.65464430819756</v>
      </c>
      <c r="I33" s="1">
        <f>'BRF harvest'!W28</f>
        <v>499.34557993691311</v>
      </c>
      <c r="J33" s="1">
        <f>'BRF harvest'!V53</f>
        <v>27.332020177697281</v>
      </c>
      <c r="K33" s="1">
        <f>'BRF harvest'!W53</f>
        <v>17.439429457323364</v>
      </c>
      <c r="L33" s="2">
        <f>J33+H33+F33+D33+B33</f>
        <v>2356.4798237051032</v>
      </c>
      <c r="M33" s="1">
        <f>SUM(E33,G33,I33,K33,C33)</f>
        <v>98363.907022855099</v>
      </c>
      <c r="N33">
        <f>SQRT(M33)</f>
        <v>313.63020744637322</v>
      </c>
      <c r="O33" s="14">
        <f>N33/L33</f>
        <v>0.13309267675088815</v>
      </c>
      <c r="P33" s="14"/>
      <c r="Q33" s="101"/>
      <c r="R33">
        <v>1998</v>
      </c>
      <c r="S33" s="1">
        <f>B33</f>
        <v>359.1413642850506</v>
      </c>
      <c r="T33" s="102">
        <f>SQRT(C33)/S33</f>
        <v>0.15103887026636553</v>
      </c>
      <c r="U33" s="1">
        <f>D33</f>
        <v>89.096673170685818</v>
      </c>
      <c r="V33" s="102">
        <f>SQRT(E33)/U33</f>
        <v>0.1810546335753469</v>
      </c>
      <c r="W33" s="1">
        <f>F33</f>
        <v>1751.2551217634721</v>
      </c>
      <c r="X33" s="102">
        <f>SQRT(G33)/W33</f>
        <v>0.17567023084091901</v>
      </c>
      <c r="Y33" s="1">
        <f>H33</f>
        <v>129.65464430819756</v>
      </c>
      <c r="Z33" s="102">
        <f>SQRT(I33)/Y33</f>
        <v>0.17235049176579947</v>
      </c>
      <c r="AA33" s="1">
        <f>J33</f>
        <v>27.332020177697281</v>
      </c>
      <c r="AB33" s="102">
        <f>SQRT(K33)/AA33</f>
        <v>0.15278981450176848</v>
      </c>
      <c r="AC33" s="2">
        <f>AA33+Y33+W33+U33+S33</f>
        <v>2356.4798237051032</v>
      </c>
      <c r="AD33" s="102">
        <f>O33</f>
        <v>0.13309267675088815</v>
      </c>
      <c r="AF33" s="14"/>
    </row>
    <row r="34" spans="1:32" x14ac:dyDescent="0.3">
      <c r="A34">
        <v>1999</v>
      </c>
      <c r="B34" s="1">
        <f>'BRF harvest'!V4</f>
        <v>465.55923337779177</v>
      </c>
      <c r="C34" s="1">
        <f>'BRF harvest'!W4</f>
        <v>3172.1933613510473</v>
      </c>
      <c r="D34" s="1">
        <f>'BRF harvest'!V104</f>
        <v>106.12871191893431</v>
      </c>
      <c r="E34" s="1">
        <f>'BRF harvest'!W104</f>
        <v>132.55473174377244</v>
      </c>
      <c r="F34" s="1">
        <f>'BRF harvest'!V154</f>
        <v>2515.9609216317722</v>
      </c>
      <c r="G34" s="1">
        <f>'BRF harvest'!W154</f>
        <v>109619.48610933319</v>
      </c>
      <c r="H34" s="1">
        <f>'BRF harvest'!V29</f>
        <v>242.27796776833577</v>
      </c>
      <c r="I34" s="1">
        <f>'BRF harvest'!W29</f>
        <v>879.08954314217306</v>
      </c>
      <c r="J34" s="1">
        <f>'BRF harvest'!V54</f>
        <v>87.196972396234457</v>
      </c>
      <c r="K34" s="1">
        <f>'BRF harvest'!W54</f>
        <v>139.68545463072437</v>
      </c>
      <c r="L34" s="2">
        <f t="shared" ref="L34:L54" si="0">J34+H34+F34+D34+B34</f>
        <v>3417.1238070930685</v>
      </c>
      <c r="M34" s="1">
        <f t="shared" ref="M34:M54" si="1">SUM(E34,G34,I34,K34,C34)</f>
        <v>113943.0092002009</v>
      </c>
      <c r="N34">
        <f t="shared" ref="N34:N54" si="2">SQRT(M34)</f>
        <v>337.55445368147775</v>
      </c>
      <c r="O34" s="14">
        <f t="shared" ref="O34:O54" si="3">N34/L34</f>
        <v>9.8783208551238816E-2</v>
      </c>
      <c r="P34" s="14"/>
      <c r="Q34" s="101"/>
      <c r="R34">
        <v>1999</v>
      </c>
      <c r="S34" s="1">
        <f t="shared" ref="S34:S57" si="4">B34</f>
        <v>465.55923337779177</v>
      </c>
      <c r="T34" s="102">
        <f t="shared" ref="T34:T57" si="5">SQRT(C34)/S34</f>
        <v>0.12097757688585478</v>
      </c>
      <c r="U34" s="1">
        <f t="shared" ref="U34:U57" si="6">D34</f>
        <v>106.12871191893431</v>
      </c>
      <c r="V34" s="102">
        <f t="shared" ref="V34:V57" si="7">SQRT(E34)/U34</f>
        <v>0.10848375877385676</v>
      </c>
      <c r="W34" s="1">
        <f t="shared" ref="W34:W57" si="8">F34</f>
        <v>2515.9609216317722</v>
      </c>
      <c r="X34" s="102">
        <f t="shared" ref="X34:X57" si="9">SQRT(G34)/W34</f>
        <v>0.13159518216805705</v>
      </c>
      <c r="Y34" s="1">
        <f t="shared" ref="Y34:Y57" si="10">H34</f>
        <v>242.27796776833577</v>
      </c>
      <c r="Z34" s="102">
        <f t="shared" ref="Z34:Z57" si="11">SQRT(I34)/Y34</f>
        <v>0.12237779812588784</v>
      </c>
      <c r="AA34" s="1">
        <f t="shared" ref="AA34:AA57" si="12">J34</f>
        <v>87.196972396234457</v>
      </c>
      <c r="AB34" s="102">
        <f t="shared" ref="AB34:AB57" si="13">SQRT(K34)/AA34</f>
        <v>0.13554209279532717</v>
      </c>
      <c r="AC34" s="2">
        <f t="shared" ref="AC34:AC57" si="14">AA34+Y34+W34+U34+S34</f>
        <v>3417.1238070930685</v>
      </c>
      <c r="AD34" s="102">
        <f t="shared" ref="AD34:AD57" si="15">O34</f>
        <v>9.8783208551238816E-2</v>
      </c>
      <c r="AF34" s="14"/>
    </row>
    <row r="35" spans="1:32" x14ac:dyDescent="0.3">
      <c r="A35">
        <v>2000</v>
      </c>
      <c r="B35" s="1">
        <f>'BRF harvest'!V5</f>
        <v>1402.4684024516273</v>
      </c>
      <c r="C35" s="1">
        <f>'BRF harvest'!W5</f>
        <v>26505.021617829036</v>
      </c>
      <c r="D35" s="1">
        <f>'BRF harvest'!V105</f>
        <v>401.45477078136321</v>
      </c>
      <c r="E35" s="1">
        <f>'BRF harvest'!W105</f>
        <v>1793.1154635310918</v>
      </c>
      <c r="F35" s="1">
        <f>'BRF harvest'!V155</f>
        <v>2925.1451980975949</v>
      </c>
      <c r="G35" s="1">
        <f>'BRF harvest'!W155</f>
        <v>151721.86014446558</v>
      </c>
      <c r="H35" s="1">
        <f>'BRF harvest'!V30</f>
        <v>363.60832627038195</v>
      </c>
      <c r="I35" s="1">
        <f>'BRF harvest'!W30</f>
        <v>2653.96409349235</v>
      </c>
      <c r="J35" s="1">
        <f>'BRF harvest'!V55</f>
        <v>18.892003485141906</v>
      </c>
      <c r="K35" s="1">
        <f>'BRF harvest'!W55</f>
        <v>74.32292768300475</v>
      </c>
      <c r="L35" s="2">
        <f t="shared" si="0"/>
        <v>5111.5687010861093</v>
      </c>
      <c r="M35" s="1">
        <f t="shared" si="1"/>
        <v>182748.28424700105</v>
      </c>
      <c r="N35">
        <f t="shared" si="2"/>
        <v>427.49068322830271</v>
      </c>
      <c r="O35" s="14">
        <f t="shared" si="3"/>
        <v>8.3631994056436967E-2</v>
      </c>
      <c r="P35" s="14"/>
      <c r="Q35" s="101"/>
      <c r="R35">
        <v>2000</v>
      </c>
      <c r="S35" s="1">
        <f t="shared" si="4"/>
        <v>1402.4684024516273</v>
      </c>
      <c r="T35" s="102">
        <f t="shared" si="5"/>
        <v>0.11608363419977606</v>
      </c>
      <c r="U35" s="1">
        <f t="shared" si="6"/>
        <v>401.45477078136321</v>
      </c>
      <c r="V35" s="102">
        <f t="shared" si="7"/>
        <v>0.10547936451103494</v>
      </c>
      <c r="W35" s="1">
        <f t="shared" si="8"/>
        <v>2925.1451980975949</v>
      </c>
      <c r="X35" s="102">
        <f t="shared" si="9"/>
        <v>0.13316087826216805</v>
      </c>
      <c r="Y35" s="1">
        <f t="shared" si="10"/>
        <v>363.60832627038195</v>
      </c>
      <c r="Z35" s="102">
        <f t="shared" si="11"/>
        <v>0.14168168128845121</v>
      </c>
      <c r="AA35" s="1">
        <f t="shared" si="12"/>
        <v>18.892003485141906</v>
      </c>
      <c r="AB35" s="102">
        <f t="shared" si="13"/>
        <v>0.45633458787920828</v>
      </c>
      <c r="AC35" s="2">
        <f t="shared" si="14"/>
        <v>5111.5687010861093</v>
      </c>
      <c r="AD35" s="102">
        <f t="shared" si="15"/>
        <v>8.3631994056436967E-2</v>
      </c>
      <c r="AF35" s="14"/>
    </row>
    <row r="36" spans="1:32" x14ac:dyDescent="0.3">
      <c r="A36">
        <v>2001</v>
      </c>
      <c r="B36" s="1">
        <f>'BRF harvest'!V6</f>
        <v>573.26885828848845</v>
      </c>
      <c r="C36" s="1">
        <f>'BRF harvest'!W6</f>
        <v>4612.061539806482</v>
      </c>
      <c r="D36" s="1">
        <f>'BRF harvest'!V106</f>
        <v>251.38188209076492</v>
      </c>
      <c r="E36" s="1">
        <f>'BRF harvest'!W106</f>
        <v>991.94974441192483</v>
      </c>
      <c r="F36" s="1">
        <f>'BRF harvest'!V156</f>
        <v>3092.0257382708642</v>
      </c>
      <c r="G36" s="1">
        <f>'BRF harvest'!W156</f>
        <v>179517.06145476969</v>
      </c>
      <c r="H36" s="1">
        <f>'BRF harvest'!V31</f>
        <v>1380.6769000600257</v>
      </c>
      <c r="I36" s="1">
        <f>'BRF harvest'!W31</f>
        <v>30539.482183523513</v>
      </c>
      <c r="J36" s="1">
        <f>'BRF harvest'!V56</f>
        <v>14.035872588852769</v>
      </c>
      <c r="K36" s="1">
        <f>'BRF harvest'!W56</f>
        <v>15.804901276404737</v>
      </c>
      <c r="L36" s="2">
        <f t="shared" si="0"/>
        <v>5311.3892512989951</v>
      </c>
      <c r="M36" s="1">
        <f t="shared" si="1"/>
        <v>215676.35982378799</v>
      </c>
      <c r="N36">
        <f t="shared" si="2"/>
        <v>464.40968963167421</v>
      </c>
      <c r="O36" s="14">
        <f t="shared" si="3"/>
        <v>8.743657594255487E-2</v>
      </c>
      <c r="P36" s="14"/>
      <c r="Q36" s="101"/>
      <c r="R36">
        <v>2001</v>
      </c>
      <c r="S36" s="1">
        <f t="shared" si="4"/>
        <v>573.26885828848845</v>
      </c>
      <c r="T36" s="102">
        <f t="shared" si="5"/>
        <v>0.11846476481125359</v>
      </c>
      <c r="U36" s="1">
        <f t="shared" si="6"/>
        <v>251.38188209076492</v>
      </c>
      <c r="V36" s="102">
        <f t="shared" si="7"/>
        <v>0.1252883995287786</v>
      </c>
      <c r="W36" s="1">
        <f t="shared" si="8"/>
        <v>3092.0257382708642</v>
      </c>
      <c r="X36" s="102">
        <f t="shared" si="9"/>
        <v>0.13702814069941791</v>
      </c>
      <c r="Y36" s="1">
        <f t="shared" si="10"/>
        <v>1380.6769000600257</v>
      </c>
      <c r="Z36" s="102">
        <f t="shared" si="11"/>
        <v>0.12657233025540118</v>
      </c>
      <c r="AA36" s="1">
        <f t="shared" si="12"/>
        <v>14.035872588852769</v>
      </c>
      <c r="AB36" s="102">
        <f t="shared" si="13"/>
        <v>0.28324123312228988</v>
      </c>
      <c r="AC36" s="2">
        <f t="shared" si="14"/>
        <v>5311.3892512989951</v>
      </c>
      <c r="AD36" s="102">
        <f t="shared" si="15"/>
        <v>8.743657594255487E-2</v>
      </c>
      <c r="AF36" s="14"/>
    </row>
    <row r="37" spans="1:32" x14ac:dyDescent="0.3">
      <c r="A37">
        <v>2002</v>
      </c>
      <c r="B37" s="1">
        <f>'BRF harvest'!V7</f>
        <v>312.5349823096368</v>
      </c>
      <c r="C37" s="1">
        <f>'BRF harvest'!W7</f>
        <v>1183.6878385123998</v>
      </c>
      <c r="D37" s="1">
        <f>'BRF harvest'!V107</f>
        <v>280.24767745357633</v>
      </c>
      <c r="E37" s="1">
        <f>'BRF harvest'!W107</f>
        <v>732.80247905305544</v>
      </c>
      <c r="F37" s="1">
        <f>'BRF harvest'!V157</f>
        <v>2871.7494444340323</v>
      </c>
      <c r="G37" s="1">
        <f>'BRF harvest'!W157</f>
        <v>124845.1712753217</v>
      </c>
      <c r="H37" s="1">
        <f>'BRF harvest'!V32</f>
        <v>865.83143816183724</v>
      </c>
      <c r="I37" s="1">
        <f>'BRF harvest'!W32</f>
        <v>10307.033785593609</v>
      </c>
      <c r="J37" s="1">
        <f>'BRF harvest'!V57</f>
        <v>100.59534150616244</v>
      </c>
      <c r="K37" s="1">
        <f>'BRF harvest'!W57</f>
        <v>137.35202696055049</v>
      </c>
      <c r="L37" s="2">
        <f t="shared" si="0"/>
        <v>4430.9588838652453</v>
      </c>
      <c r="M37" s="1">
        <f t="shared" si="1"/>
        <v>137206.04740544129</v>
      </c>
      <c r="N37">
        <f t="shared" si="2"/>
        <v>370.41334668912958</v>
      </c>
      <c r="O37" s="14">
        <f t="shared" si="3"/>
        <v>8.3596656253783153E-2</v>
      </c>
      <c r="P37" s="14"/>
      <c r="Q37" s="101"/>
      <c r="R37">
        <v>2002</v>
      </c>
      <c r="S37" s="1">
        <f t="shared" si="4"/>
        <v>312.5349823096368</v>
      </c>
      <c r="T37" s="102">
        <f t="shared" si="5"/>
        <v>0.11008292419114236</v>
      </c>
      <c r="U37" s="1">
        <f t="shared" si="6"/>
        <v>280.24767745357633</v>
      </c>
      <c r="V37" s="102">
        <f t="shared" si="7"/>
        <v>9.6594287382636784E-2</v>
      </c>
      <c r="W37" s="1">
        <f t="shared" si="8"/>
        <v>2871.7494444340323</v>
      </c>
      <c r="X37" s="102">
        <f t="shared" si="9"/>
        <v>0.12303801870700184</v>
      </c>
      <c r="Y37" s="1">
        <f t="shared" si="10"/>
        <v>865.83143816183724</v>
      </c>
      <c r="Z37" s="102">
        <f t="shared" si="11"/>
        <v>0.11725557451093099</v>
      </c>
      <c r="AA37" s="1">
        <f t="shared" si="12"/>
        <v>100.59534150616244</v>
      </c>
      <c r="AB37" s="102">
        <f t="shared" si="13"/>
        <v>0.11650368629425797</v>
      </c>
      <c r="AC37" s="2">
        <f t="shared" si="14"/>
        <v>4430.9588838652453</v>
      </c>
      <c r="AD37" s="102">
        <f t="shared" si="15"/>
        <v>8.3596656253783153E-2</v>
      </c>
      <c r="AF37" s="14"/>
    </row>
    <row r="38" spans="1:32" x14ac:dyDescent="0.3">
      <c r="A38">
        <v>2003</v>
      </c>
      <c r="B38" s="1">
        <f>'BRF harvest'!V8</f>
        <v>528.9454202183241</v>
      </c>
      <c r="C38" s="1">
        <f>'BRF harvest'!W8</f>
        <v>4277.3985013331239</v>
      </c>
      <c r="D38" s="1">
        <f>'BRF harvest'!V108</f>
        <v>1010.6323546288824</v>
      </c>
      <c r="E38" s="1">
        <f>'BRF harvest'!W108</f>
        <v>10312.459713288834</v>
      </c>
      <c r="F38" s="1">
        <f>'BRF harvest'!V158</f>
        <v>3691.9091603167899</v>
      </c>
      <c r="G38" s="1">
        <f>'BRF harvest'!W158</f>
        <v>251878.96065902759</v>
      </c>
      <c r="H38" s="1">
        <f>'BRF harvest'!V33</f>
        <v>1056.5445732905998</v>
      </c>
      <c r="I38" s="1">
        <f>'BRF harvest'!W33</f>
        <v>21823.155202483162</v>
      </c>
      <c r="J38" s="1">
        <f>'BRF harvest'!V58</f>
        <v>128.95174777365597</v>
      </c>
      <c r="K38" s="1">
        <f>'BRF harvest'!W58</f>
        <v>383.50359282944817</v>
      </c>
      <c r="L38" s="2">
        <f t="shared" si="0"/>
        <v>6416.9832562282518</v>
      </c>
      <c r="M38" s="1">
        <f t="shared" si="1"/>
        <v>288675.47766896221</v>
      </c>
      <c r="N38">
        <f t="shared" si="2"/>
        <v>537.28528517814652</v>
      </c>
      <c r="O38" s="14">
        <f t="shared" si="3"/>
        <v>8.3728640659403858E-2</v>
      </c>
      <c r="P38" s="14"/>
      <c r="Q38" s="101"/>
      <c r="R38">
        <v>2003</v>
      </c>
      <c r="S38" s="1">
        <f t="shared" si="4"/>
        <v>528.9454202183241</v>
      </c>
      <c r="T38" s="102">
        <f t="shared" si="5"/>
        <v>0.12364569363749169</v>
      </c>
      <c r="U38" s="1">
        <f t="shared" si="6"/>
        <v>1010.6323546288824</v>
      </c>
      <c r="V38" s="102">
        <f t="shared" si="7"/>
        <v>0.10048192226835309</v>
      </c>
      <c r="W38" s="1">
        <f t="shared" si="8"/>
        <v>3691.9091603167899</v>
      </c>
      <c r="X38" s="102">
        <f t="shared" si="9"/>
        <v>0.13593927195330149</v>
      </c>
      <c r="Y38" s="1">
        <f t="shared" si="10"/>
        <v>1056.5445732905998</v>
      </c>
      <c r="Z38" s="102">
        <f t="shared" si="11"/>
        <v>0.13982053094200164</v>
      </c>
      <c r="AA38" s="1">
        <f t="shared" si="12"/>
        <v>128.95174777365597</v>
      </c>
      <c r="AB38" s="102">
        <f t="shared" si="13"/>
        <v>0.15186492698316309</v>
      </c>
      <c r="AC38" s="2">
        <f t="shared" si="14"/>
        <v>6416.9832562282518</v>
      </c>
      <c r="AD38" s="102">
        <f t="shared" si="15"/>
        <v>8.3728640659403858E-2</v>
      </c>
      <c r="AF38" s="14"/>
    </row>
    <row r="39" spans="1:32" x14ac:dyDescent="0.3">
      <c r="A39">
        <v>2004</v>
      </c>
      <c r="B39" s="1">
        <f>'BRF harvest'!V9</f>
        <v>361.72103285180168</v>
      </c>
      <c r="C39" s="1">
        <f>'BRF harvest'!W9</f>
        <v>3193.471284006569</v>
      </c>
      <c r="D39" s="1">
        <f>'BRF harvest'!V109</f>
        <v>711.72232213144957</v>
      </c>
      <c r="E39" s="1">
        <f>'BRF harvest'!W109</f>
        <v>5820.0632867863787</v>
      </c>
      <c r="F39" s="1">
        <f>'BRF harvest'!V159</f>
        <v>4377.7844435533307</v>
      </c>
      <c r="G39" s="1">
        <f>'BRF harvest'!W159</f>
        <v>409845.68946095556</v>
      </c>
      <c r="H39" s="1">
        <f>'BRF harvest'!V34</f>
        <v>737.50543260946256</v>
      </c>
      <c r="I39" s="1">
        <f>'BRF harvest'!W34</f>
        <v>13086.842266296531</v>
      </c>
      <c r="J39" s="1">
        <f>'BRF harvest'!V59</f>
        <v>195.57570555324924</v>
      </c>
      <c r="K39" s="1">
        <f>'BRF harvest'!W59</f>
        <v>843.63498301182494</v>
      </c>
      <c r="L39" s="2">
        <f t="shared" si="0"/>
        <v>6384.3089366992936</v>
      </c>
      <c r="M39" s="1">
        <f t="shared" si="1"/>
        <v>432789.70128105686</v>
      </c>
      <c r="N39">
        <f t="shared" si="2"/>
        <v>657.86754083254243</v>
      </c>
      <c r="O39" s="14">
        <f t="shared" si="3"/>
        <v>0.10304444026054006</v>
      </c>
      <c r="P39" s="14"/>
      <c r="Q39" s="101"/>
      <c r="R39">
        <v>2004</v>
      </c>
      <c r="S39" s="1">
        <f t="shared" si="4"/>
        <v>361.72103285180168</v>
      </c>
      <c r="T39" s="102">
        <f t="shared" si="5"/>
        <v>0.15622759435365491</v>
      </c>
      <c r="U39" s="1">
        <f t="shared" si="6"/>
        <v>711.72232213144957</v>
      </c>
      <c r="V39" s="102">
        <f t="shared" si="7"/>
        <v>0.10718975210026452</v>
      </c>
      <c r="W39" s="1">
        <f t="shared" si="8"/>
        <v>4377.7844435533307</v>
      </c>
      <c r="X39" s="102">
        <f t="shared" si="9"/>
        <v>0.14623650944241201</v>
      </c>
      <c r="Y39" s="1">
        <f t="shared" si="10"/>
        <v>737.50543260946256</v>
      </c>
      <c r="Z39" s="102">
        <f t="shared" si="11"/>
        <v>0.15511443319234203</v>
      </c>
      <c r="AA39" s="1">
        <f t="shared" si="12"/>
        <v>195.57570555324924</v>
      </c>
      <c r="AB39" s="102">
        <f t="shared" si="13"/>
        <v>0.14851228648094639</v>
      </c>
      <c r="AC39" s="2">
        <f t="shared" si="14"/>
        <v>6384.3089366992936</v>
      </c>
      <c r="AD39" s="102">
        <f t="shared" si="15"/>
        <v>0.10304444026054006</v>
      </c>
      <c r="AF39" s="14"/>
    </row>
    <row r="40" spans="1:32" x14ac:dyDescent="0.3">
      <c r="A40">
        <v>2005</v>
      </c>
      <c r="B40" s="1">
        <f>'BRF harvest'!V10</f>
        <v>1410.2992683885925</v>
      </c>
      <c r="C40" s="1">
        <f>'BRF harvest'!W10</f>
        <v>30420.641604747285</v>
      </c>
      <c r="D40" s="1">
        <f>'BRF harvest'!V110</f>
        <v>1152.806035567588</v>
      </c>
      <c r="E40" s="1">
        <f>'BRF harvest'!W110</f>
        <v>17863.760438514448</v>
      </c>
      <c r="F40" s="1">
        <f>'BRF harvest'!V160</f>
        <v>7004.4440019072426</v>
      </c>
      <c r="G40" s="1">
        <f>'BRF harvest'!W160</f>
        <v>880963.85925065423</v>
      </c>
      <c r="H40" s="1">
        <f>'BRF harvest'!V35</f>
        <v>1356.9211465405499</v>
      </c>
      <c r="I40" s="1">
        <f>'BRF harvest'!W35</f>
        <v>34497.833253276403</v>
      </c>
      <c r="J40" s="1">
        <f>'BRF harvest'!V60</f>
        <v>189.81639105045576</v>
      </c>
      <c r="K40" s="1">
        <f>'BRF harvest'!W60</f>
        <v>1809.6001073777379</v>
      </c>
      <c r="L40" s="2">
        <f t="shared" si="0"/>
        <v>11114.286843454429</v>
      </c>
      <c r="M40" s="1">
        <f t="shared" si="1"/>
        <v>965555.69465457008</v>
      </c>
      <c r="N40">
        <f t="shared" si="2"/>
        <v>982.62693564473898</v>
      </c>
      <c r="O40" s="14">
        <f t="shared" si="3"/>
        <v>8.8411154893257099E-2</v>
      </c>
      <c r="P40" s="14"/>
      <c r="Q40" s="101"/>
      <c r="R40">
        <v>2005</v>
      </c>
      <c r="S40" s="1">
        <f t="shared" si="4"/>
        <v>1410.2992683885925</v>
      </c>
      <c r="T40" s="102">
        <f t="shared" si="5"/>
        <v>0.12367243284287477</v>
      </c>
      <c r="U40" s="1">
        <f t="shared" si="6"/>
        <v>1152.806035567588</v>
      </c>
      <c r="V40" s="102">
        <f t="shared" si="7"/>
        <v>0.1159391738602997</v>
      </c>
      <c r="W40" s="1">
        <f t="shared" si="8"/>
        <v>7004.4440019072426</v>
      </c>
      <c r="X40" s="102">
        <f t="shared" si="9"/>
        <v>0.13400017900336664</v>
      </c>
      <c r="Y40" s="1">
        <f t="shared" si="10"/>
        <v>1356.9211465405499</v>
      </c>
      <c r="Z40" s="102">
        <f t="shared" si="11"/>
        <v>0.1368804104099226</v>
      </c>
      <c r="AA40" s="1">
        <f t="shared" si="12"/>
        <v>189.81639105045576</v>
      </c>
      <c r="AB40" s="102">
        <f t="shared" si="13"/>
        <v>0.22410812119199669</v>
      </c>
      <c r="AC40" s="2">
        <f t="shared" si="14"/>
        <v>11114.286843454429</v>
      </c>
      <c r="AD40" s="102">
        <f t="shared" si="15"/>
        <v>8.8411154893257099E-2</v>
      </c>
      <c r="AF40" s="14"/>
    </row>
    <row r="41" spans="1:32" x14ac:dyDescent="0.3">
      <c r="A41">
        <v>2006</v>
      </c>
      <c r="B41" s="1">
        <f>'BRF harvest'!V11</f>
        <v>864.82725119314125</v>
      </c>
      <c r="C41" s="1">
        <f>'BRF harvest'!W11</f>
        <v>13162.010647267771</v>
      </c>
      <c r="D41" s="1">
        <f>'BRF harvest'!V111</f>
        <v>1444.6238351492921</v>
      </c>
      <c r="E41" s="1">
        <f>'BRF harvest'!W111</f>
        <v>25751.463700160199</v>
      </c>
      <c r="F41" s="1">
        <f>'BRF harvest'!V161</f>
        <v>5342.857301024058</v>
      </c>
      <c r="G41" s="1">
        <f>'BRF harvest'!W161</f>
        <v>539989.49622674391</v>
      </c>
      <c r="H41" s="1">
        <f>'BRF harvest'!V36</f>
        <v>673.6989889709655</v>
      </c>
      <c r="I41" s="1">
        <f>'BRF harvest'!W36</f>
        <v>11208.437600728716</v>
      </c>
      <c r="J41" s="1">
        <f>'BRF harvest'!V61</f>
        <v>250.92729066128953</v>
      </c>
      <c r="K41" s="1">
        <f>'BRF harvest'!W61</f>
        <v>1962.8470131051952</v>
      </c>
      <c r="L41" s="2">
        <f t="shared" si="0"/>
        <v>8576.9346669987463</v>
      </c>
      <c r="M41" s="1">
        <f t="shared" si="1"/>
        <v>592074.25518800574</v>
      </c>
      <c r="N41">
        <f t="shared" si="2"/>
        <v>769.46361524636484</v>
      </c>
      <c r="O41" s="14">
        <f t="shared" si="3"/>
        <v>8.9713125390474338E-2</v>
      </c>
      <c r="P41" s="14"/>
      <c r="Q41" s="101"/>
      <c r="R41">
        <v>2006</v>
      </c>
      <c r="S41" s="1">
        <f t="shared" si="4"/>
        <v>864.82725119314125</v>
      </c>
      <c r="T41" s="102">
        <f t="shared" si="5"/>
        <v>0.13265748299653204</v>
      </c>
      <c r="U41" s="1">
        <f t="shared" si="6"/>
        <v>1444.6238351492921</v>
      </c>
      <c r="V41" s="102">
        <f t="shared" si="7"/>
        <v>0.11108263764625471</v>
      </c>
      <c r="W41" s="1">
        <f t="shared" si="8"/>
        <v>5342.857301024058</v>
      </c>
      <c r="X41" s="102">
        <f t="shared" si="9"/>
        <v>0.13753685237801397</v>
      </c>
      <c r="Y41" s="1">
        <f t="shared" si="10"/>
        <v>673.6989889709655</v>
      </c>
      <c r="Z41" s="102">
        <f t="shared" si="11"/>
        <v>0.15714719865557347</v>
      </c>
      <c r="AA41" s="1">
        <f t="shared" si="12"/>
        <v>250.92729066128953</v>
      </c>
      <c r="AB41" s="102">
        <f t="shared" si="13"/>
        <v>0.17656122294743401</v>
      </c>
      <c r="AC41" s="2">
        <f t="shared" si="14"/>
        <v>8576.9346669987463</v>
      </c>
      <c r="AD41" s="102">
        <f t="shared" si="15"/>
        <v>8.9713125390474338E-2</v>
      </c>
      <c r="AF41" s="14"/>
    </row>
    <row r="42" spans="1:32" x14ac:dyDescent="0.3">
      <c r="A42">
        <v>2007</v>
      </c>
      <c r="B42" s="1">
        <f>'BRF harvest'!V12</f>
        <v>1961.5839813375032</v>
      </c>
      <c r="C42" s="1">
        <f>'BRF harvest'!W12</f>
        <v>127852.01063718757</v>
      </c>
      <c r="D42" s="1">
        <f>'BRF harvest'!V112</f>
        <v>3548.2712909685397</v>
      </c>
      <c r="E42" s="1">
        <f>'BRF harvest'!W112</f>
        <v>166774.88781072045</v>
      </c>
      <c r="F42" s="1">
        <f>'BRF harvest'!V162</f>
        <v>6422.504868608883</v>
      </c>
      <c r="G42" s="1">
        <f>'BRF harvest'!W162</f>
        <v>1302737.2821390245</v>
      </c>
      <c r="H42" s="1">
        <f>'BRF harvest'!V37</f>
        <v>1235.5104762306612</v>
      </c>
      <c r="I42" s="1">
        <f>'BRF harvest'!W37</f>
        <v>72781.945770354578</v>
      </c>
      <c r="J42" s="1">
        <f>'BRF harvest'!V62</f>
        <v>1214.2443592476957</v>
      </c>
      <c r="K42" s="1">
        <f>'BRF harvest'!W62</f>
        <v>36004.313166860542</v>
      </c>
      <c r="L42" s="2">
        <f t="shared" si="0"/>
        <v>14382.114976393281</v>
      </c>
      <c r="M42" s="1">
        <f t="shared" si="1"/>
        <v>1706150.4395241474</v>
      </c>
      <c r="N42">
        <f t="shared" si="2"/>
        <v>1306.1969374960836</v>
      </c>
      <c r="O42" s="14">
        <f t="shared" si="3"/>
        <v>9.0820921654434519E-2</v>
      </c>
      <c r="P42" s="14"/>
      <c r="Q42" s="101"/>
      <c r="R42">
        <v>2007</v>
      </c>
      <c r="S42" s="1">
        <f t="shared" si="4"/>
        <v>1961.5839813375032</v>
      </c>
      <c r="T42" s="102">
        <f t="shared" si="5"/>
        <v>0.18228329684847927</v>
      </c>
      <c r="U42" s="1">
        <f t="shared" si="6"/>
        <v>3548.2712909685397</v>
      </c>
      <c r="V42" s="102">
        <f t="shared" si="7"/>
        <v>0.11509289418920099</v>
      </c>
      <c r="W42" s="1">
        <f t="shared" si="8"/>
        <v>6422.504868608883</v>
      </c>
      <c r="X42" s="102">
        <f t="shared" si="9"/>
        <v>0.17771495621411992</v>
      </c>
      <c r="Y42" s="1">
        <f t="shared" si="10"/>
        <v>1235.5104762306612</v>
      </c>
      <c r="Z42" s="102">
        <f t="shared" si="11"/>
        <v>0.21835613510917073</v>
      </c>
      <c r="AA42" s="1">
        <f t="shared" si="12"/>
        <v>1214.2443592476957</v>
      </c>
      <c r="AB42" s="102">
        <f t="shared" si="13"/>
        <v>0.15626840183956972</v>
      </c>
      <c r="AC42" s="2">
        <f t="shared" si="14"/>
        <v>14382.114976393281</v>
      </c>
      <c r="AD42" s="102">
        <f t="shared" si="15"/>
        <v>9.0820921654434519E-2</v>
      </c>
      <c r="AF42" s="14"/>
    </row>
    <row r="43" spans="1:32" x14ac:dyDescent="0.3">
      <c r="A43">
        <v>2008</v>
      </c>
      <c r="B43" s="1">
        <f>'BRF harvest'!V13</f>
        <v>2215.6726544599155</v>
      </c>
      <c r="C43" s="1">
        <f>'BRF harvest'!W13</f>
        <v>84950.039691323123</v>
      </c>
      <c r="D43" s="1">
        <f>'BRF harvest'!V113</f>
        <v>2197.93303989177</v>
      </c>
      <c r="E43" s="1">
        <f>'BRF harvest'!W113</f>
        <v>48672.968946472822</v>
      </c>
      <c r="F43" s="1">
        <f>'BRF harvest'!V163</f>
        <v>8218.9940485571151</v>
      </c>
      <c r="G43" s="1">
        <f>'BRF harvest'!W163</f>
        <v>1226047.5687141232</v>
      </c>
      <c r="H43" s="1">
        <f>'BRF harvest'!V38</f>
        <v>983.26253227554935</v>
      </c>
      <c r="I43" s="1">
        <f>'BRF harvest'!W38</f>
        <v>22771.388427555485</v>
      </c>
      <c r="J43" s="1">
        <f>'BRF harvest'!V63</f>
        <v>1211.7450630686949</v>
      </c>
      <c r="K43" s="1">
        <f>'BRF harvest'!W63</f>
        <v>22775.073014812144</v>
      </c>
      <c r="L43" s="2">
        <f t="shared" si="0"/>
        <v>14827.607338253045</v>
      </c>
      <c r="M43" s="1">
        <f t="shared" si="1"/>
        <v>1405217.0387942868</v>
      </c>
      <c r="N43">
        <f t="shared" si="2"/>
        <v>1185.4185078672792</v>
      </c>
      <c r="O43" s="14">
        <f t="shared" si="3"/>
        <v>7.9946715665249232E-2</v>
      </c>
      <c r="P43" s="14"/>
      <c r="Q43" s="101"/>
      <c r="R43">
        <v>2008</v>
      </c>
      <c r="S43" s="1">
        <f t="shared" si="4"/>
        <v>2215.6726544599155</v>
      </c>
      <c r="T43" s="102">
        <f t="shared" si="5"/>
        <v>0.13154556036930384</v>
      </c>
      <c r="U43" s="1">
        <f t="shared" si="6"/>
        <v>2197.93303989177</v>
      </c>
      <c r="V43" s="102">
        <f t="shared" si="7"/>
        <v>0.10037590213362868</v>
      </c>
      <c r="W43" s="1">
        <f t="shared" si="8"/>
        <v>8218.9940485571151</v>
      </c>
      <c r="X43" s="102">
        <f t="shared" si="9"/>
        <v>0.13472090583008928</v>
      </c>
      <c r="Y43" s="1">
        <f t="shared" si="10"/>
        <v>983.26253227554935</v>
      </c>
      <c r="Z43" s="102">
        <f t="shared" si="11"/>
        <v>0.15347062623335866</v>
      </c>
      <c r="AA43" s="1">
        <f t="shared" si="12"/>
        <v>1211.7450630686949</v>
      </c>
      <c r="AB43" s="102">
        <f t="shared" si="13"/>
        <v>0.12454280131693121</v>
      </c>
      <c r="AC43" s="2">
        <f t="shared" si="14"/>
        <v>14827.607338253045</v>
      </c>
      <c r="AD43" s="102">
        <f t="shared" si="15"/>
        <v>7.9946715665249232E-2</v>
      </c>
      <c r="AF43" s="14"/>
    </row>
    <row r="44" spans="1:32" x14ac:dyDescent="0.3">
      <c r="A44">
        <v>2009</v>
      </c>
      <c r="B44" s="1">
        <f>'BRF harvest'!V14</f>
        <v>2933.7154069116409</v>
      </c>
      <c r="C44" s="1">
        <f>'BRF harvest'!W14</f>
        <v>133955.00491838242</v>
      </c>
      <c r="D44" s="1">
        <f>'BRF harvest'!V114</f>
        <v>2423.9460244987995</v>
      </c>
      <c r="E44" s="1">
        <f>'BRF harvest'!W114</f>
        <v>23829.276302483348</v>
      </c>
      <c r="F44" s="1">
        <f>'BRF harvest'!V164</f>
        <v>7252.3259521909167</v>
      </c>
      <c r="G44" s="1">
        <f>'BRF harvest'!W164</f>
        <v>948583.37425932125</v>
      </c>
      <c r="H44" s="1">
        <f>'BRF harvest'!V39</f>
        <v>1414.6978625666927</v>
      </c>
      <c r="I44" s="1">
        <f>'BRF harvest'!W39</f>
        <v>40931.299770624166</v>
      </c>
      <c r="J44" s="1">
        <f>'BRF harvest'!V64</f>
        <v>853.801636788471</v>
      </c>
      <c r="K44" s="1">
        <f>'BRF harvest'!W64</f>
        <v>6753.7336026017092</v>
      </c>
      <c r="L44" s="2">
        <f t="shared" si="0"/>
        <v>14878.48688295652</v>
      </c>
      <c r="M44" s="1">
        <f t="shared" si="1"/>
        <v>1154052.6888534129</v>
      </c>
      <c r="N44">
        <f t="shared" si="2"/>
        <v>1074.2684435714441</v>
      </c>
      <c r="O44" s="14">
        <f t="shared" si="3"/>
        <v>7.2202802074049013E-2</v>
      </c>
      <c r="P44" s="14"/>
      <c r="Q44" s="101"/>
      <c r="R44">
        <v>2009</v>
      </c>
      <c r="S44" s="1">
        <f t="shared" si="4"/>
        <v>2933.7154069116409</v>
      </c>
      <c r="T44" s="102">
        <f t="shared" si="5"/>
        <v>0.12475601407487917</v>
      </c>
      <c r="U44" s="1">
        <f t="shared" si="6"/>
        <v>2423.9460244987995</v>
      </c>
      <c r="V44" s="102">
        <f t="shared" si="7"/>
        <v>6.3684314966225092E-2</v>
      </c>
      <c r="W44" s="1">
        <f t="shared" si="8"/>
        <v>7252.3259521909167</v>
      </c>
      <c r="X44" s="102">
        <f t="shared" si="9"/>
        <v>0.13429518420871364</v>
      </c>
      <c r="Y44" s="1">
        <f t="shared" si="10"/>
        <v>1414.6978625666927</v>
      </c>
      <c r="Z44" s="102">
        <f t="shared" si="11"/>
        <v>0.14300923074678351</v>
      </c>
      <c r="AA44" s="1">
        <f t="shared" si="12"/>
        <v>853.801636788471</v>
      </c>
      <c r="AB44" s="102">
        <f t="shared" si="13"/>
        <v>9.625315638369257E-2</v>
      </c>
      <c r="AC44" s="2">
        <f t="shared" si="14"/>
        <v>14878.48688295652</v>
      </c>
      <c r="AD44" s="102">
        <f t="shared" si="15"/>
        <v>7.2202802074049013E-2</v>
      </c>
      <c r="AF44" s="14"/>
    </row>
    <row r="45" spans="1:32" x14ac:dyDescent="0.3">
      <c r="A45">
        <v>2010</v>
      </c>
      <c r="B45" s="1">
        <f>'BRF harvest'!V15</f>
        <v>1674.0195892837091</v>
      </c>
      <c r="C45" s="1">
        <f>'BRF harvest'!W15</f>
        <v>132766.32145580486</v>
      </c>
      <c r="D45" s="1">
        <f>'BRF harvest'!V115</f>
        <v>1830.6447757075803</v>
      </c>
      <c r="E45" s="1">
        <f>'BRF harvest'!W115</f>
        <v>60367.80289664158</v>
      </c>
      <c r="F45" s="1">
        <f>'BRF harvest'!V165</f>
        <v>8333.6162949861937</v>
      </c>
      <c r="G45" s="1">
        <f>'BRF harvest'!W165</f>
        <v>2583900.752420316</v>
      </c>
      <c r="H45" s="1">
        <f>'BRF harvest'!V40</f>
        <v>697.68621552431614</v>
      </c>
      <c r="I45" s="1">
        <f>'BRF harvest'!W40</f>
        <v>30647.770645367771</v>
      </c>
      <c r="J45" s="1">
        <f>'BRF harvest'!V65</f>
        <v>518.26421078013175</v>
      </c>
      <c r="K45" s="1">
        <f>'BRF harvest'!W65</f>
        <v>8074.6504148400636</v>
      </c>
      <c r="L45" s="2">
        <f t="shared" si="0"/>
        <v>13054.23108628193</v>
      </c>
      <c r="M45" s="1">
        <f t="shared" si="1"/>
        <v>2815757.2978329705</v>
      </c>
      <c r="N45">
        <f t="shared" si="2"/>
        <v>1678.0218406900938</v>
      </c>
      <c r="O45" s="14">
        <f t="shared" si="3"/>
        <v>0.12854237293634604</v>
      </c>
      <c r="P45" s="14"/>
      <c r="Q45" s="101"/>
      <c r="R45">
        <v>2010</v>
      </c>
      <c r="S45" s="1">
        <f t="shared" si="4"/>
        <v>1674.0195892837091</v>
      </c>
      <c r="T45" s="102">
        <f t="shared" si="5"/>
        <v>0.21766240599109155</v>
      </c>
      <c r="U45" s="1">
        <f t="shared" si="6"/>
        <v>1830.6447757075803</v>
      </c>
      <c r="V45" s="102">
        <f t="shared" si="7"/>
        <v>0.1342142424350575</v>
      </c>
      <c r="W45" s="1">
        <f t="shared" si="8"/>
        <v>8333.6162949861937</v>
      </c>
      <c r="X45" s="102">
        <f t="shared" si="9"/>
        <v>0.19288764638260714</v>
      </c>
      <c r="Y45" s="1">
        <f t="shared" si="10"/>
        <v>697.68621552431614</v>
      </c>
      <c r="Z45" s="102">
        <f t="shared" si="11"/>
        <v>0.25092232439528472</v>
      </c>
      <c r="AA45" s="1">
        <f t="shared" si="12"/>
        <v>518.26421078013175</v>
      </c>
      <c r="AB45" s="102">
        <f t="shared" si="13"/>
        <v>0.17338464965172684</v>
      </c>
      <c r="AC45" s="2">
        <f t="shared" si="14"/>
        <v>13054.23108628193</v>
      </c>
      <c r="AD45" s="102">
        <f t="shared" si="15"/>
        <v>0.12854237293634604</v>
      </c>
      <c r="AF45" s="14"/>
    </row>
    <row r="46" spans="1:32" x14ac:dyDescent="0.3">
      <c r="A46">
        <v>2011</v>
      </c>
      <c r="B46" s="1">
        <f>'BRF harvest'!V16</f>
        <v>2824.379965044564</v>
      </c>
      <c r="C46" s="1">
        <f>'BRF harvest'!W16</f>
        <v>111595.89567952928</v>
      </c>
      <c r="D46" s="1">
        <f>'BRF harvest'!V116</f>
        <v>1783.061243623943</v>
      </c>
      <c r="E46" s="1">
        <f>'BRF harvest'!W116</f>
        <v>10227.998636824545</v>
      </c>
      <c r="F46" s="1">
        <f>'BRF harvest'!V166</f>
        <v>10011.024497849619</v>
      </c>
      <c r="G46" s="1">
        <f>'BRF harvest'!W166</f>
        <v>1243436.4014860417</v>
      </c>
      <c r="H46" s="1">
        <f>'BRF harvest'!V41</f>
        <v>1193.9086573069919</v>
      </c>
      <c r="I46" s="1">
        <f>'BRF harvest'!W41</f>
        <v>28084.781421245894</v>
      </c>
      <c r="J46" s="1">
        <f>'BRF harvest'!V66</f>
        <v>636.51641897520381</v>
      </c>
      <c r="K46" s="1">
        <f>'BRF harvest'!W66</f>
        <v>7701.0107639066828</v>
      </c>
      <c r="L46" s="2">
        <f t="shared" si="0"/>
        <v>16448.890782800321</v>
      </c>
      <c r="M46" s="1">
        <f t="shared" si="1"/>
        <v>1401046.0879875482</v>
      </c>
      <c r="N46">
        <f t="shared" si="2"/>
        <v>1183.6579269314036</v>
      </c>
      <c r="O46" s="14">
        <f t="shared" si="3"/>
        <v>7.1959741392962989E-2</v>
      </c>
      <c r="P46" s="14"/>
      <c r="Q46" s="101"/>
      <c r="R46">
        <v>2011</v>
      </c>
      <c r="S46" s="1">
        <f t="shared" si="4"/>
        <v>2824.379965044564</v>
      </c>
      <c r="T46" s="102">
        <f t="shared" si="5"/>
        <v>0.118277187512576</v>
      </c>
      <c r="U46" s="1">
        <f t="shared" si="6"/>
        <v>1783.061243623943</v>
      </c>
      <c r="V46" s="102">
        <f t="shared" si="7"/>
        <v>5.6719065966089395E-2</v>
      </c>
      <c r="W46" s="1">
        <f t="shared" si="8"/>
        <v>10011.024497849619</v>
      </c>
      <c r="X46" s="102">
        <f t="shared" si="9"/>
        <v>0.11138668126149964</v>
      </c>
      <c r="Y46" s="1">
        <f t="shared" si="10"/>
        <v>1193.9086573069919</v>
      </c>
      <c r="Z46" s="102">
        <f t="shared" si="11"/>
        <v>0.14036680758972353</v>
      </c>
      <c r="AA46" s="1">
        <f t="shared" si="12"/>
        <v>636.51641897520381</v>
      </c>
      <c r="AB46" s="102">
        <f t="shared" si="13"/>
        <v>0.13786824727646296</v>
      </c>
      <c r="AC46" s="2">
        <f t="shared" si="14"/>
        <v>16448.890782800321</v>
      </c>
      <c r="AD46" s="102">
        <f t="shared" si="15"/>
        <v>7.1959741392962989E-2</v>
      </c>
      <c r="AF46" s="14"/>
    </row>
    <row r="47" spans="1:32" x14ac:dyDescent="0.3">
      <c r="A47">
        <v>2012</v>
      </c>
      <c r="B47" s="1">
        <f>'BRF harvest'!V17</f>
        <v>2686.2781107934079</v>
      </c>
      <c r="C47" s="1">
        <f>'BRF harvest'!W17</f>
        <v>154872.20282261365</v>
      </c>
      <c r="D47" s="1">
        <f>'BRF harvest'!V117</f>
        <v>3230.7519712596668</v>
      </c>
      <c r="E47" s="1">
        <f>'BRF harvest'!W117</f>
        <v>42173.28385525255</v>
      </c>
      <c r="F47" s="1">
        <f>'BRF harvest'!V167</f>
        <v>8405.2176992501281</v>
      </c>
      <c r="G47" s="1">
        <f>'BRF harvest'!W167</f>
        <v>1207170.4233116016</v>
      </c>
      <c r="H47" s="1">
        <f>'BRF harvest'!V42</f>
        <v>1836.4472785420294</v>
      </c>
      <c r="I47" s="1">
        <f>'BRF harvest'!W42</f>
        <v>233482.02219146374</v>
      </c>
      <c r="J47" s="1">
        <f>'BRF harvest'!V67</f>
        <v>975.58371010500002</v>
      </c>
      <c r="K47" s="1">
        <f>'BRF harvest'!W67</f>
        <v>64720.982770810951</v>
      </c>
      <c r="L47" s="2">
        <f t="shared" si="0"/>
        <v>17134.27876995023</v>
      </c>
      <c r="M47" s="1">
        <f t="shared" si="1"/>
        <v>1702418.9149517426</v>
      </c>
      <c r="N47">
        <f t="shared" si="2"/>
        <v>1304.7677628420097</v>
      </c>
      <c r="O47" s="14">
        <f t="shared" si="3"/>
        <v>7.6149558458818031E-2</v>
      </c>
      <c r="P47" s="14"/>
      <c r="Q47" s="101"/>
      <c r="R47">
        <v>2012</v>
      </c>
      <c r="S47" s="1">
        <f t="shared" si="4"/>
        <v>2686.2781107934079</v>
      </c>
      <c r="T47" s="102">
        <f t="shared" si="5"/>
        <v>0.14649937252343556</v>
      </c>
      <c r="U47" s="1">
        <f t="shared" si="6"/>
        <v>3230.7519712596668</v>
      </c>
      <c r="V47" s="102">
        <f t="shared" si="7"/>
        <v>6.3564566792718047E-2</v>
      </c>
      <c r="W47" s="1">
        <f t="shared" si="8"/>
        <v>8405.2176992501281</v>
      </c>
      <c r="X47" s="102">
        <f t="shared" si="9"/>
        <v>0.13071797962709603</v>
      </c>
      <c r="Y47" s="1">
        <f t="shared" si="10"/>
        <v>1836.4472785420294</v>
      </c>
      <c r="Z47" s="102">
        <f t="shared" si="11"/>
        <v>0.26311660577711443</v>
      </c>
      <c r="AA47" s="1">
        <f t="shared" si="12"/>
        <v>975.58371010500002</v>
      </c>
      <c r="AB47" s="102">
        <f t="shared" si="13"/>
        <v>0.26077023094273172</v>
      </c>
      <c r="AC47" s="2">
        <f t="shared" si="14"/>
        <v>17134.27876995023</v>
      </c>
      <c r="AD47" s="102">
        <f t="shared" si="15"/>
        <v>7.6149558458818031E-2</v>
      </c>
      <c r="AF47" s="14"/>
    </row>
    <row r="48" spans="1:32" x14ac:dyDescent="0.3">
      <c r="A48">
        <v>2013</v>
      </c>
      <c r="B48" s="1">
        <f>'BRF harvest'!V18</f>
        <v>1576.1179956627866</v>
      </c>
      <c r="C48" s="1">
        <f>'BRF harvest'!W18</f>
        <v>59468.56882114047</v>
      </c>
      <c r="D48" s="1">
        <f>'BRF harvest'!V118</f>
        <v>2196.1816172655258</v>
      </c>
      <c r="E48" s="1">
        <f>'BRF harvest'!W118</f>
        <v>54114.102118527953</v>
      </c>
      <c r="F48" s="1">
        <f>'BRF harvest'!V168</f>
        <v>10803.122295048772</v>
      </c>
      <c r="G48" s="1">
        <f>'BRF harvest'!W168</f>
        <v>2285244.2343207682</v>
      </c>
      <c r="H48" s="1">
        <f>'BRF harvest'!V43</f>
        <v>1146.5471884139997</v>
      </c>
      <c r="I48" s="1">
        <f>'BRF harvest'!W43</f>
        <v>32826.866366924696</v>
      </c>
      <c r="J48" s="1">
        <f>'BRF harvest'!V68</f>
        <v>958.2169747559999</v>
      </c>
      <c r="K48" s="1">
        <f>'BRF harvest'!W68</f>
        <v>10600.667251678924</v>
      </c>
      <c r="L48" s="2">
        <f t="shared" si="0"/>
        <v>16680.186071147084</v>
      </c>
      <c r="M48" s="1">
        <f t="shared" si="1"/>
        <v>2442254.4388790405</v>
      </c>
      <c r="N48">
        <f t="shared" si="2"/>
        <v>1562.7713968712892</v>
      </c>
      <c r="O48" s="14">
        <f t="shared" si="3"/>
        <v>9.3690285600262407E-2</v>
      </c>
      <c r="P48" s="14"/>
      <c r="Q48" s="101"/>
      <c r="R48">
        <v>2013</v>
      </c>
      <c r="S48" s="1">
        <f t="shared" si="4"/>
        <v>1576.1179956627866</v>
      </c>
      <c r="T48" s="102">
        <f t="shared" si="5"/>
        <v>0.1547230492120498</v>
      </c>
      <c r="U48" s="1">
        <f t="shared" si="6"/>
        <v>2196.1816172655258</v>
      </c>
      <c r="V48" s="102">
        <f t="shared" si="7"/>
        <v>0.10592219607874775</v>
      </c>
      <c r="W48" s="1">
        <f t="shared" si="8"/>
        <v>10803.122295048772</v>
      </c>
      <c r="X48" s="102">
        <f t="shared" si="9"/>
        <v>0.13993199261016998</v>
      </c>
      <c r="Y48" s="1">
        <f t="shared" si="10"/>
        <v>1146.5471884139997</v>
      </c>
      <c r="Z48" s="102">
        <f t="shared" si="11"/>
        <v>0.15802390146584594</v>
      </c>
      <c r="AA48" s="1">
        <f t="shared" si="12"/>
        <v>958.2169747559999</v>
      </c>
      <c r="AB48" s="102">
        <f t="shared" si="13"/>
        <v>0.10744908985327223</v>
      </c>
      <c r="AC48" s="2">
        <f t="shared" si="14"/>
        <v>16680.186071147084</v>
      </c>
      <c r="AD48" s="102">
        <f t="shared" si="15"/>
        <v>9.3690285600262407E-2</v>
      </c>
      <c r="AF48" s="14"/>
    </row>
    <row r="49" spans="1:32" x14ac:dyDescent="0.3">
      <c r="A49">
        <v>2014</v>
      </c>
      <c r="B49" s="1">
        <f>'BRF harvest'!V19</f>
        <v>2804.100842514702</v>
      </c>
      <c r="C49" s="1">
        <f>'BRF harvest'!W19</f>
        <v>167639.15447331418</v>
      </c>
      <c r="D49" s="1">
        <f>'BRF harvest'!V119</f>
        <v>3384.8400360634764</v>
      </c>
      <c r="E49" s="1">
        <f>'BRF harvest'!W119</f>
        <v>45714.885548120517</v>
      </c>
      <c r="F49" s="1">
        <f>'BRF harvest'!V169</f>
        <v>12651.288585790298</v>
      </c>
      <c r="G49" s="1">
        <f>'BRF harvest'!W169</f>
        <v>1083420.3583674401</v>
      </c>
      <c r="H49" s="1">
        <f>'BRF harvest'!V44</f>
        <v>2059.4071840108741</v>
      </c>
      <c r="I49" s="1">
        <f>'BRF harvest'!W44</f>
        <v>150795.73650444689</v>
      </c>
      <c r="J49" s="1">
        <f>'BRF harvest'!V69</f>
        <v>695.90076735227876</v>
      </c>
      <c r="K49" s="1">
        <f>'BRF harvest'!W69</f>
        <v>11934.090637145047</v>
      </c>
      <c r="L49" s="2">
        <f t="shared" si="0"/>
        <v>21595.537415731629</v>
      </c>
      <c r="M49" s="1">
        <f t="shared" si="1"/>
        <v>1459504.225530467</v>
      </c>
      <c r="N49">
        <f t="shared" si="2"/>
        <v>1208.0994270052722</v>
      </c>
      <c r="O49" s="14">
        <f t="shared" si="3"/>
        <v>5.5942086725992386E-2</v>
      </c>
      <c r="P49" s="14"/>
      <c r="Q49" s="101"/>
      <c r="R49">
        <v>2014</v>
      </c>
      <c r="S49" s="1">
        <f t="shared" si="4"/>
        <v>2804.100842514702</v>
      </c>
      <c r="T49" s="102">
        <f t="shared" si="5"/>
        <v>0.14601386702598459</v>
      </c>
      <c r="U49" s="1">
        <f t="shared" si="6"/>
        <v>3384.8400360634764</v>
      </c>
      <c r="V49" s="102">
        <f t="shared" si="7"/>
        <v>6.3167060771041186E-2</v>
      </c>
      <c r="W49" s="1">
        <f t="shared" si="8"/>
        <v>12651.288585790298</v>
      </c>
      <c r="X49" s="102">
        <f t="shared" si="9"/>
        <v>8.2274212410012079E-2</v>
      </c>
      <c r="Y49" s="1">
        <f t="shared" si="10"/>
        <v>2059.4071840108741</v>
      </c>
      <c r="Z49" s="102">
        <f t="shared" si="11"/>
        <v>0.18856118897965771</v>
      </c>
      <c r="AA49" s="1">
        <f t="shared" si="12"/>
        <v>695.90076735227876</v>
      </c>
      <c r="AB49" s="102">
        <f t="shared" si="13"/>
        <v>0.1569810937175958</v>
      </c>
      <c r="AC49" s="2">
        <f t="shared" si="14"/>
        <v>21595.537415731629</v>
      </c>
      <c r="AD49" s="102">
        <f t="shared" si="15"/>
        <v>5.5942086725992386E-2</v>
      </c>
      <c r="AF49" s="14"/>
    </row>
    <row r="50" spans="1:32" x14ac:dyDescent="0.3">
      <c r="A50">
        <v>2015</v>
      </c>
      <c r="B50" s="1">
        <f>'BRF harvest'!V20</f>
        <v>3569.4906353961287</v>
      </c>
      <c r="C50" s="1">
        <f>'BRF harvest'!W20</f>
        <v>600019.33222450234</v>
      </c>
      <c r="D50" s="1">
        <f>'BRF harvest'!V120</f>
        <v>3164.9577271984163</v>
      </c>
      <c r="E50" s="1">
        <f>'BRF harvest'!W120</f>
        <v>212460.66643475016</v>
      </c>
      <c r="F50" s="1">
        <f>'BRF harvest'!V170</f>
        <v>16131.688651385251</v>
      </c>
      <c r="G50" s="1">
        <f>'BRF harvest'!W170</f>
        <v>5763722.3172101164</v>
      </c>
      <c r="H50" s="1">
        <f>'BRF harvest'!V45</f>
        <v>1839.5665531727768</v>
      </c>
      <c r="I50" s="1">
        <f>'BRF harvest'!W45</f>
        <v>364958.83306387981</v>
      </c>
      <c r="J50" s="1">
        <f>'BRF harvest'!V70</f>
        <v>721.58731597694577</v>
      </c>
      <c r="K50" s="1">
        <f>'BRF harvest'!W70</f>
        <v>34185.948835739451</v>
      </c>
      <c r="L50" s="2">
        <f t="shared" si="0"/>
        <v>25427.290883129521</v>
      </c>
      <c r="M50" s="1">
        <f t="shared" si="1"/>
        <v>6975347.0977689885</v>
      </c>
      <c r="N50">
        <f t="shared" si="2"/>
        <v>2641.0882411931998</v>
      </c>
      <c r="O50" s="14">
        <f t="shared" si="3"/>
        <v>0.1038682513733898</v>
      </c>
      <c r="P50" s="14"/>
      <c r="Q50" s="101"/>
      <c r="R50">
        <v>2015</v>
      </c>
      <c r="S50" s="1">
        <f t="shared" si="4"/>
        <v>3569.4906353961287</v>
      </c>
      <c r="T50" s="102">
        <f t="shared" si="5"/>
        <v>0.21700831495591252</v>
      </c>
      <c r="U50" s="1">
        <f t="shared" si="6"/>
        <v>3164.9577271984163</v>
      </c>
      <c r="V50" s="102">
        <f t="shared" si="7"/>
        <v>0.14563687650155657</v>
      </c>
      <c r="W50" s="1">
        <f t="shared" si="8"/>
        <v>16131.688651385251</v>
      </c>
      <c r="X50" s="102">
        <f t="shared" si="9"/>
        <v>0.14882356146269102</v>
      </c>
      <c r="Y50" s="1">
        <f t="shared" si="10"/>
        <v>1839.5665531727768</v>
      </c>
      <c r="Z50" s="102">
        <f t="shared" si="11"/>
        <v>0.32840248518235016</v>
      </c>
      <c r="AA50" s="1">
        <f t="shared" si="12"/>
        <v>721.58731597694577</v>
      </c>
      <c r="AB50" s="102">
        <f t="shared" si="13"/>
        <v>0.25623292163696076</v>
      </c>
      <c r="AC50" s="2">
        <f t="shared" si="14"/>
        <v>25427.290883129521</v>
      </c>
      <c r="AD50" s="102">
        <f t="shared" si="15"/>
        <v>0.1038682513733898</v>
      </c>
      <c r="AF50" s="14"/>
    </row>
    <row r="51" spans="1:32" x14ac:dyDescent="0.3">
      <c r="A51">
        <v>2016</v>
      </c>
      <c r="B51" s="1">
        <f>'BRF harvest'!V21</f>
        <v>2858.1331790138988</v>
      </c>
      <c r="C51" s="1">
        <f>'BRF harvest'!W21</f>
        <v>60338.072634566503</v>
      </c>
      <c r="D51" s="1">
        <f>'BRF harvest'!V121</f>
        <v>3414.7740069257229</v>
      </c>
      <c r="E51" s="1">
        <f>'BRF harvest'!W121</f>
        <v>79603.502179448275</v>
      </c>
      <c r="F51" s="1">
        <f>'BRF harvest'!V171</f>
        <v>18815.657376733012</v>
      </c>
      <c r="G51" s="1">
        <f>'BRF harvest'!W171</f>
        <v>15951885.050378855</v>
      </c>
      <c r="H51" s="1">
        <f>'BRF harvest'!V46</f>
        <v>1687.6795897647514</v>
      </c>
      <c r="I51" s="1">
        <f>'BRF harvest'!W46</f>
        <v>23127.97122191402</v>
      </c>
      <c r="J51" s="1">
        <f>'BRF harvest'!V71</f>
        <v>723.22298554881536</v>
      </c>
      <c r="K51" s="1">
        <f>'BRF harvest'!W71</f>
        <v>3924.721523825101</v>
      </c>
      <c r="L51" s="2">
        <f t="shared" si="0"/>
        <v>27499.467137986197</v>
      </c>
      <c r="M51" s="1">
        <f t="shared" si="1"/>
        <v>16118879.317938609</v>
      </c>
      <c r="N51">
        <f t="shared" si="2"/>
        <v>4014.8324146766836</v>
      </c>
      <c r="O51" s="14">
        <f>N51/L51</f>
        <v>0.14599673493784987</v>
      </c>
      <c r="P51" s="14"/>
      <c r="Q51" s="101"/>
      <c r="R51">
        <v>2016</v>
      </c>
      <c r="S51" s="1">
        <f t="shared" si="4"/>
        <v>2858.1331790138988</v>
      </c>
      <c r="T51" s="102">
        <f t="shared" si="5"/>
        <v>8.5943543360370758E-2</v>
      </c>
      <c r="U51" s="1">
        <f t="shared" si="6"/>
        <v>3414.7740069257229</v>
      </c>
      <c r="V51" s="102">
        <f t="shared" si="7"/>
        <v>8.2623601305911204E-2</v>
      </c>
      <c r="W51" s="1">
        <f t="shared" si="8"/>
        <v>18815.657376733012</v>
      </c>
      <c r="X51" s="102">
        <f t="shared" si="9"/>
        <v>0.21226901739005627</v>
      </c>
      <c r="Y51" s="1">
        <f t="shared" si="10"/>
        <v>1687.6795897647514</v>
      </c>
      <c r="Z51" s="102">
        <f t="shared" si="11"/>
        <v>9.011119953304958E-2</v>
      </c>
      <c r="AA51" s="1">
        <f t="shared" si="12"/>
        <v>723.22298554881536</v>
      </c>
      <c r="AB51" s="102">
        <f t="shared" si="13"/>
        <v>8.6622797064335386E-2</v>
      </c>
      <c r="AC51" s="2">
        <f t="shared" si="14"/>
        <v>27499.467137986197</v>
      </c>
      <c r="AD51" s="102">
        <f t="shared" si="15"/>
        <v>0.14599673493784987</v>
      </c>
      <c r="AF51" s="14"/>
    </row>
    <row r="52" spans="1:32" x14ac:dyDescent="0.3">
      <c r="A52">
        <v>2017</v>
      </c>
      <c r="B52" s="1">
        <f>'BRF harvest'!V22</f>
        <v>3011.9498269146825</v>
      </c>
      <c r="C52" s="1">
        <f>'BRF harvest'!W22</f>
        <v>63247.417118096804</v>
      </c>
      <c r="D52" s="1">
        <f>'BRF harvest'!V122</f>
        <v>4542.8411858699965</v>
      </c>
      <c r="E52" s="1">
        <f>'BRF harvest'!W122</f>
        <v>329368.74739970296</v>
      </c>
      <c r="F52" s="1">
        <f>'BRF harvest'!V172</f>
        <v>6714.9385112867531</v>
      </c>
      <c r="G52" s="1">
        <f>'BRF harvest'!W172</f>
        <v>576123.49879057938</v>
      </c>
      <c r="H52" s="1">
        <f>'BRF harvest'!V47</f>
        <v>2145.1285766160786</v>
      </c>
      <c r="I52" s="1">
        <f>'BRF harvest'!W47</f>
        <v>179173.38544612497</v>
      </c>
      <c r="J52" s="1">
        <f>'BRF harvest'!V72</f>
        <v>723.56015152764917</v>
      </c>
      <c r="K52" s="1">
        <f>'BRF harvest'!W72</f>
        <v>9406.2888442001495</v>
      </c>
      <c r="L52" s="2">
        <f t="shared" si="0"/>
        <v>17138.41825221516</v>
      </c>
      <c r="M52" s="1">
        <f t="shared" si="1"/>
        <v>1157319.337598704</v>
      </c>
      <c r="N52">
        <f t="shared" si="2"/>
        <v>1075.7877753528826</v>
      </c>
      <c r="O52" s="14">
        <f t="shared" si="3"/>
        <v>6.2770540403507533E-2</v>
      </c>
      <c r="P52" s="14"/>
      <c r="Q52" s="101"/>
      <c r="R52">
        <v>2017</v>
      </c>
      <c r="S52" s="1">
        <f t="shared" si="4"/>
        <v>3011.9498269146825</v>
      </c>
      <c r="T52" s="102">
        <f t="shared" si="5"/>
        <v>8.3497536862678454E-2</v>
      </c>
      <c r="U52" s="1">
        <f t="shared" si="6"/>
        <v>4542.8411858699965</v>
      </c>
      <c r="V52" s="102">
        <f t="shared" si="7"/>
        <v>0.1263320779451266</v>
      </c>
      <c r="W52" s="1">
        <f t="shared" si="8"/>
        <v>6714.9385112867531</v>
      </c>
      <c r="X52" s="102">
        <f t="shared" si="9"/>
        <v>0.11303573290747254</v>
      </c>
      <c r="Y52" s="1">
        <f t="shared" si="10"/>
        <v>2145.1285766160786</v>
      </c>
      <c r="Z52" s="102">
        <f t="shared" si="11"/>
        <v>0.19732559517892609</v>
      </c>
      <c r="AA52" s="1">
        <f t="shared" si="12"/>
        <v>723.56015152764917</v>
      </c>
      <c r="AB52" s="102">
        <f t="shared" si="13"/>
        <v>0.13404002937210416</v>
      </c>
      <c r="AC52" s="2">
        <f t="shared" si="14"/>
        <v>17138.41825221516</v>
      </c>
      <c r="AD52" s="102">
        <f t="shared" si="15"/>
        <v>6.2770540403507533E-2</v>
      </c>
      <c r="AF52" s="14"/>
    </row>
    <row r="53" spans="1:32" x14ac:dyDescent="0.3">
      <c r="A53">
        <v>2018</v>
      </c>
      <c r="B53" s="1">
        <f>'BRF harvest'!V23</f>
        <v>3958.1363902099833</v>
      </c>
      <c r="C53" s="1">
        <f>'BRF harvest'!W23</f>
        <v>317365.58056277724</v>
      </c>
      <c r="D53" s="1">
        <f>'BRF harvest'!V123</f>
        <v>3706.6052675224605</v>
      </c>
      <c r="E53" s="1">
        <f>'BRF harvest'!W123</f>
        <v>58883.233005533977</v>
      </c>
      <c r="F53" s="1">
        <f>'BRF harvest'!V173</f>
        <v>12726.394471159685</v>
      </c>
      <c r="G53" s="1">
        <f>'BRF harvest'!W173</f>
        <v>3598288.2745335167</v>
      </c>
      <c r="H53" s="1">
        <f>'BRF harvest'!V48</f>
        <v>2508.3648669308409</v>
      </c>
      <c r="I53" s="1">
        <f>'BRF harvest'!W48</f>
        <v>141043.73445882319</v>
      </c>
      <c r="J53" s="1">
        <f>'BRF harvest'!V73</f>
        <v>646.16417038081829</v>
      </c>
      <c r="K53" s="1">
        <f>'BRF harvest'!W73</f>
        <v>3481.6171172913564</v>
      </c>
      <c r="L53" s="2">
        <f t="shared" si="0"/>
        <v>23545.665166203788</v>
      </c>
      <c r="M53" s="1">
        <f t="shared" si="1"/>
        <v>4119062.4396779425</v>
      </c>
      <c r="N53">
        <f t="shared" si="2"/>
        <v>2029.547348469097</v>
      </c>
      <c r="O53" s="14">
        <f t="shared" si="3"/>
        <v>8.6196220584254413E-2</v>
      </c>
      <c r="P53" s="14"/>
      <c r="Q53" s="101"/>
      <c r="R53">
        <v>2018</v>
      </c>
      <c r="S53" s="1">
        <f t="shared" si="4"/>
        <v>3958.1363902099833</v>
      </c>
      <c r="T53" s="102">
        <f t="shared" si="5"/>
        <v>0.14232761010527828</v>
      </c>
      <c r="U53" s="1">
        <f t="shared" si="6"/>
        <v>3706.6052675224605</v>
      </c>
      <c r="V53" s="102">
        <f t="shared" si="7"/>
        <v>6.5466554547673514E-2</v>
      </c>
      <c r="W53" s="1">
        <f t="shared" si="8"/>
        <v>12726.394471159685</v>
      </c>
      <c r="X53" s="102">
        <f t="shared" si="9"/>
        <v>0.14905364339447441</v>
      </c>
      <c r="Y53" s="1">
        <f t="shared" si="10"/>
        <v>2508.3648669308409</v>
      </c>
      <c r="Z53" s="102">
        <f t="shared" si="11"/>
        <v>0.14972219654456601</v>
      </c>
      <c r="AA53" s="1">
        <f t="shared" si="12"/>
        <v>646.16417038081829</v>
      </c>
      <c r="AB53" s="102">
        <f t="shared" si="13"/>
        <v>9.1316158153758931E-2</v>
      </c>
      <c r="AC53" s="2">
        <f t="shared" si="14"/>
        <v>23545.665166203788</v>
      </c>
      <c r="AD53" s="102">
        <f t="shared" si="15"/>
        <v>8.6196220584254413E-2</v>
      </c>
      <c r="AF53" s="14"/>
    </row>
    <row r="54" spans="1:32" x14ac:dyDescent="0.3">
      <c r="A54">
        <v>2019</v>
      </c>
      <c r="B54" s="1">
        <f>'BRF harvest'!V24</f>
        <v>8059.9741420972177</v>
      </c>
      <c r="C54" s="1">
        <f>'BRF harvest'!W24</f>
        <v>2249443.9973702435</v>
      </c>
      <c r="D54" s="1">
        <f>'BRF harvest'!V124</f>
        <v>6681.8842145632589</v>
      </c>
      <c r="E54" s="1">
        <f>'BRF harvest'!W124</f>
        <v>1290878.6073039779</v>
      </c>
      <c r="F54" s="1">
        <f>'BRF harvest'!V174</f>
        <v>15601.284379532004</v>
      </c>
      <c r="G54" s="1">
        <f>'BRF harvest'!W174</f>
        <v>3265150.6851283396</v>
      </c>
      <c r="H54" s="1">
        <f>'BRF harvest'!V49</f>
        <v>8055.0274581551948</v>
      </c>
      <c r="I54" s="1">
        <f>'BRF harvest'!W49</f>
        <v>2362666.3147148592</v>
      </c>
      <c r="J54" s="1">
        <f>'BRF harvest'!V74</f>
        <v>735.4573980461912</v>
      </c>
      <c r="K54" s="1">
        <f>'BRF harvest'!W74</f>
        <v>20113.021052772627</v>
      </c>
      <c r="L54" s="2">
        <f t="shared" si="0"/>
        <v>39133.627592393867</v>
      </c>
      <c r="M54" s="1">
        <f t="shared" si="1"/>
        <v>9188252.6255701929</v>
      </c>
      <c r="N54">
        <f t="shared" si="2"/>
        <v>3031.2130617246607</v>
      </c>
      <c r="O54" s="14">
        <f t="shared" si="3"/>
        <v>7.7458013688304655E-2</v>
      </c>
      <c r="P54" s="14"/>
      <c r="Q54" s="101"/>
      <c r="R54">
        <v>2019</v>
      </c>
      <c r="S54" s="1">
        <f t="shared" si="4"/>
        <v>8059.9741420972177</v>
      </c>
      <c r="T54" s="102">
        <f t="shared" si="5"/>
        <v>0.18608181960603937</v>
      </c>
      <c r="U54" s="1">
        <f t="shared" si="6"/>
        <v>6681.8842145632589</v>
      </c>
      <c r="V54" s="102">
        <f t="shared" si="7"/>
        <v>0.17003712607676352</v>
      </c>
      <c r="W54" s="1">
        <f t="shared" si="8"/>
        <v>15601.284379532004</v>
      </c>
      <c r="X54" s="102">
        <f t="shared" si="9"/>
        <v>0.11582205361708654</v>
      </c>
      <c r="Y54" s="1">
        <f t="shared" si="10"/>
        <v>8055.0274581551948</v>
      </c>
      <c r="Z54" s="102">
        <f t="shared" si="11"/>
        <v>0.19082451600663161</v>
      </c>
      <c r="AA54" s="1">
        <f t="shared" si="12"/>
        <v>735.4573980461912</v>
      </c>
      <c r="AB54" s="102">
        <f t="shared" si="13"/>
        <v>0.19283290023596594</v>
      </c>
      <c r="AC54" s="2">
        <f t="shared" si="14"/>
        <v>39133.627592393867</v>
      </c>
      <c r="AD54" s="102">
        <f t="shared" si="15"/>
        <v>7.7458013688304655E-2</v>
      </c>
      <c r="AF54" s="14"/>
    </row>
    <row r="55" spans="1:32" x14ac:dyDescent="0.3">
      <c r="A55">
        <v>2020</v>
      </c>
      <c r="B55" s="1">
        <f>'BRF harvest'!V25</f>
        <v>4984.8258412868308</v>
      </c>
      <c r="C55" s="1">
        <f>'BRF harvest'!W25</f>
        <v>366796.63509655232</v>
      </c>
      <c r="D55" s="1">
        <f>'BRF harvest'!V125</f>
        <v>1559.0395550802314</v>
      </c>
      <c r="E55" s="1">
        <f>'BRF harvest'!W125</f>
        <v>16425.093578419721</v>
      </c>
      <c r="F55" s="1">
        <f>'BRF harvest'!V175</f>
        <v>7027.7422953413698</v>
      </c>
      <c r="G55" s="1">
        <f>'BRF harvest'!W175</f>
        <v>1484335.892501106</v>
      </c>
      <c r="H55" s="1">
        <f>'BRF harvest'!V50</f>
        <v>3119.9086592883014</v>
      </c>
      <c r="I55" s="1">
        <f>'BRF harvest'!W50</f>
        <v>108657.94649127325</v>
      </c>
      <c r="J55" s="1">
        <f>'BRF harvest'!V75</f>
        <v>281.54757508256534</v>
      </c>
      <c r="K55" s="1">
        <f>'BRF harvest'!W75</f>
        <v>611.11134318766983</v>
      </c>
      <c r="L55" s="2">
        <f t="shared" ref="L55:L56" si="16">J55+H55+F55+D55+B55</f>
        <v>16973.0639260793</v>
      </c>
      <c r="M55" s="1">
        <f t="shared" ref="M55:M56" si="17">SUM(E55,G55,I55,K55,C55)</f>
        <v>1976826.6790105391</v>
      </c>
      <c r="N55">
        <f t="shared" ref="N55:N56" si="18">SQRT(M55)</f>
        <v>1405.9966852772232</v>
      </c>
      <c r="O55" s="14">
        <f t="shared" ref="O55:O56" si="19">N55/L55</f>
        <v>8.2836940425169425E-2</v>
      </c>
      <c r="P55" s="14"/>
      <c r="Q55" s="101"/>
      <c r="R55">
        <v>2020</v>
      </c>
      <c r="S55" s="1">
        <f t="shared" si="4"/>
        <v>4984.8258412868308</v>
      </c>
      <c r="T55" s="102">
        <f t="shared" si="5"/>
        <v>0.12149619635534065</v>
      </c>
      <c r="U55" s="1">
        <f t="shared" si="6"/>
        <v>1559.0395550802314</v>
      </c>
      <c r="V55" s="102">
        <f t="shared" si="7"/>
        <v>8.2204727164112354E-2</v>
      </c>
      <c r="W55" s="1">
        <f t="shared" si="8"/>
        <v>7027.7422953413698</v>
      </c>
      <c r="X55" s="102">
        <f t="shared" si="9"/>
        <v>0.17336054630576372</v>
      </c>
      <c r="Y55" s="1">
        <f t="shared" si="10"/>
        <v>3119.9086592883014</v>
      </c>
      <c r="Z55" s="102">
        <f t="shared" si="11"/>
        <v>0.10565471115878784</v>
      </c>
      <c r="AA55" s="1">
        <f t="shared" si="12"/>
        <v>281.54757508256534</v>
      </c>
      <c r="AB55" s="102">
        <f t="shared" si="13"/>
        <v>8.7802803168813712E-2</v>
      </c>
      <c r="AC55" s="2">
        <f t="shared" si="14"/>
        <v>16973.0639260793</v>
      </c>
      <c r="AD55" s="102">
        <f t="shared" si="15"/>
        <v>8.2836940425169425E-2</v>
      </c>
      <c r="AF55" s="14"/>
    </row>
    <row r="56" spans="1:32" x14ac:dyDescent="0.3">
      <c r="A56">
        <v>2021</v>
      </c>
      <c r="B56" s="1">
        <f>'BRF harvest'!V26</f>
        <v>2748.7521419600089</v>
      </c>
      <c r="C56" s="1">
        <f>'BRF harvest'!W26</f>
        <v>372931.51094094216</v>
      </c>
      <c r="D56" s="1">
        <f>'BRF harvest'!V126</f>
        <v>2946.5335133529184</v>
      </c>
      <c r="E56" s="1">
        <f>'BRF harvest'!W126</f>
        <v>47767.283590535459</v>
      </c>
      <c r="F56" s="1">
        <f>'BRF harvest'!V176</f>
        <v>14272.336621144985</v>
      </c>
      <c r="G56" s="1">
        <f>'BRF harvest'!W176</f>
        <v>2191220.8778777509</v>
      </c>
      <c r="H56" s="1">
        <f>'BRF harvest'!V51</f>
        <v>2402.5867697780732</v>
      </c>
      <c r="I56" s="1">
        <f>'BRF harvest'!W51</f>
        <v>286783.66296283231</v>
      </c>
      <c r="J56" s="1">
        <f>'BRF harvest'!V76</f>
        <v>1572.856943436479</v>
      </c>
      <c r="K56" s="1">
        <f>'BRF harvest'!W76</f>
        <v>14385.031375507271</v>
      </c>
      <c r="L56" s="2">
        <f t="shared" si="16"/>
        <v>23943.065989672465</v>
      </c>
      <c r="M56" s="1">
        <f t="shared" si="17"/>
        <v>2913088.3667475684</v>
      </c>
      <c r="N56">
        <f t="shared" si="18"/>
        <v>1706.7771872003586</v>
      </c>
      <c r="O56" s="14">
        <f t="shared" si="19"/>
        <v>7.1284821582021082E-2</v>
      </c>
      <c r="P56" s="14"/>
      <c r="Q56" s="101"/>
      <c r="R56">
        <v>2021</v>
      </c>
      <c r="S56" s="1">
        <f t="shared" si="4"/>
        <v>2748.7521419600089</v>
      </c>
      <c r="T56" s="102">
        <f t="shared" si="5"/>
        <v>0.22216669763827271</v>
      </c>
      <c r="U56" s="1">
        <f t="shared" si="6"/>
        <v>2946.5335133529184</v>
      </c>
      <c r="V56" s="102">
        <f t="shared" si="7"/>
        <v>7.4174373583867373E-2</v>
      </c>
      <c r="W56" s="1">
        <f t="shared" si="8"/>
        <v>14272.336621144985</v>
      </c>
      <c r="X56" s="102">
        <f t="shared" si="9"/>
        <v>0.10371653478496082</v>
      </c>
      <c r="Y56" s="1">
        <f t="shared" si="10"/>
        <v>2402.5867697780732</v>
      </c>
      <c r="Z56" s="102">
        <f t="shared" si="11"/>
        <v>0.22289386886378712</v>
      </c>
      <c r="AA56" s="1">
        <f t="shared" si="12"/>
        <v>1572.856943436479</v>
      </c>
      <c r="AB56" s="102">
        <f t="shared" si="13"/>
        <v>7.6254623801182905E-2</v>
      </c>
      <c r="AC56" s="2">
        <f t="shared" si="14"/>
        <v>23943.065989672465</v>
      </c>
      <c r="AD56" s="102">
        <f t="shared" si="15"/>
        <v>7.1284821582021082E-2</v>
      </c>
      <c r="AF56" s="14"/>
    </row>
    <row r="57" spans="1:32" x14ac:dyDescent="0.3">
      <c r="A57">
        <v>2022</v>
      </c>
      <c r="B57" s="1">
        <f>'BRF harvest'!V27</f>
        <v>10864.593398176137</v>
      </c>
      <c r="C57" s="1">
        <f>'BRF harvest'!W27</f>
        <v>1871547.1842147857</v>
      </c>
      <c r="D57" s="1">
        <f>'BRF harvest'!V127</f>
        <v>2264.6474476427757</v>
      </c>
      <c r="E57" s="1">
        <f>'BRF harvest'!W127</f>
        <v>79377.444595663474</v>
      </c>
      <c r="F57" s="1">
        <f>'BRF harvest'!V177</f>
        <v>12698.794368982428</v>
      </c>
      <c r="G57" s="1">
        <f>'BRF harvest'!W177</f>
        <v>1023589.3053066677</v>
      </c>
      <c r="H57" s="1">
        <f>'BRF harvest'!V52</f>
        <v>13088.472135856235</v>
      </c>
      <c r="I57" s="1">
        <f>'BRF harvest'!W52</f>
        <v>3786949.5498753209</v>
      </c>
      <c r="J57" s="1">
        <f>'BRF harvest'!V77</f>
        <v>1525.139383405281</v>
      </c>
      <c r="K57" s="1">
        <f>'BRF harvest'!W77</f>
        <v>40658.33300008301</v>
      </c>
      <c r="L57" s="2">
        <f t="shared" ref="L57" si="20">J57+H57+F57+D57+B57</f>
        <v>40441.646734062859</v>
      </c>
      <c r="M57" s="1">
        <f t="shared" ref="M57" si="21">SUM(E57,G57,I57,K57,C57)</f>
        <v>6802121.8169925213</v>
      </c>
      <c r="N57">
        <f t="shared" ref="N57" si="22">SQRT(M57)</f>
        <v>2608.0877701857585</v>
      </c>
      <c r="O57" s="14">
        <f t="shared" ref="O57" si="23">N57/L57</f>
        <v>6.4490147677123133E-2</v>
      </c>
      <c r="P57" s="14"/>
      <c r="Q57" s="101"/>
      <c r="R57">
        <v>2022</v>
      </c>
      <c r="S57" s="1">
        <f t="shared" si="4"/>
        <v>10864.593398176137</v>
      </c>
      <c r="T57" s="102">
        <f t="shared" si="5"/>
        <v>0.12591773779211043</v>
      </c>
      <c r="U57" s="1">
        <f t="shared" si="6"/>
        <v>2264.6474476427757</v>
      </c>
      <c r="V57" s="102">
        <f t="shared" si="7"/>
        <v>0.12440789865778876</v>
      </c>
      <c r="W57" s="1">
        <f t="shared" si="8"/>
        <v>12698.794368982428</v>
      </c>
      <c r="X57" s="102">
        <f t="shared" si="9"/>
        <v>7.9671020322168024E-2</v>
      </c>
      <c r="Y57" s="1">
        <f t="shared" si="10"/>
        <v>13088.472135856235</v>
      </c>
      <c r="Z57" s="102">
        <f t="shared" si="11"/>
        <v>0.1486811141893627</v>
      </c>
      <c r="AA57" s="1">
        <f t="shared" si="12"/>
        <v>1525.139383405281</v>
      </c>
      <c r="AB57" s="102">
        <f t="shared" si="13"/>
        <v>0.13221028710103655</v>
      </c>
      <c r="AC57" s="2">
        <f t="shared" si="14"/>
        <v>40441.646734062859</v>
      </c>
      <c r="AD57" s="102">
        <f t="shared" si="15"/>
        <v>6.4490147677123133E-2</v>
      </c>
      <c r="AF57" s="14"/>
    </row>
    <row r="59" spans="1:32" x14ac:dyDescent="0.3">
      <c r="A59" s="109" t="s">
        <v>96</v>
      </c>
      <c r="B59" s="109"/>
      <c r="C59" s="109"/>
      <c r="D59" s="109"/>
      <c r="E59" s="109"/>
      <c r="F59" s="109"/>
      <c r="G59" s="109"/>
      <c r="H59" s="109"/>
      <c r="I59" s="109"/>
      <c r="J59" s="109"/>
    </row>
    <row r="60" spans="1:32" x14ac:dyDescent="0.3">
      <c r="A60" t="s">
        <v>34</v>
      </c>
      <c r="B60" s="109" t="s">
        <v>45</v>
      </c>
      <c r="C60" s="109"/>
      <c r="D60" s="109" t="s">
        <v>48</v>
      </c>
      <c r="E60" s="109"/>
      <c r="F60" s="109" t="s">
        <v>91</v>
      </c>
      <c r="G60" s="109"/>
      <c r="H60" s="109" t="s">
        <v>54</v>
      </c>
      <c r="I60" s="109"/>
      <c r="J60" s="109" t="s">
        <v>82</v>
      </c>
      <c r="K60" s="109"/>
      <c r="L60" s="109" t="s">
        <v>153</v>
      </c>
      <c r="M60" s="109"/>
      <c r="N60" s="109"/>
      <c r="O60" s="109"/>
      <c r="P60" s="9"/>
      <c r="Q60" s="100"/>
      <c r="R60" t="s">
        <v>34</v>
      </c>
      <c r="S60" s="109" t="s">
        <v>45</v>
      </c>
      <c r="T60" s="109"/>
      <c r="U60" s="109" t="s">
        <v>48</v>
      </c>
      <c r="V60" s="109"/>
      <c r="W60" s="109" t="s">
        <v>91</v>
      </c>
      <c r="X60" s="109"/>
      <c r="Y60" s="109" t="s">
        <v>54</v>
      </c>
      <c r="Z60" s="109"/>
      <c r="AA60" s="109" t="s">
        <v>82</v>
      </c>
      <c r="AB60" s="109"/>
      <c r="AC60" s="109" t="s">
        <v>157</v>
      </c>
      <c r="AD60" s="109"/>
    </row>
    <row r="61" spans="1:32" x14ac:dyDescent="0.3">
      <c r="B61" s="9" t="s">
        <v>138</v>
      </c>
      <c r="C61" s="9" t="s">
        <v>139</v>
      </c>
      <c r="D61" s="9" t="s">
        <v>138</v>
      </c>
      <c r="E61" s="9" t="s">
        <v>139</v>
      </c>
      <c r="F61" s="9" t="s">
        <v>138</v>
      </c>
      <c r="G61" s="9" t="s">
        <v>139</v>
      </c>
      <c r="H61" s="9" t="s">
        <v>138</v>
      </c>
      <c r="I61" s="9" t="s">
        <v>139</v>
      </c>
      <c r="J61" s="9" t="s">
        <v>138</v>
      </c>
      <c r="K61" s="9" t="s">
        <v>139</v>
      </c>
      <c r="L61" s="9" t="s">
        <v>138</v>
      </c>
      <c r="M61" s="9" t="s">
        <v>154</v>
      </c>
      <c r="N61" s="9" t="s">
        <v>155</v>
      </c>
      <c r="O61" s="9" t="s">
        <v>156</v>
      </c>
      <c r="P61" s="9"/>
      <c r="Q61" s="100"/>
      <c r="S61" s="9" t="s">
        <v>138</v>
      </c>
      <c r="T61" s="9" t="s">
        <v>175</v>
      </c>
      <c r="U61" s="9" t="s">
        <v>138</v>
      </c>
      <c r="V61" s="9" t="s">
        <v>175</v>
      </c>
      <c r="W61" s="9" t="s">
        <v>138</v>
      </c>
      <c r="X61" s="9" t="s">
        <v>175</v>
      </c>
      <c r="Y61" s="9" t="s">
        <v>138</v>
      </c>
      <c r="Z61" s="9" t="s">
        <v>175</v>
      </c>
      <c r="AA61" s="9" t="s">
        <v>138</v>
      </c>
      <c r="AB61" s="9" t="s">
        <v>175</v>
      </c>
      <c r="AC61" s="9" t="s">
        <v>138</v>
      </c>
      <c r="AD61" s="9" t="s">
        <v>175</v>
      </c>
    </row>
    <row r="62" spans="1:32" x14ac:dyDescent="0.3">
      <c r="A62">
        <v>1998</v>
      </c>
      <c r="B62" s="1">
        <f>'YE harvest'!Y3</f>
        <v>77.850345010307606</v>
      </c>
      <c r="C62" s="1">
        <f>'YE harvest'!Z3</f>
        <v>223.98365544654678</v>
      </c>
      <c r="D62" s="1">
        <f>'YE harvest'!Y103</f>
        <v>48.092331209269815</v>
      </c>
      <c r="E62" s="1">
        <f>'YE harvest'!Z103</f>
        <v>362.65576272574037</v>
      </c>
      <c r="F62" s="1">
        <f>'YE harvest'!Y153</f>
        <v>305.18721379046434</v>
      </c>
      <c r="G62" s="1">
        <f>'YE harvest'!Z153</f>
        <v>9162.6460499877721</v>
      </c>
      <c r="H62" s="1">
        <f>'YE harvest'!Y28</f>
        <v>29.986506022310778</v>
      </c>
      <c r="I62" s="1">
        <f>'YE harvest'!Z28</f>
        <v>25.314903560412755</v>
      </c>
      <c r="J62" s="6">
        <f>'YE harvest'!Y53</f>
        <v>4.4068641244862867</v>
      </c>
      <c r="K62" s="6">
        <f>'YE harvest'!Z53</f>
        <v>1.9087420212645543</v>
      </c>
      <c r="L62" s="2">
        <f>J62+H62+F62+D62+B62</f>
        <v>465.52326015683877</v>
      </c>
      <c r="M62" s="1">
        <f>SUM(E62,G62,I62,K62,C62)</f>
        <v>9776.5091137417385</v>
      </c>
      <c r="N62">
        <f>SQRT(M62)</f>
        <v>98.876231288119683</v>
      </c>
      <c r="O62" s="14">
        <f>N62/L62</f>
        <v>0.21239804699513282</v>
      </c>
      <c r="P62" s="14"/>
      <c r="Q62" s="101"/>
      <c r="R62">
        <v>1998</v>
      </c>
      <c r="S62" s="1">
        <f>B62</f>
        <v>77.850345010307606</v>
      </c>
      <c r="T62" s="102">
        <f>SQRT(C62)/S62</f>
        <v>0.19224171070720986</v>
      </c>
      <c r="U62" s="1">
        <f>D62</f>
        <v>48.092331209269815</v>
      </c>
      <c r="V62" s="102">
        <f>SQRT(E62)/U62</f>
        <v>0.39597836861038255</v>
      </c>
      <c r="W62" s="1">
        <f>F62</f>
        <v>305.18721379046434</v>
      </c>
      <c r="X62" s="102">
        <f>SQRT(G62)/W62</f>
        <v>0.31364915422916234</v>
      </c>
      <c r="Y62" s="1">
        <f>H62</f>
        <v>29.986506022310778</v>
      </c>
      <c r="Z62" s="102">
        <f>SQRT(I62)/Y62</f>
        <v>0.16778853153865669</v>
      </c>
      <c r="AA62" s="1">
        <f>J62</f>
        <v>4.4068641244862867</v>
      </c>
      <c r="AB62" s="102">
        <f>SQRT(K62)/AA62</f>
        <v>0.31350462854868139</v>
      </c>
      <c r="AC62" s="2">
        <f>AA62+Y62+W62+U62+S62</f>
        <v>465.52326015683877</v>
      </c>
      <c r="AD62" s="102">
        <f>O62</f>
        <v>0.21239804699513282</v>
      </c>
    </row>
    <row r="63" spans="1:32" x14ac:dyDescent="0.3">
      <c r="A63">
        <v>1999</v>
      </c>
      <c r="B63" s="1">
        <f>'YE harvest'!Y4</f>
        <v>80.882330721684724</v>
      </c>
      <c r="C63" s="1">
        <f>'YE harvest'!Z4</f>
        <v>261.64742619989647</v>
      </c>
      <c r="D63" s="1">
        <f>'YE harvest'!Y104</f>
        <v>12.684879520076304</v>
      </c>
      <c r="E63" s="1">
        <f>'YE harvest'!Z104</f>
        <v>24.176819360678433</v>
      </c>
      <c r="F63" s="1">
        <f>'YE harvest'!Y154</f>
        <v>131.42888669180024</v>
      </c>
      <c r="G63" s="1">
        <f>'YE harvest'!Z154</f>
        <v>1439.9861080205251</v>
      </c>
      <c r="H63" s="1">
        <f>'YE harvest'!Y29</f>
        <v>14.354136765205205</v>
      </c>
      <c r="I63" s="1">
        <f>'YE harvest'!Z29</f>
        <v>49.945818314139132</v>
      </c>
      <c r="J63" s="6">
        <f>'YE harvest'!Y54</f>
        <v>13.449499112604649</v>
      </c>
      <c r="K63" s="6">
        <f>'YE harvest'!Z54</f>
        <v>17.90198761493977</v>
      </c>
      <c r="L63" s="2">
        <f t="shared" ref="L63:L83" si="24">J63+H63+F63+D63+B63</f>
        <v>252.79973281137111</v>
      </c>
      <c r="M63" s="1">
        <f t="shared" ref="M63:M83" si="25">SUM(E63,G63,I63,K63,C63)</f>
        <v>1793.6581595101788</v>
      </c>
      <c r="N63">
        <f t="shared" ref="N63:N83" si="26">SQRT(M63)</f>
        <v>42.351601616824112</v>
      </c>
      <c r="O63" s="14">
        <f t="shared" ref="O63:O83" si="27">N63/L63</f>
        <v>0.16753024675237752</v>
      </c>
      <c r="P63" s="14"/>
      <c r="Q63" s="101"/>
      <c r="R63">
        <v>1999</v>
      </c>
      <c r="S63" s="1">
        <f t="shared" ref="S63:S86" si="28">B63</f>
        <v>80.882330721684724</v>
      </c>
      <c r="T63" s="102">
        <f t="shared" ref="T63:T86" si="29">SQRT(C63)/S63</f>
        <v>0.19998829415971459</v>
      </c>
      <c r="U63" s="1">
        <f t="shared" ref="U63:U86" si="30">D63</f>
        <v>12.684879520076304</v>
      </c>
      <c r="V63" s="102">
        <f t="shared" ref="V63:V86" si="31">SQRT(E63)/U63</f>
        <v>0.38762630033087758</v>
      </c>
      <c r="W63" s="1">
        <f t="shared" ref="W63:W86" si="32">F63</f>
        <v>131.42888669180024</v>
      </c>
      <c r="X63" s="102">
        <f t="shared" ref="X63:X86" si="33">SQRT(G63)/W63</f>
        <v>0.28872761410254816</v>
      </c>
      <c r="Y63" s="1">
        <f t="shared" ref="Y63:Y86" si="34">H63</f>
        <v>14.354136765205205</v>
      </c>
      <c r="Z63" s="102">
        <f t="shared" ref="Z63:Z86" si="35">SQRT(I63)/Y63</f>
        <v>0.4923483498341924</v>
      </c>
      <c r="AA63" s="1">
        <f t="shared" ref="AA63:AA86" si="36">J63</f>
        <v>13.449499112604649</v>
      </c>
      <c r="AB63" s="102">
        <f t="shared" ref="AB63:AB86" si="37">SQRT(K63)/AA63</f>
        <v>0.31458971180870771</v>
      </c>
      <c r="AC63" s="2">
        <f t="shared" ref="AC63:AC86" si="38">AA63+Y63+W63+U63+S63</f>
        <v>252.79973281137111</v>
      </c>
      <c r="AD63" s="102">
        <f t="shared" ref="AD63:AD86" si="39">O63</f>
        <v>0.16753024675237752</v>
      </c>
    </row>
    <row r="64" spans="1:32" x14ac:dyDescent="0.3">
      <c r="A64">
        <v>2000</v>
      </c>
      <c r="B64" s="1">
        <f>'YE harvest'!Y5</f>
        <v>185.51258643517667</v>
      </c>
      <c r="C64" s="1">
        <f>'YE harvest'!Z5</f>
        <v>1584.0607943045547</v>
      </c>
      <c r="D64" s="1">
        <f>'YE harvest'!Y105</f>
        <v>26.781658829060397</v>
      </c>
      <c r="E64" s="1">
        <f>'YE harvest'!Z105</f>
        <v>104.91059777123749</v>
      </c>
      <c r="F64" s="1">
        <f>'YE harvest'!Y155</f>
        <v>138.85825198630636</v>
      </c>
      <c r="G64" s="1">
        <f>'YE harvest'!Z155</f>
        <v>2115.885381339277</v>
      </c>
      <c r="H64" s="1">
        <f>'YE harvest'!Y30</f>
        <v>76.084625820580229</v>
      </c>
      <c r="I64" s="1">
        <f>'YE harvest'!Z30</f>
        <v>170.16302776858942</v>
      </c>
      <c r="J64" s="6">
        <f>'YE harvest'!Y55</f>
        <v>44.412820145441302</v>
      </c>
      <c r="K64" s="6">
        <f>'YE harvest'!Z55</f>
        <v>213.25771181190919</v>
      </c>
      <c r="L64" s="2">
        <f t="shared" si="24"/>
        <v>471.64994321656496</v>
      </c>
      <c r="M64" s="1">
        <f t="shared" si="25"/>
        <v>4188.277512995568</v>
      </c>
      <c r="N64">
        <f t="shared" si="26"/>
        <v>64.716902838405119</v>
      </c>
      <c r="O64" s="14">
        <f t="shared" si="27"/>
        <v>0.1372138463476702</v>
      </c>
      <c r="P64" s="14"/>
      <c r="Q64" s="101"/>
      <c r="R64">
        <v>2000</v>
      </c>
      <c r="S64" s="1">
        <f t="shared" si="28"/>
        <v>185.51258643517667</v>
      </c>
      <c r="T64" s="102">
        <f t="shared" si="29"/>
        <v>0.21454210735200896</v>
      </c>
      <c r="U64" s="1">
        <f t="shared" si="30"/>
        <v>26.781658829060397</v>
      </c>
      <c r="V64" s="102">
        <f t="shared" si="31"/>
        <v>0.38244783567267648</v>
      </c>
      <c r="W64" s="1">
        <f t="shared" si="32"/>
        <v>138.85825198630636</v>
      </c>
      <c r="X64" s="102">
        <f t="shared" si="33"/>
        <v>0.33126410184579203</v>
      </c>
      <c r="Y64" s="1">
        <f t="shared" si="34"/>
        <v>76.084625820580229</v>
      </c>
      <c r="Z64" s="102">
        <f t="shared" si="35"/>
        <v>0.17144929085365071</v>
      </c>
      <c r="AA64" s="1">
        <f t="shared" si="36"/>
        <v>44.412820145441302</v>
      </c>
      <c r="AB64" s="102">
        <f t="shared" si="37"/>
        <v>0.32880924615260404</v>
      </c>
      <c r="AC64" s="2">
        <f t="shared" si="38"/>
        <v>471.64994321656496</v>
      </c>
      <c r="AD64" s="102">
        <f t="shared" si="39"/>
        <v>0.1372138463476702</v>
      </c>
    </row>
    <row r="65" spans="1:30" x14ac:dyDescent="0.3">
      <c r="A65">
        <v>2001</v>
      </c>
      <c r="B65" s="1">
        <f>'YE harvest'!Y6</f>
        <v>60.580692802777314</v>
      </c>
      <c r="C65" s="1">
        <f>'YE harvest'!Z6</f>
        <v>194.5525078663515</v>
      </c>
      <c r="D65" s="1">
        <f>'YE harvest'!Y106</f>
        <v>40.064901394916333</v>
      </c>
      <c r="E65" s="1">
        <f>'YE harvest'!Z106</f>
        <v>244.28356455846105</v>
      </c>
      <c r="F65" s="1">
        <f>'YE harvest'!Y156</f>
        <v>118.41411195512632</v>
      </c>
      <c r="G65" s="1">
        <f>'YE harvest'!Z156</f>
        <v>1674.2025923377123</v>
      </c>
      <c r="H65" s="1">
        <f>'YE harvest'!Y31</f>
        <v>72.984243982754123</v>
      </c>
      <c r="I65" s="1">
        <f>'YE harvest'!Z31</f>
        <v>1341.9149406730085</v>
      </c>
      <c r="J65" s="6">
        <f>'YE harvest'!Y56</f>
        <v>14.273890890273385</v>
      </c>
      <c r="K65" s="6">
        <f>'YE harvest'!Z56</f>
        <v>21.571691982523149</v>
      </c>
      <c r="L65" s="2">
        <f t="shared" si="24"/>
        <v>306.31784102584749</v>
      </c>
      <c r="M65" s="1">
        <f t="shared" si="25"/>
        <v>3476.5252974180562</v>
      </c>
      <c r="N65">
        <f t="shared" si="26"/>
        <v>58.962066597245865</v>
      </c>
      <c r="O65" s="14">
        <f t="shared" si="27"/>
        <v>0.19248655709959306</v>
      </c>
      <c r="P65" s="14"/>
      <c r="Q65" s="101"/>
      <c r="R65">
        <v>2001</v>
      </c>
      <c r="S65" s="1">
        <f t="shared" si="28"/>
        <v>60.580692802777314</v>
      </c>
      <c r="T65" s="102">
        <f t="shared" si="29"/>
        <v>0.23024180488607621</v>
      </c>
      <c r="U65" s="1">
        <f t="shared" si="30"/>
        <v>40.064901394916333</v>
      </c>
      <c r="V65" s="102">
        <f t="shared" si="31"/>
        <v>0.39010637371850188</v>
      </c>
      <c r="W65" s="1">
        <f t="shared" si="32"/>
        <v>118.41411195512632</v>
      </c>
      <c r="X65" s="102">
        <f t="shared" si="33"/>
        <v>0.34554176135736531</v>
      </c>
      <c r="Y65" s="1">
        <f t="shared" si="34"/>
        <v>72.984243982754123</v>
      </c>
      <c r="Z65" s="102">
        <f t="shared" si="35"/>
        <v>0.50191870456971122</v>
      </c>
      <c r="AA65" s="1">
        <f t="shared" si="36"/>
        <v>14.273890890273385</v>
      </c>
      <c r="AB65" s="102">
        <f t="shared" si="37"/>
        <v>0.32538665139745693</v>
      </c>
      <c r="AC65" s="2">
        <f t="shared" si="38"/>
        <v>306.31784102584749</v>
      </c>
      <c r="AD65" s="102">
        <f t="shared" si="39"/>
        <v>0.19248655709959306</v>
      </c>
    </row>
    <row r="66" spans="1:30" x14ac:dyDescent="0.3">
      <c r="A66">
        <v>2002</v>
      </c>
      <c r="B66" s="1">
        <f>'YE harvest'!Y7</f>
        <v>51.244853238404033</v>
      </c>
      <c r="C66" s="1">
        <f>'YE harvest'!Z7</f>
        <v>110.05400198810867</v>
      </c>
      <c r="D66" s="1">
        <f>'YE harvest'!Y107</f>
        <v>30.344566862170478</v>
      </c>
      <c r="E66" s="1">
        <f>'YE harvest'!Z107</f>
        <v>137.62239228111048</v>
      </c>
      <c r="F66" s="1">
        <f>'YE harvest'!Y157</f>
        <v>226.27128144374532</v>
      </c>
      <c r="G66" s="1">
        <f>'YE harvest'!Z157</f>
        <v>4036.124971380767</v>
      </c>
      <c r="H66" s="1">
        <f>'YE harvest'!Y32</f>
        <v>92.415216901603685</v>
      </c>
      <c r="I66" s="1">
        <f>'YE harvest'!Z32</f>
        <v>763.75193311618875</v>
      </c>
      <c r="J66" s="6">
        <f>'YE harvest'!Y57</f>
        <v>10.990059198180287</v>
      </c>
      <c r="K66" s="6">
        <f>'YE harvest'!Z57</f>
        <v>13.073526617571122</v>
      </c>
      <c r="L66" s="2">
        <f t="shared" si="24"/>
        <v>411.26597764410383</v>
      </c>
      <c r="M66" s="1">
        <f t="shared" si="25"/>
        <v>5060.6268253837461</v>
      </c>
      <c r="N66">
        <f t="shared" si="26"/>
        <v>71.138082806495049</v>
      </c>
      <c r="O66" s="14">
        <f t="shared" si="27"/>
        <v>0.17297342030090226</v>
      </c>
      <c r="P66" s="14"/>
      <c r="Q66" s="101"/>
      <c r="R66">
        <v>2002</v>
      </c>
      <c r="S66" s="1">
        <f t="shared" si="28"/>
        <v>51.244853238404033</v>
      </c>
      <c r="T66" s="102">
        <f t="shared" si="29"/>
        <v>0.20471641436415208</v>
      </c>
      <c r="U66" s="1">
        <f t="shared" si="30"/>
        <v>30.344566862170478</v>
      </c>
      <c r="V66" s="102">
        <f t="shared" si="31"/>
        <v>0.38660156582262961</v>
      </c>
      <c r="W66" s="1">
        <f t="shared" si="32"/>
        <v>226.27128144374532</v>
      </c>
      <c r="X66" s="102">
        <f t="shared" si="33"/>
        <v>0.28077139906339005</v>
      </c>
      <c r="Y66" s="1">
        <f t="shared" si="34"/>
        <v>92.415216901603685</v>
      </c>
      <c r="Z66" s="102">
        <f t="shared" si="35"/>
        <v>0.29904233428181876</v>
      </c>
      <c r="AA66" s="1">
        <f t="shared" si="36"/>
        <v>10.990059198180287</v>
      </c>
      <c r="AB66" s="102">
        <f t="shared" si="37"/>
        <v>0.32900033938685869</v>
      </c>
      <c r="AC66" s="2">
        <f t="shared" si="38"/>
        <v>411.26597764410383</v>
      </c>
      <c r="AD66" s="102">
        <f t="shared" si="39"/>
        <v>0.17297342030090226</v>
      </c>
    </row>
    <row r="67" spans="1:30" x14ac:dyDescent="0.3">
      <c r="A67">
        <v>2003</v>
      </c>
      <c r="B67" s="1">
        <f>'YE harvest'!Y8</f>
        <v>80.002362419040935</v>
      </c>
      <c r="C67" s="1">
        <f>'YE harvest'!Z8</f>
        <v>278.28994300994077</v>
      </c>
      <c r="D67" s="1">
        <f>'YE harvest'!Y108</f>
        <v>32.38437922173847</v>
      </c>
      <c r="E67" s="1">
        <f>'YE harvest'!Z108</f>
        <v>154.87896044112546</v>
      </c>
      <c r="F67" s="1">
        <f>'YE harvest'!Y158</f>
        <v>150.18116152892958</v>
      </c>
      <c r="G67" s="1">
        <f>'YE harvest'!Z158</f>
        <v>2454.7835132875243</v>
      </c>
      <c r="H67" s="1">
        <f>'YE harvest'!Y33</f>
        <v>162.57581529419934</v>
      </c>
      <c r="I67" s="1">
        <f>'YE harvest'!Z33</f>
        <v>1274.4863284738144</v>
      </c>
      <c r="J67" s="6">
        <f>'YE harvest'!Y58</f>
        <v>32.900443678962198</v>
      </c>
      <c r="K67" s="6">
        <f>'YE harvest'!Z58</f>
        <v>106.31149252353197</v>
      </c>
      <c r="L67" s="2">
        <f t="shared" si="24"/>
        <v>458.0441621428705</v>
      </c>
      <c r="M67" s="1">
        <f t="shared" si="25"/>
        <v>4268.7502377359369</v>
      </c>
      <c r="N67">
        <f t="shared" si="26"/>
        <v>65.335673546202443</v>
      </c>
      <c r="O67" s="14">
        <f t="shared" si="27"/>
        <v>0.14264055509526025</v>
      </c>
      <c r="P67" s="14"/>
      <c r="Q67" s="101"/>
      <c r="R67">
        <v>2003</v>
      </c>
      <c r="S67" s="1">
        <f t="shared" si="28"/>
        <v>80.002362419040935</v>
      </c>
      <c r="T67" s="102">
        <f t="shared" si="29"/>
        <v>0.20851914922609668</v>
      </c>
      <c r="U67" s="1">
        <f t="shared" si="30"/>
        <v>32.38437922173847</v>
      </c>
      <c r="V67" s="102">
        <f t="shared" si="31"/>
        <v>0.38429137386705275</v>
      </c>
      <c r="W67" s="1">
        <f t="shared" si="32"/>
        <v>150.18116152892958</v>
      </c>
      <c r="X67" s="102">
        <f t="shared" si="33"/>
        <v>0.32990670332293276</v>
      </c>
      <c r="Y67" s="1">
        <f t="shared" si="34"/>
        <v>162.57581529419934</v>
      </c>
      <c r="Z67" s="102">
        <f t="shared" si="35"/>
        <v>0.2195895405071443</v>
      </c>
      <c r="AA67" s="1">
        <f t="shared" si="36"/>
        <v>32.900443678962198</v>
      </c>
      <c r="AB67" s="102">
        <f t="shared" si="37"/>
        <v>0.313392322569441</v>
      </c>
      <c r="AC67" s="2">
        <f t="shared" si="38"/>
        <v>458.0441621428705</v>
      </c>
      <c r="AD67" s="102">
        <f t="shared" si="39"/>
        <v>0.14264055509526025</v>
      </c>
    </row>
    <row r="68" spans="1:30" x14ac:dyDescent="0.3">
      <c r="A68">
        <v>2004</v>
      </c>
      <c r="B68" s="1">
        <f>'YE harvest'!Y9</f>
        <v>111.15320301069673</v>
      </c>
      <c r="C68" s="1">
        <f>'YE harvest'!Z9</f>
        <v>424.13949776826485</v>
      </c>
      <c r="D68" s="1">
        <f>'YE harvest'!Y109</f>
        <v>36.859134292800775</v>
      </c>
      <c r="E68" s="1">
        <f>'YE harvest'!Z109</f>
        <v>197.12140150769633</v>
      </c>
      <c r="F68" s="1">
        <f>'YE harvest'!Y159</f>
        <v>224.9208761343499</v>
      </c>
      <c r="G68" s="1">
        <f>'YE harvest'!Z159</f>
        <v>5263.444613693784</v>
      </c>
      <c r="H68" s="1">
        <f>'YE harvest'!Y34</f>
        <v>107.76913261323861</v>
      </c>
      <c r="I68" s="1">
        <f>'YE harvest'!Z34</f>
        <v>668.65163863707608</v>
      </c>
      <c r="J68" s="6">
        <f>'YE harvest'!Y59</f>
        <v>35.436485218256145</v>
      </c>
      <c r="K68" s="6">
        <f>'YE harvest'!Z59</f>
        <v>122.83005573360197</v>
      </c>
      <c r="L68" s="2">
        <f t="shared" si="24"/>
        <v>516.13883126934218</v>
      </c>
      <c r="M68" s="1">
        <f t="shared" si="25"/>
        <v>6676.1872073404229</v>
      </c>
      <c r="N68">
        <f t="shared" si="26"/>
        <v>81.707938459738557</v>
      </c>
      <c r="O68" s="14">
        <f t="shared" si="27"/>
        <v>0.15830612523144968</v>
      </c>
      <c r="P68" s="14"/>
      <c r="Q68" s="101"/>
      <c r="R68">
        <v>2004</v>
      </c>
      <c r="S68" s="1">
        <f t="shared" si="28"/>
        <v>111.15320301069673</v>
      </c>
      <c r="T68" s="102">
        <f t="shared" si="29"/>
        <v>0.1852816360737907</v>
      </c>
      <c r="U68" s="1">
        <f t="shared" si="30"/>
        <v>36.859134292800775</v>
      </c>
      <c r="V68" s="102">
        <f t="shared" si="31"/>
        <v>0.38090945977334684</v>
      </c>
      <c r="W68" s="1">
        <f t="shared" si="32"/>
        <v>224.9208761343499</v>
      </c>
      <c r="X68" s="102">
        <f t="shared" si="33"/>
        <v>0.32255610197247492</v>
      </c>
      <c r="Y68" s="1">
        <f t="shared" si="34"/>
        <v>107.76913261323861</v>
      </c>
      <c r="Z68" s="102">
        <f t="shared" si="35"/>
        <v>0.23994161031678257</v>
      </c>
      <c r="AA68" s="1">
        <f t="shared" si="36"/>
        <v>35.436485218256145</v>
      </c>
      <c r="AB68" s="102">
        <f t="shared" si="37"/>
        <v>0.31275314441116725</v>
      </c>
      <c r="AC68" s="2">
        <f t="shared" si="38"/>
        <v>516.13883126934218</v>
      </c>
      <c r="AD68" s="102">
        <f t="shared" si="39"/>
        <v>0.15830612523144968</v>
      </c>
    </row>
    <row r="69" spans="1:30" x14ac:dyDescent="0.3">
      <c r="A69">
        <v>2005</v>
      </c>
      <c r="B69" s="1">
        <f>'YE harvest'!Y10</f>
        <v>197.81040450336081</v>
      </c>
      <c r="C69" s="1">
        <f>'YE harvest'!Z10</f>
        <v>1686.0534427357841</v>
      </c>
      <c r="D69" s="1">
        <f>'YE harvest'!Y110</f>
        <v>102.74219224671764</v>
      </c>
      <c r="E69" s="1">
        <f>'YE harvest'!Z110</f>
        <v>1565.5707219229041</v>
      </c>
      <c r="F69" s="1">
        <f>'YE harvest'!Y160</f>
        <v>185.61142015058118</v>
      </c>
      <c r="G69" s="1">
        <f>'YE harvest'!Z160</f>
        <v>3759.7936472145607</v>
      </c>
      <c r="H69" s="1">
        <f>'YE harvest'!Y35</f>
        <v>158.07393313847487</v>
      </c>
      <c r="I69" s="1">
        <f>'YE harvest'!Z35</f>
        <v>1615.9158499991852</v>
      </c>
      <c r="J69" s="6">
        <f>'YE harvest'!Y60</f>
        <v>121.44640885927363</v>
      </c>
      <c r="K69" s="6">
        <f>'YE harvest'!Z60</f>
        <v>1529.8234461232955</v>
      </c>
      <c r="L69" s="2">
        <f t="shared" si="24"/>
        <v>765.68435889840816</v>
      </c>
      <c r="M69" s="1">
        <f t="shared" si="25"/>
        <v>10157.157107995728</v>
      </c>
      <c r="N69">
        <f t="shared" si="26"/>
        <v>100.78272226922493</v>
      </c>
      <c r="O69" s="14">
        <f t="shared" si="27"/>
        <v>0.13162437118895998</v>
      </c>
      <c r="P69" s="14"/>
      <c r="Q69" s="101"/>
      <c r="R69">
        <v>2005</v>
      </c>
      <c r="S69" s="1">
        <f t="shared" si="28"/>
        <v>197.81040450336081</v>
      </c>
      <c r="T69" s="102">
        <f t="shared" si="29"/>
        <v>0.20758049207165433</v>
      </c>
      <c r="U69" s="1">
        <f t="shared" si="30"/>
        <v>102.74219224671764</v>
      </c>
      <c r="V69" s="102">
        <f t="shared" si="31"/>
        <v>0.38511241315097655</v>
      </c>
      <c r="W69" s="1">
        <f t="shared" si="32"/>
        <v>185.61142015058118</v>
      </c>
      <c r="X69" s="102">
        <f t="shared" si="33"/>
        <v>0.33035228205654532</v>
      </c>
      <c r="Y69" s="1">
        <f t="shared" si="34"/>
        <v>158.07393313847487</v>
      </c>
      <c r="Z69" s="102">
        <f t="shared" si="35"/>
        <v>0.25430161075886315</v>
      </c>
      <c r="AA69" s="1">
        <f t="shared" si="36"/>
        <v>121.44640885927363</v>
      </c>
      <c r="AB69" s="102">
        <f t="shared" si="37"/>
        <v>0.322059399610513</v>
      </c>
      <c r="AC69" s="2">
        <f t="shared" si="38"/>
        <v>765.68435889840816</v>
      </c>
      <c r="AD69" s="102">
        <f t="shared" si="39"/>
        <v>0.13162437118895998</v>
      </c>
    </row>
    <row r="70" spans="1:30" x14ac:dyDescent="0.3">
      <c r="A70">
        <v>2006</v>
      </c>
      <c r="B70" s="1">
        <f>'YE harvest'!Y11</f>
        <v>164.16207536693142</v>
      </c>
      <c r="C70" s="1">
        <f>'YE harvest'!Z11</f>
        <v>388.35941010887916</v>
      </c>
      <c r="D70" s="1">
        <f>'YE harvest'!Y111</f>
        <v>128.98884900196541</v>
      </c>
      <c r="E70" s="1">
        <f>'YE harvest'!Z111</f>
        <v>69.281988079304199</v>
      </c>
      <c r="F70" s="1">
        <f>'YE harvest'!Y161</f>
        <v>206.60973084590142</v>
      </c>
      <c r="G70" s="1">
        <f>'YE harvest'!Z161</f>
        <v>4449.7636013625488</v>
      </c>
      <c r="H70" s="1">
        <f>'YE harvest'!Y36</f>
        <v>152.36294057876552</v>
      </c>
      <c r="I70" s="1">
        <f>'YE harvest'!Z36</f>
        <v>520.69904536558863</v>
      </c>
      <c r="J70" s="6">
        <f>'YE harvest'!Y61</f>
        <v>78.908391708739089</v>
      </c>
      <c r="K70" s="6">
        <f>'YE harvest'!Z61</f>
        <v>56.133824909136244</v>
      </c>
      <c r="L70" s="2">
        <f t="shared" si="24"/>
        <v>731.03198750230285</v>
      </c>
      <c r="M70" s="1">
        <f t="shared" si="25"/>
        <v>5484.237869825457</v>
      </c>
      <c r="N70">
        <f t="shared" si="26"/>
        <v>74.055640364697794</v>
      </c>
      <c r="O70" s="14">
        <f t="shared" si="27"/>
        <v>0.10130287269333001</v>
      </c>
      <c r="P70" s="14"/>
      <c r="Q70" s="101"/>
      <c r="R70">
        <v>2006</v>
      </c>
      <c r="S70" s="1">
        <f t="shared" si="28"/>
        <v>164.16207536693142</v>
      </c>
      <c r="T70" s="102">
        <f t="shared" si="29"/>
        <v>0.12004500180501959</v>
      </c>
      <c r="U70" s="1">
        <f t="shared" si="30"/>
        <v>128.98884900196541</v>
      </c>
      <c r="V70" s="102">
        <f t="shared" si="31"/>
        <v>6.4529455906169597E-2</v>
      </c>
      <c r="W70" s="1">
        <f t="shared" si="32"/>
        <v>206.60973084590142</v>
      </c>
      <c r="X70" s="102">
        <f t="shared" si="33"/>
        <v>0.32286256867616558</v>
      </c>
      <c r="Y70" s="1">
        <f t="shared" si="34"/>
        <v>152.36294057876552</v>
      </c>
      <c r="Z70" s="102">
        <f t="shared" si="35"/>
        <v>0.14976628077057211</v>
      </c>
      <c r="AA70" s="1">
        <f t="shared" si="36"/>
        <v>78.908391708739089</v>
      </c>
      <c r="AB70" s="102">
        <f t="shared" si="37"/>
        <v>9.4948722544673847E-2</v>
      </c>
      <c r="AC70" s="2">
        <f t="shared" si="38"/>
        <v>731.03198750230285</v>
      </c>
      <c r="AD70" s="102">
        <f t="shared" si="39"/>
        <v>0.10130287269333001</v>
      </c>
    </row>
    <row r="71" spans="1:30" x14ac:dyDescent="0.3">
      <c r="A71">
        <v>2007</v>
      </c>
      <c r="B71" s="1">
        <f>'YE harvest'!Y12</f>
        <v>300.81756055451393</v>
      </c>
      <c r="C71" s="1">
        <f>'YE harvest'!Z12</f>
        <v>2809.6428602822721</v>
      </c>
      <c r="D71" s="1">
        <f>'YE harvest'!Y112</f>
        <v>124.04761436401157</v>
      </c>
      <c r="E71" s="1">
        <f>'YE harvest'!Z112</f>
        <v>365.28344116348461</v>
      </c>
      <c r="F71" s="1">
        <f>'YE harvest'!Y162</f>
        <v>202.5406207977955</v>
      </c>
      <c r="G71" s="1">
        <f>'YE harvest'!Z162</f>
        <v>2587.7803864599882</v>
      </c>
      <c r="H71" s="1">
        <f>'YE harvest'!Y37</f>
        <v>318.69882937865572</v>
      </c>
      <c r="I71" s="1">
        <f>'YE harvest'!Z37</f>
        <v>2594.0814631089352</v>
      </c>
      <c r="J71" s="6">
        <f>'YE harvest'!Y62</f>
        <v>194.54070521990917</v>
      </c>
      <c r="K71" s="6">
        <f>'YE harvest'!Z62</f>
        <v>805.79237746898798</v>
      </c>
      <c r="L71" s="2">
        <f t="shared" si="24"/>
        <v>1140.645330314886</v>
      </c>
      <c r="M71" s="1">
        <f t="shared" si="25"/>
        <v>9162.5805284836679</v>
      </c>
      <c r="N71">
        <f t="shared" si="26"/>
        <v>95.72136923636053</v>
      </c>
      <c r="O71" s="14">
        <f t="shared" si="27"/>
        <v>8.3918608784323639E-2</v>
      </c>
      <c r="P71" s="14"/>
      <c r="Q71" s="101"/>
      <c r="R71">
        <v>2007</v>
      </c>
      <c r="S71" s="1">
        <f t="shared" si="28"/>
        <v>300.81756055451393</v>
      </c>
      <c r="T71" s="102">
        <f t="shared" si="29"/>
        <v>0.1762066824655642</v>
      </c>
      <c r="U71" s="1">
        <f t="shared" si="30"/>
        <v>124.04761436401157</v>
      </c>
      <c r="V71" s="102">
        <f t="shared" si="31"/>
        <v>0.1540730132317184</v>
      </c>
      <c r="W71" s="1">
        <f t="shared" si="32"/>
        <v>202.5406207977955</v>
      </c>
      <c r="X71" s="102">
        <f t="shared" si="33"/>
        <v>0.25116063457764037</v>
      </c>
      <c r="Y71" s="1">
        <f t="shared" si="34"/>
        <v>318.69882937865572</v>
      </c>
      <c r="Z71" s="102">
        <f t="shared" si="35"/>
        <v>0.15981271767083469</v>
      </c>
      <c r="AA71" s="1">
        <f t="shared" si="36"/>
        <v>194.54070521990917</v>
      </c>
      <c r="AB71" s="102">
        <f t="shared" si="37"/>
        <v>0.14591538706352952</v>
      </c>
      <c r="AC71" s="2">
        <f t="shared" si="38"/>
        <v>1140.645330314886</v>
      </c>
      <c r="AD71" s="102">
        <f t="shared" si="39"/>
        <v>8.3918608784323639E-2</v>
      </c>
    </row>
    <row r="72" spans="1:30" x14ac:dyDescent="0.3">
      <c r="A72">
        <v>2008</v>
      </c>
      <c r="B72" s="1">
        <f>'YE harvest'!Y13</f>
        <v>598.94890943752091</v>
      </c>
      <c r="C72" s="1">
        <f>'YE harvest'!Z13</f>
        <v>3235.7345784954732</v>
      </c>
      <c r="D72" s="1">
        <f>'YE harvest'!Y113</f>
        <v>150.65384567515963</v>
      </c>
      <c r="E72" s="1">
        <f>'YE harvest'!Z113</f>
        <v>160.99850001779151</v>
      </c>
      <c r="F72" s="1">
        <f>'YE harvest'!Y163</f>
        <v>332.99806682351112</v>
      </c>
      <c r="G72" s="1">
        <f>'YE harvest'!Z163</f>
        <v>5047.3724994452605</v>
      </c>
      <c r="H72" s="1">
        <f>'YE harvest'!Y38</f>
        <v>266.76401211967914</v>
      </c>
      <c r="I72" s="1">
        <f>'YE harvest'!Z38</f>
        <v>1371.2421836954313</v>
      </c>
      <c r="J72" s="6">
        <f>'YE harvest'!Y63</f>
        <v>95.952087890677149</v>
      </c>
      <c r="K72" s="6">
        <f>'YE harvest'!Z63</f>
        <v>780.72172691649052</v>
      </c>
      <c r="L72" s="2">
        <f t="shared" si="24"/>
        <v>1445.3169219465481</v>
      </c>
      <c r="M72" s="1">
        <f t="shared" si="25"/>
        <v>10596.069488570447</v>
      </c>
      <c r="N72">
        <f t="shared" si="26"/>
        <v>102.93721138913006</v>
      </c>
      <c r="O72" s="14">
        <f t="shared" si="27"/>
        <v>7.1221204032188706E-2</v>
      </c>
      <c r="P72" s="14"/>
      <c r="Q72" s="101"/>
      <c r="R72">
        <v>2008</v>
      </c>
      <c r="S72" s="1">
        <f t="shared" si="28"/>
        <v>598.94890943752091</v>
      </c>
      <c r="T72" s="102">
        <f t="shared" si="29"/>
        <v>9.4972236760735559E-2</v>
      </c>
      <c r="U72" s="1">
        <f t="shared" si="30"/>
        <v>150.65384567515963</v>
      </c>
      <c r="V72" s="102">
        <f t="shared" si="31"/>
        <v>8.4222997268131441E-2</v>
      </c>
      <c r="W72" s="1">
        <f t="shared" si="32"/>
        <v>332.99806682351112</v>
      </c>
      <c r="X72" s="102">
        <f t="shared" si="33"/>
        <v>0.2133491742482379</v>
      </c>
      <c r="Y72" s="1">
        <f t="shared" si="34"/>
        <v>266.76401211967914</v>
      </c>
      <c r="Z72" s="102">
        <f t="shared" si="35"/>
        <v>0.13881290466857726</v>
      </c>
      <c r="AA72" s="1">
        <f t="shared" si="36"/>
        <v>95.952087890677149</v>
      </c>
      <c r="AB72" s="102">
        <f t="shared" si="37"/>
        <v>0.29120156422583332</v>
      </c>
      <c r="AC72" s="2">
        <f t="shared" si="38"/>
        <v>1445.3169219465481</v>
      </c>
      <c r="AD72" s="102">
        <f t="shared" si="39"/>
        <v>7.1221204032188706E-2</v>
      </c>
    </row>
    <row r="73" spans="1:30" x14ac:dyDescent="0.3">
      <c r="A73">
        <v>2009</v>
      </c>
      <c r="B73" s="1">
        <f>'YE harvest'!Y14</f>
        <v>592.77069146568965</v>
      </c>
      <c r="C73" s="1">
        <f>'YE harvest'!Z14</f>
        <v>6427.1554476342308</v>
      </c>
      <c r="D73" s="1">
        <f>'YE harvest'!Y114</f>
        <v>40.584694794533341</v>
      </c>
      <c r="E73" s="1">
        <f>'YE harvest'!Z114</f>
        <v>158.91529789138781</v>
      </c>
      <c r="F73" s="1">
        <f>'YE harvest'!Y164</f>
        <v>700.5611384826675</v>
      </c>
      <c r="G73" s="1">
        <f>'YE harvest'!Z164</f>
        <v>62583.238147068565</v>
      </c>
      <c r="H73" s="1">
        <f>'YE harvest'!Y39</f>
        <v>335.21041673017288</v>
      </c>
      <c r="I73" s="1">
        <f>'YE harvest'!Z39</f>
        <v>3277.371162556994</v>
      </c>
      <c r="J73" s="6">
        <f>'YE harvest'!Y64</f>
        <v>102.48777981544113</v>
      </c>
      <c r="K73" s="6">
        <f>'YE harvest'!Z64</f>
        <v>401.15241994667502</v>
      </c>
      <c r="L73" s="2">
        <f t="shared" si="24"/>
        <v>1771.6147212885044</v>
      </c>
      <c r="M73" s="1">
        <f t="shared" si="25"/>
        <v>72847.83247509785</v>
      </c>
      <c r="N73">
        <f t="shared" si="26"/>
        <v>269.90337618321462</v>
      </c>
      <c r="O73" s="14">
        <f t="shared" si="27"/>
        <v>0.15234879962326828</v>
      </c>
      <c r="P73" s="14"/>
      <c r="Q73" s="101"/>
      <c r="R73">
        <v>2009</v>
      </c>
      <c r="S73" s="1">
        <f t="shared" si="28"/>
        <v>592.77069146568965</v>
      </c>
      <c r="T73" s="102">
        <f t="shared" si="29"/>
        <v>0.13524545502856736</v>
      </c>
      <c r="U73" s="1">
        <f t="shared" si="30"/>
        <v>40.584694794533341</v>
      </c>
      <c r="V73" s="102">
        <f t="shared" si="31"/>
        <v>0.31061367277094593</v>
      </c>
      <c r="W73" s="1">
        <f t="shared" si="32"/>
        <v>700.5611384826675</v>
      </c>
      <c r="X73" s="102">
        <f t="shared" si="33"/>
        <v>0.357094345033375</v>
      </c>
      <c r="Y73" s="1">
        <f t="shared" si="34"/>
        <v>335.21041673017288</v>
      </c>
      <c r="Z73" s="102">
        <f t="shared" si="35"/>
        <v>0.17078326343396902</v>
      </c>
      <c r="AA73" s="1">
        <f t="shared" si="36"/>
        <v>102.48777981544113</v>
      </c>
      <c r="AB73" s="102">
        <f t="shared" si="37"/>
        <v>0.19542612605573517</v>
      </c>
      <c r="AC73" s="2">
        <f t="shared" si="38"/>
        <v>1771.6147212885044</v>
      </c>
      <c r="AD73" s="102">
        <f t="shared" si="39"/>
        <v>0.15234879962326828</v>
      </c>
    </row>
    <row r="74" spans="1:30" x14ac:dyDescent="0.3">
      <c r="A74">
        <v>2010</v>
      </c>
      <c r="B74" s="1">
        <f>'YE harvest'!Y15</f>
        <v>450.14422974328227</v>
      </c>
      <c r="C74" s="1">
        <f>'YE harvest'!Z15</f>
        <v>4172.6192873709506</v>
      </c>
      <c r="D74" s="1">
        <f>'YE harvest'!Y115</f>
        <v>85.77870000001424</v>
      </c>
      <c r="E74" s="1">
        <f>'YE harvest'!Z115</f>
        <v>196.7903272008862</v>
      </c>
      <c r="F74" s="1">
        <f>'YE harvest'!Y165</f>
        <v>480.06666277847205</v>
      </c>
      <c r="G74" s="1">
        <f>'YE harvest'!Z165</f>
        <v>36029.000513301995</v>
      </c>
      <c r="H74" s="1">
        <f>'YE harvest'!Y40</f>
        <v>376.02779209323899</v>
      </c>
      <c r="I74" s="1">
        <f>'YE harvest'!Z40</f>
        <v>1536.4527783322858</v>
      </c>
      <c r="J74" s="6">
        <f>'YE harvest'!Y65</f>
        <v>101.05942000141246</v>
      </c>
      <c r="K74" s="6">
        <f>'YE harvest'!Z65</f>
        <v>253.57773211248926</v>
      </c>
      <c r="L74" s="2">
        <f t="shared" si="24"/>
        <v>1493.0768046164201</v>
      </c>
      <c r="M74" s="1">
        <f t="shared" si="25"/>
        <v>42188.440638318607</v>
      </c>
      <c r="N74">
        <f t="shared" si="26"/>
        <v>205.39824886867612</v>
      </c>
      <c r="O74" s="14">
        <f t="shared" si="27"/>
        <v>0.13756710186214707</v>
      </c>
      <c r="P74" s="14"/>
      <c r="Q74" s="101"/>
      <c r="R74">
        <v>2010</v>
      </c>
      <c r="S74" s="1">
        <f t="shared" si="28"/>
        <v>450.14422974328227</v>
      </c>
      <c r="T74" s="102">
        <f t="shared" si="29"/>
        <v>0.14350026172499811</v>
      </c>
      <c r="U74" s="1">
        <f t="shared" si="30"/>
        <v>85.77870000001424</v>
      </c>
      <c r="V74" s="102">
        <f t="shared" si="31"/>
        <v>0.1635394051776714</v>
      </c>
      <c r="W74" s="1">
        <f t="shared" si="32"/>
        <v>480.06666277847205</v>
      </c>
      <c r="X74" s="102">
        <f t="shared" si="33"/>
        <v>0.39538897825040348</v>
      </c>
      <c r="Y74" s="1">
        <f t="shared" si="34"/>
        <v>376.02779209323899</v>
      </c>
      <c r="Z74" s="102">
        <f t="shared" si="35"/>
        <v>0.10424126280022893</v>
      </c>
      <c r="AA74" s="1">
        <f t="shared" si="36"/>
        <v>101.05942000141246</v>
      </c>
      <c r="AB74" s="102">
        <f t="shared" si="37"/>
        <v>0.15757189401884911</v>
      </c>
      <c r="AC74" s="2">
        <f t="shared" si="38"/>
        <v>1493.0768046164201</v>
      </c>
      <c r="AD74" s="102">
        <f t="shared" si="39"/>
        <v>0.13756710186214707</v>
      </c>
    </row>
    <row r="75" spans="1:30" x14ac:dyDescent="0.3">
      <c r="A75">
        <v>2011</v>
      </c>
      <c r="B75" s="1">
        <f>'YE harvest'!Y16</f>
        <v>490.29143759365786</v>
      </c>
      <c r="C75" s="1">
        <f>'YE harvest'!Z16</f>
        <v>4065.0893483106233</v>
      </c>
      <c r="D75" s="1">
        <f>'YE harvest'!Y116</f>
        <v>40.720252344816501</v>
      </c>
      <c r="E75" s="1">
        <f>'YE harvest'!Z116</f>
        <v>3.7142653652264972</v>
      </c>
      <c r="F75" s="1">
        <f>'YE harvest'!Y166</f>
        <v>393.54321341162193</v>
      </c>
      <c r="G75" s="1">
        <f>'YE harvest'!Z166</f>
        <v>25833.240594605268</v>
      </c>
      <c r="H75" s="1">
        <f>'YE harvest'!Y41</f>
        <v>214.9189508261432</v>
      </c>
      <c r="I75" s="1">
        <f>'YE harvest'!Z41</f>
        <v>1542.6366181035644</v>
      </c>
      <c r="J75" s="6">
        <f>'YE harvest'!Y66</f>
        <v>95.055865121492559</v>
      </c>
      <c r="K75" s="6">
        <f>'YE harvest'!Z66</f>
        <v>235.94203390172402</v>
      </c>
      <c r="L75" s="2">
        <f t="shared" si="24"/>
        <v>1234.5297192977321</v>
      </c>
      <c r="M75" s="1">
        <f t="shared" si="25"/>
        <v>31680.622860286403</v>
      </c>
      <c r="N75">
        <f t="shared" si="26"/>
        <v>177.9905133996933</v>
      </c>
      <c r="O75" s="14">
        <f t="shared" si="27"/>
        <v>0.14417677486204547</v>
      </c>
      <c r="P75" s="14"/>
      <c r="Q75" s="101"/>
      <c r="R75">
        <v>2011</v>
      </c>
      <c r="S75" s="1">
        <f t="shared" si="28"/>
        <v>490.29143759365786</v>
      </c>
      <c r="T75" s="102">
        <f t="shared" si="29"/>
        <v>0.13004113128408712</v>
      </c>
      <c r="U75" s="1">
        <f t="shared" si="30"/>
        <v>40.720252344816501</v>
      </c>
      <c r="V75" s="102">
        <f t="shared" si="31"/>
        <v>4.7328855619254963E-2</v>
      </c>
      <c r="W75" s="1">
        <f t="shared" si="32"/>
        <v>393.54321341162193</v>
      </c>
      <c r="X75" s="102">
        <f t="shared" si="33"/>
        <v>0.40841061085228914</v>
      </c>
      <c r="Y75" s="1">
        <f t="shared" si="34"/>
        <v>214.9189508261432</v>
      </c>
      <c r="Z75" s="102">
        <f t="shared" si="35"/>
        <v>0.18274988244859267</v>
      </c>
      <c r="AA75" s="1">
        <f t="shared" si="36"/>
        <v>95.055865121492559</v>
      </c>
      <c r="AB75" s="102">
        <f t="shared" si="37"/>
        <v>0.16159344533280579</v>
      </c>
      <c r="AC75" s="2">
        <f t="shared" si="38"/>
        <v>1234.5297192977321</v>
      </c>
      <c r="AD75" s="102">
        <f t="shared" si="39"/>
        <v>0.14417677486204547</v>
      </c>
    </row>
    <row r="76" spans="1:30" x14ac:dyDescent="0.3">
      <c r="A76">
        <v>2012</v>
      </c>
      <c r="B76" s="1">
        <f>'YE harvest'!Y17</f>
        <v>548.14941607853302</v>
      </c>
      <c r="C76" s="1">
        <f>'YE harvest'!Z17</f>
        <v>5622.4698580952609</v>
      </c>
      <c r="D76" s="1">
        <f>'YE harvest'!Y117</f>
        <v>85.239501225192413</v>
      </c>
      <c r="E76" s="1">
        <f>'YE harvest'!Z117</f>
        <v>72.245631031488685</v>
      </c>
      <c r="F76" s="1">
        <f>'YE harvest'!Y167</f>
        <v>269.55528331037937</v>
      </c>
      <c r="G76" s="1">
        <f>'YE harvest'!Z167</f>
        <v>2587.4073176413895</v>
      </c>
      <c r="H76" s="1">
        <f>'YE harvest'!Y42</f>
        <v>516.81539192910782</v>
      </c>
      <c r="I76" s="1">
        <f>'YE harvest'!Z42</f>
        <v>12928.593636874986</v>
      </c>
      <c r="J76" s="6">
        <f>'YE harvest'!Y67</f>
        <v>172.87252247283112</v>
      </c>
      <c r="K76" s="6">
        <f>'YE harvest'!Z67</f>
        <v>2278.4398033734383</v>
      </c>
      <c r="L76" s="2">
        <f t="shared" si="24"/>
        <v>1592.6321150160438</v>
      </c>
      <c r="M76" s="1">
        <f t="shared" si="25"/>
        <v>23489.156247016563</v>
      </c>
      <c r="N76">
        <f t="shared" si="26"/>
        <v>153.26172466410705</v>
      </c>
      <c r="O76" s="14">
        <f t="shared" si="27"/>
        <v>9.623171805910942E-2</v>
      </c>
      <c r="P76" s="14"/>
      <c r="Q76" s="101"/>
      <c r="R76">
        <v>2012</v>
      </c>
      <c r="S76" s="1">
        <f t="shared" si="28"/>
        <v>548.14941607853302</v>
      </c>
      <c r="T76" s="102">
        <f t="shared" si="29"/>
        <v>0.1367932324484252</v>
      </c>
      <c r="U76" s="1">
        <f t="shared" si="30"/>
        <v>85.239501225192413</v>
      </c>
      <c r="V76" s="102">
        <f t="shared" si="31"/>
        <v>9.9716010485698295E-2</v>
      </c>
      <c r="W76" s="1">
        <f t="shared" si="32"/>
        <v>269.55528331037937</v>
      </c>
      <c r="X76" s="102">
        <f t="shared" si="33"/>
        <v>0.18870549752433319</v>
      </c>
      <c r="Y76" s="1">
        <f t="shared" si="34"/>
        <v>516.81539192910782</v>
      </c>
      <c r="Z76" s="102">
        <f t="shared" si="35"/>
        <v>0.22000887644440184</v>
      </c>
      <c r="AA76" s="1">
        <f t="shared" si="36"/>
        <v>172.87252247283112</v>
      </c>
      <c r="AB76" s="102">
        <f t="shared" si="37"/>
        <v>0.27611678655021088</v>
      </c>
      <c r="AC76" s="2">
        <f t="shared" si="38"/>
        <v>1592.6321150160438</v>
      </c>
      <c r="AD76" s="102">
        <f t="shared" si="39"/>
        <v>9.623171805910942E-2</v>
      </c>
    </row>
    <row r="77" spans="1:30" x14ac:dyDescent="0.3">
      <c r="A77">
        <v>2013</v>
      </c>
      <c r="B77" s="1">
        <f>'YE harvest'!Y18</f>
        <v>472.27551768749771</v>
      </c>
      <c r="C77" s="1">
        <f>'YE harvest'!Z18</f>
        <v>2643.8248179455463</v>
      </c>
      <c r="D77" s="1">
        <f>'YE harvest'!Y118</f>
        <v>65.75934732127142</v>
      </c>
      <c r="E77" s="1">
        <f>'YE harvest'!Z118</f>
        <v>199.70214846421646</v>
      </c>
      <c r="F77" s="1">
        <f>'YE harvest'!Y168</f>
        <v>678.51521660221351</v>
      </c>
      <c r="G77" s="1">
        <f>'YE harvest'!Z168</f>
        <v>23777.230522300666</v>
      </c>
      <c r="H77" s="1">
        <f>'YE harvest'!Y43</f>
        <v>343.97932495834067</v>
      </c>
      <c r="I77" s="1">
        <f>'YE harvest'!Z43</f>
        <v>2110.0618198423867</v>
      </c>
      <c r="J77" s="6">
        <f>'YE harvest'!Y68</f>
        <v>136.38388693901092</v>
      </c>
      <c r="K77" s="6">
        <f>'YE harvest'!Z68</f>
        <v>352.24512755219894</v>
      </c>
      <c r="L77" s="2">
        <f t="shared" si="24"/>
        <v>1696.9132935083342</v>
      </c>
      <c r="M77" s="1">
        <f t="shared" si="25"/>
        <v>29083.064436105018</v>
      </c>
      <c r="N77">
        <f t="shared" si="26"/>
        <v>170.53757485113073</v>
      </c>
      <c r="O77" s="14">
        <f t="shared" si="27"/>
        <v>0.10049869695967065</v>
      </c>
      <c r="P77" s="14"/>
      <c r="Q77" s="101"/>
      <c r="R77">
        <v>2013</v>
      </c>
      <c r="S77" s="1">
        <f t="shared" si="28"/>
        <v>472.27551768749771</v>
      </c>
      <c r="T77" s="102">
        <f t="shared" si="29"/>
        <v>0.10887317916505464</v>
      </c>
      <c r="U77" s="1">
        <f t="shared" si="30"/>
        <v>65.75934732127142</v>
      </c>
      <c r="V77" s="102">
        <f t="shared" si="31"/>
        <v>0.21489874266879633</v>
      </c>
      <c r="W77" s="1">
        <f t="shared" si="32"/>
        <v>678.51521660221351</v>
      </c>
      <c r="X77" s="102">
        <f t="shared" si="33"/>
        <v>0.22725897440850371</v>
      </c>
      <c r="Y77" s="1">
        <f t="shared" si="34"/>
        <v>343.97932495834067</v>
      </c>
      <c r="Z77" s="102">
        <f t="shared" si="35"/>
        <v>0.13354119240036946</v>
      </c>
      <c r="AA77" s="1">
        <f t="shared" si="36"/>
        <v>136.38388693901092</v>
      </c>
      <c r="AB77" s="102">
        <f t="shared" si="37"/>
        <v>0.13761299076323175</v>
      </c>
      <c r="AC77" s="2">
        <f t="shared" si="38"/>
        <v>1696.9132935083342</v>
      </c>
      <c r="AD77" s="102">
        <f t="shared" si="39"/>
        <v>0.10049869695967065</v>
      </c>
    </row>
    <row r="78" spans="1:30" x14ac:dyDescent="0.3">
      <c r="A78">
        <v>2014</v>
      </c>
      <c r="B78" s="1">
        <f>'YE harvest'!Y19</f>
        <v>586.38693225250506</v>
      </c>
      <c r="C78" s="1">
        <f>'YE harvest'!Z19</f>
        <v>6061.3541110461456</v>
      </c>
      <c r="D78" s="1">
        <f>'YE harvest'!Y119</f>
        <v>139.38643501548367</v>
      </c>
      <c r="E78" s="1">
        <f>'YE harvest'!Z119</f>
        <v>64.210811322920406</v>
      </c>
      <c r="F78" s="1">
        <f>'YE harvest'!Y169</f>
        <v>821.44502977841535</v>
      </c>
      <c r="G78" s="1">
        <f>'YE harvest'!Z169</f>
        <v>28355.948365623633</v>
      </c>
      <c r="H78" s="1">
        <f>'YE harvest'!Y44</f>
        <v>534.43586055747915</v>
      </c>
      <c r="I78" s="1">
        <f>'YE harvest'!Z44</f>
        <v>7539.9837736573863</v>
      </c>
      <c r="J78" s="6">
        <f>'YE harvest'!Y69</f>
        <v>73.510222119773431</v>
      </c>
      <c r="K78" s="6">
        <f>'YE harvest'!Z69</f>
        <v>349.74154136856441</v>
      </c>
      <c r="L78" s="2">
        <f t="shared" si="24"/>
        <v>2155.1644797236568</v>
      </c>
      <c r="M78" s="1">
        <f t="shared" si="25"/>
        <v>42371.238603018654</v>
      </c>
      <c r="N78">
        <f t="shared" si="26"/>
        <v>205.84275212651684</v>
      </c>
      <c r="O78" s="14">
        <f t="shared" si="27"/>
        <v>9.5511388603115227E-2</v>
      </c>
      <c r="P78" s="14"/>
      <c r="Q78" s="101"/>
      <c r="R78">
        <v>2014</v>
      </c>
      <c r="S78" s="1">
        <f t="shared" si="28"/>
        <v>586.38693225250506</v>
      </c>
      <c r="T78" s="102">
        <f t="shared" si="29"/>
        <v>0.13277018027974574</v>
      </c>
      <c r="U78" s="1">
        <f t="shared" si="30"/>
        <v>139.38643501548367</v>
      </c>
      <c r="V78" s="102">
        <f t="shared" si="31"/>
        <v>5.7488842975793188E-2</v>
      </c>
      <c r="W78" s="1">
        <f t="shared" si="32"/>
        <v>821.44502977841535</v>
      </c>
      <c r="X78" s="102">
        <f t="shared" si="33"/>
        <v>0.20499514813310085</v>
      </c>
      <c r="Y78" s="1">
        <f t="shared" si="34"/>
        <v>534.43586055747915</v>
      </c>
      <c r="Z78" s="102">
        <f t="shared" si="35"/>
        <v>0.16247614795110413</v>
      </c>
      <c r="AA78" s="1">
        <f t="shared" si="36"/>
        <v>73.510222119773431</v>
      </c>
      <c r="AB78" s="102">
        <f t="shared" si="37"/>
        <v>0.25440513606680709</v>
      </c>
      <c r="AC78" s="2">
        <f t="shared" si="38"/>
        <v>2155.1644797236568</v>
      </c>
      <c r="AD78" s="102">
        <f t="shared" si="39"/>
        <v>9.5511388603115227E-2</v>
      </c>
    </row>
    <row r="79" spans="1:30" x14ac:dyDescent="0.3">
      <c r="A79">
        <v>2015</v>
      </c>
      <c r="B79" s="1">
        <f>'YE harvest'!Y20</f>
        <v>635.4123339683174</v>
      </c>
      <c r="C79" s="1">
        <f>'YE harvest'!Z20</f>
        <v>20875.717556309897</v>
      </c>
      <c r="D79" s="1">
        <f>'YE harvest'!Y120</f>
        <v>180.16166945732982</v>
      </c>
      <c r="E79" s="1">
        <f>'YE harvest'!Z120</f>
        <v>937.73992236676622</v>
      </c>
      <c r="F79" s="1">
        <f>'YE harvest'!Y170</f>
        <v>705.95065724130154</v>
      </c>
      <c r="G79" s="1">
        <f>'YE harvest'!Z170</f>
        <v>17835.097843808573</v>
      </c>
      <c r="H79" s="1">
        <f>'YE harvest'!Y45</f>
        <v>434.45960855329838</v>
      </c>
      <c r="I79" s="1">
        <f>'YE harvest'!Z45</f>
        <v>19450.890756470213</v>
      </c>
      <c r="J79" s="6">
        <f>'YE harvest'!Y70</f>
        <v>99.407143418364853</v>
      </c>
      <c r="K79" s="6">
        <f>'YE harvest'!Z70</f>
        <v>1036.6418169444651</v>
      </c>
      <c r="L79" s="2">
        <f t="shared" si="24"/>
        <v>2055.3914126386121</v>
      </c>
      <c r="M79" s="1">
        <f t="shared" si="25"/>
        <v>60136.087895899924</v>
      </c>
      <c r="N79">
        <f t="shared" si="26"/>
        <v>245.226605195888</v>
      </c>
      <c r="O79" s="14">
        <f t="shared" si="27"/>
        <v>0.11930895676997985</v>
      </c>
      <c r="P79" s="14"/>
      <c r="Q79" s="101"/>
      <c r="R79">
        <v>2015</v>
      </c>
      <c r="S79" s="1">
        <f t="shared" si="28"/>
        <v>635.4123339683174</v>
      </c>
      <c r="T79" s="102">
        <f t="shared" si="29"/>
        <v>0.22738670345022055</v>
      </c>
      <c r="U79" s="1">
        <f t="shared" si="30"/>
        <v>180.16166945732982</v>
      </c>
      <c r="V79" s="102">
        <f t="shared" si="31"/>
        <v>0.16997255599505923</v>
      </c>
      <c r="W79" s="1">
        <f t="shared" si="32"/>
        <v>705.95065724130154</v>
      </c>
      <c r="X79" s="102">
        <f t="shared" si="33"/>
        <v>0.18917485128217432</v>
      </c>
      <c r="Y79" s="1">
        <f t="shared" si="34"/>
        <v>434.45960855329838</v>
      </c>
      <c r="Z79" s="102">
        <f t="shared" si="35"/>
        <v>0.32101131507788666</v>
      </c>
      <c r="AA79" s="1">
        <f t="shared" si="36"/>
        <v>99.407143418364853</v>
      </c>
      <c r="AB79" s="102">
        <f t="shared" si="37"/>
        <v>0.32388942453350389</v>
      </c>
      <c r="AC79" s="2">
        <f t="shared" si="38"/>
        <v>2055.3914126386121</v>
      </c>
      <c r="AD79" s="102">
        <f t="shared" si="39"/>
        <v>0.11930895676997985</v>
      </c>
    </row>
    <row r="80" spans="1:30" x14ac:dyDescent="0.3">
      <c r="A80">
        <v>2016</v>
      </c>
      <c r="B80" s="1">
        <f>'YE harvest'!Y21</f>
        <v>601.73484546498344</v>
      </c>
      <c r="C80" s="1">
        <f>'YE harvest'!Z21</f>
        <v>1280.0688166085497</v>
      </c>
      <c r="D80" s="1">
        <f>'YE harvest'!Y121</f>
        <v>112.9793368003873</v>
      </c>
      <c r="E80" s="1">
        <f>'YE harvest'!Z121</f>
        <v>209.66041280297247</v>
      </c>
      <c r="F80" s="1">
        <f>'YE harvest'!Y171</f>
        <v>646.05259874518742</v>
      </c>
      <c r="G80" s="1">
        <f>'YE harvest'!Z171</f>
        <v>16254.850721810735</v>
      </c>
      <c r="H80" s="1">
        <f>'YE harvest'!Y46</f>
        <v>635.70916800340854</v>
      </c>
      <c r="I80" s="1">
        <f>'YE harvest'!Z46</f>
        <v>806.72995758948798</v>
      </c>
      <c r="J80" s="6">
        <f>'YE harvest'!Y71</f>
        <v>98.523864388401734</v>
      </c>
      <c r="K80" s="6">
        <f>'YE harvest'!Z71</f>
        <v>79.245746922845655</v>
      </c>
      <c r="L80" s="2">
        <f t="shared" si="24"/>
        <v>2094.9998134023685</v>
      </c>
      <c r="M80" s="1">
        <f t="shared" si="25"/>
        <v>18630.555655734592</v>
      </c>
      <c r="N80">
        <f t="shared" si="26"/>
        <v>136.49379346964679</v>
      </c>
      <c r="O80" s="14">
        <f t="shared" si="27"/>
        <v>6.5152174523574344E-2</v>
      </c>
      <c r="P80" s="14"/>
      <c r="Q80" s="101"/>
      <c r="R80">
        <v>2016</v>
      </c>
      <c r="S80" s="1">
        <f t="shared" si="28"/>
        <v>601.73484546498344</v>
      </c>
      <c r="T80" s="102">
        <f t="shared" si="29"/>
        <v>5.9458164402570478E-2</v>
      </c>
      <c r="U80" s="1">
        <f t="shared" si="30"/>
        <v>112.9793368003873</v>
      </c>
      <c r="V80" s="102">
        <f t="shared" si="31"/>
        <v>0.12816197673119786</v>
      </c>
      <c r="W80" s="1">
        <f t="shared" si="32"/>
        <v>646.05259874518742</v>
      </c>
      <c r="X80" s="102">
        <f t="shared" si="33"/>
        <v>0.19734385832375462</v>
      </c>
      <c r="Y80" s="1">
        <f t="shared" si="34"/>
        <v>635.70916800340854</v>
      </c>
      <c r="Z80" s="102">
        <f t="shared" si="35"/>
        <v>4.4679223586905778E-2</v>
      </c>
      <c r="AA80" s="1">
        <f t="shared" si="36"/>
        <v>98.523864388401734</v>
      </c>
      <c r="AB80" s="102">
        <f t="shared" si="37"/>
        <v>9.0353825266863266E-2</v>
      </c>
      <c r="AC80" s="2">
        <f t="shared" si="38"/>
        <v>2094.9998134023685</v>
      </c>
      <c r="AD80" s="102">
        <f t="shared" si="39"/>
        <v>6.5152174523574344E-2</v>
      </c>
    </row>
    <row r="81" spans="1:30" x14ac:dyDescent="0.3">
      <c r="A81">
        <v>2017</v>
      </c>
      <c r="B81" s="1">
        <f>'YE harvest'!Y22</f>
        <v>482.39791917747402</v>
      </c>
      <c r="C81" s="1">
        <f>'YE harvest'!Z22</f>
        <v>1781.8378326463107</v>
      </c>
      <c r="D81" s="1">
        <f>'YE harvest'!Y122</f>
        <v>82.255122100063872</v>
      </c>
      <c r="E81" s="1">
        <f>'YE harvest'!Z122</f>
        <v>1773.1603126077393</v>
      </c>
      <c r="F81" s="1">
        <f>'YE harvest'!Y172</f>
        <v>244.33240969726234</v>
      </c>
      <c r="G81" s="1">
        <f>'YE harvest'!Z172</f>
        <v>1165.0162320083427</v>
      </c>
      <c r="H81" s="1">
        <f>'YE harvest'!Y47</f>
        <v>654.31425172921308</v>
      </c>
      <c r="I81" s="1">
        <f>'YE harvest'!Z47</f>
        <v>8921.1154122354037</v>
      </c>
      <c r="J81" s="6">
        <f>'YE harvest'!Y72</f>
        <v>76.551866125887287</v>
      </c>
      <c r="K81" s="6">
        <f>'YE harvest'!Z72</f>
        <v>355.27549643765548</v>
      </c>
      <c r="L81" s="2">
        <f t="shared" si="24"/>
        <v>1539.8515688299005</v>
      </c>
      <c r="M81" s="1">
        <f t="shared" si="25"/>
        <v>13996.405285935452</v>
      </c>
      <c r="N81">
        <f t="shared" si="26"/>
        <v>118.30640424734179</v>
      </c>
      <c r="O81" s="14">
        <f t="shared" si="27"/>
        <v>7.6829745569074709E-2</v>
      </c>
      <c r="P81" s="14"/>
      <c r="Q81" s="101"/>
      <c r="R81">
        <v>2017</v>
      </c>
      <c r="S81" s="1">
        <f t="shared" si="28"/>
        <v>482.39791917747402</v>
      </c>
      <c r="T81" s="102">
        <f t="shared" si="29"/>
        <v>8.7504152335521251E-2</v>
      </c>
      <c r="U81" s="1">
        <f t="shared" si="30"/>
        <v>82.255122100063872</v>
      </c>
      <c r="V81" s="102">
        <f t="shared" si="31"/>
        <v>0.51193055287178257</v>
      </c>
      <c r="W81" s="1">
        <f t="shared" si="32"/>
        <v>244.33240969726234</v>
      </c>
      <c r="X81" s="102">
        <f t="shared" si="33"/>
        <v>0.13969630208039985</v>
      </c>
      <c r="Y81" s="1">
        <f t="shared" si="34"/>
        <v>654.31425172921308</v>
      </c>
      <c r="Z81" s="102">
        <f t="shared" si="35"/>
        <v>0.14435213084936635</v>
      </c>
      <c r="AA81" s="1">
        <f t="shared" si="36"/>
        <v>76.551866125887287</v>
      </c>
      <c r="AB81" s="102">
        <f t="shared" si="37"/>
        <v>0.24622199475747239</v>
      </c>
      <c r="AC81" s="2">
        <f t="shared" si="38"/>
        <v>1539.8515688299005</v>
      </c>
      <c r="AD81" s="102">
        <f t="shared" si="39"/>
        <v>7.6829745569074709E-2</v>
      </c>
    </row>
    <row r="82" spans="1:30" x14ac:dyDescent="0.3">
      <c r="A82">
        <v>2018</v>
      </c>
      <c r="B82" s="1">
        <f>'YE harvest'!Y23</f>
        <v>633.76689971813164</v>
      </c>
      <c r="C82" s="1">
        <f>'YE harvest'!Z23</f>
        <v>9188.6881825198652</v>
      </c>
      <c r="D82" s="1">
        <f>'YE harvest'!Y123</f>
        <v>112.10464572857293</v>
      </c>
      <c r="E82" s="1">
        <f>'YE harvest'!Z123</f>
        <v>98.137684248049339</v>
      </c>
      <c r="F82" s="1">
        <f>'YE harvest'!Y173</f>
        <v>383.39690436954675</v>
      </c>
      <c r="G82" s="1">
        <f>'YE harvest'!Z173</f>
        <v>7838.5886097815437</v>
      </c>
      <c r="H82" s="1">
        <f>'YE harvest'!Y48</f>
        <v>651.27882351697247</v>
      </c>
      <c r="I82" s="1">
        <f>'YE harvest'!Z48</f>
        <v>4623.031651313654</v>
      </c>
      <c r="J82" s="6">
        <f>'YE harvest'!Y73</f>
        <v>82.99776642451782</v>
      </c>
      <c r="K82" s="6">
        <f>'YE harvest'!Z73</f>
        <v>83.379221458122089</v>
      </c>
      <c r="L82" s="2">
        <f t="shared" si="24"/>
        <v>1863.5450397577415</v>
      </c>
      <c r="M82" s="1">
        <f t="shared" si="25"/>
        <v>21831.825349321236</v>
      </c>
      <c r="N82">
        <f t="shared" si="26"/>
        <v>147.75596552870965</v>
      </c>
      <c r="O82" s="14">
        <f t="shared" si="27"/>
        <v>7.9287574153784734E-2</v>
      </c>
      <c r="P82" s="14"/>
      <c r="Q82" s="101"/>
      <c r="R82">
        <v>2018</v>
      </c>
      <c r="S82" s="1">
        <f t="shared" si="28"/>
        <v>633.76689971813164</v>
      </c>
      <c r="T82" s="102">
        <f t="shared" si="29"/>
        <v>0.15125063402216682</v>
      </c>
      <c r="U82" s="1">
        <f t="shared" si="30"/>
        <v>112.10464572857293</v>
      </c>
      <c r="V82" s="102">
        <f t="shared" si="31"/>
        <v>8.8367850735283124E-2</v>
      </c>
      <c r="W82" s="1">
        <f t="shared" si="32"/>
        <v>383.39690436954675</v>
      </c>
      <c r="X82" s="102">
        <f t="shared" si="33"/>
        <v>0.23092467128214741</v>
      </c>
      <c r="Y82" s="1">
        <f t="shared" si="34"/>
        <v>651.27882351697247</v>
      </c>
      <c r="Z82" s="102">
        <f t="shared" si="35"/>
        <v>0.10439903304254299</v>
      </c>
      <c r="AA82" s="1">
        <f t="shared" si="36"/>
        <v>82.99776642451782</v>
      </c>
      <c r="AB82" s="102">
        <f t="shared" si="37"/>
        <v>0.11001768764770452</v>
      </c>
      <c r="AC82" s="2">
        <f t="shared" si="38"/>
        <v>1863.5450397577415</v>
      </c>
      <c r="AD82" s="102">
        <f t="shared" si="39"/>
        <v>7.9287574153784734E-2</v>
      </c>
    </row>
    <row r="83" spans="1:30" x14ac:dyDescent="0.3">
      <c r="A83">
        <v>2019</v>
      </c>
      <c r="B83" s="1">
        <f>'YE harvest'!Y24</f>
        <v>1261.1232986445648</v>
      </c>
      <c r="C83" s="1">
        <f>'YE harvest'!Z24</f>
        <v>77093.975867223868</v>
      </c>
      <c r="D83" s="1">
        <f>'YE harvest'!Y124</f>
        <v>169.24313984614315</v>
      </c>
      <c r="E83" s="1">
        <f>'YE harvest'!Z124</f>
        <v>4227.8754032031929</v>
      </c>
      <c r="F83" s="1">
        <f>'YE harvest'!Y174</f>
        <v>663.38725270685723</v>
      </c>
      <c r="G83" s="1">
        <f>'YE harvest'!Z174</f>
        <v>23866.190035104777</v>
      </c>
      <c r="H83" s="1">
        <f>'YE harvest'!Y49</f>
        <v>1768.1197355614568</v>
      </c>
      <c r="I83" s="1">
        <f>'YE harvest'!Z49</f>
        <v>125699.38309652203</v>
      </c>
      <c r="J83" s="6">
        <f>'YE harvest'!Y74</f>
        <v>146.59540104739534</v>
      </c>
      <c r="K83" s="6">
        <f>'YE harvest'!Z74</f>
        <v>574.53579638587485</v>
      </c>
      <c r="L83" s="2">
        <f t="shared" si="24"/>
        <v>4008.4688278064173</v>
      </c>
      <c r="M83" s="1">
        <f t="shared" si="25"/>
        <v>231461.96019843974</v>
      </c>
      <c r="N83">
        <f t="shared" si="26"/>
        <v>481.10493678452286</v>
      </c>
      <c r="O83" s="14">
        <f t="shared" si="27"/>
        <v>0.12002212252397665</v>
      </c>
      <c r="P83" s="14"/>
      <c r="Q83" s="101"/>
      <c r="R83">
        <v>2019</v>
      </c>
      <c r="S83" s="1">
        <f t="shared" si="28"/>
        <v>1261.1232986445648</v>
      </c>
      <c r="T83" s="102">
        <f t="shared" si="29"/>
        <v>0.22016722705281155</v>
      </c>
      <c r="U83" s="1">
        <f t="shared" si="30"/>
        <v>169.24313984614315</v>
      </c>
      <c r="V83" s="102">
        <f t="shared" si="31"/>
        <v>0.38419350281069781</v>
      </c>
      <c r="W83" s="1">
        <f t="shared" si="32"/>
        <v>663.38725270685723</v>
      </c>
      <c r="X83" s="102">
        <f t="shared" si="33"/>
        <v>0.23287583499070078</v>
      </c>
      <c r="Y83" s="1">
        <f t="shared" si="34"/>
        <v>1768.1197355614568</v>
      </c>
      <c r="Z83" s="102">
        <f t="shared" si="35"/>
        <v>0.20051870973002994</v>
      </c>
      <c r="AA83" s="1">
        <f t="shared" si="36"/>
        <v>146.59540104739534</v>
      </c>
      <c r="AB83" s="102">
        <f t="shared" si="37"/>
        <v>0.16350769653416011</v>
      </c>
      <c r="AC83" s="2">
        <f t="shared" si="38"/>
        <v>4008.4688278064173</v>
      </c>
      <c r="AD83" s="102">
        <f t="shared" si="39"/>
        <v>0.12002212252397665</v>
      </c>
    </row>
    <row r="84" spans="1:30" x14ac:dyDescent="0.3">
      <c r="A84">
        <v>2020</v>
      </c>
      <c r="B84" s="1">
        <f>'YE harvest'!Y25</f>
        <v>817.02697354395707</v>
      </c>
      <c r="C84" s="1">
        <f>'YE harvest'!Z25</f>
        <v>11851.168054058344</v>
      </c>
      <c r="D84" s="1">
        <f>'YE harvest'!Y125</f>
        <v>55.207010747610298</v>
      </c>
      <c r="E84" s="1">
        <f>'YE harvest'!Z125</f>
        <v>60.210690811681175</v>
      </c>
      <c r="F84" s="1">
        <f>'YE harvest'!Y175</f>
        <v>628.92367293109135</v>
      </c>
      <c r="G84" s="1">
        <f>'YE harvest'!Z175</f>
        <v>35066.125381410791</v>
      </c>
      <c r="H84" s="1">
        <f>'YE harvest'!Y50</f>
        <v>575.26387719406046</v>
      </c>
      <c r="I84" s="1">
        <f>'YE harvest'!Z50</f>
        <v>4538.2389814120979</v>
      </c>
      <c r="J84" s="6">
        <f>'YE harvest'!Y75</f>
        <v>52.736870167442206</v>
      </c>
      <c r="K84" s="6">
        <f>'YE harvest'!Z75</f>
        <v>19.117195387655592</v>
      </c>
      <c r="L84" s="2">
        <f t="shared" ref="L84:L85" si="40">J84+H84+F84+D84+B84</f>
        <v>2129.1584045841614</v>
      </c>
      <c r="M84" s="1">
        <f t="shared" ref="M84:M85" si="41">SUM(E84,G84,I84,K84,C84)</f>
        <v>51534.860303080568</v>
      </c>
      <c r="N84">
        <f t="shared" ref="N84:N85" si="42">SQRT(M84)</f>
        <v>227.01290778958048</v>
      </c>
      <c r="O84" s="14">
        <f t="shared" ref="O84:O85" si="43">N84/L84</f>
        <v>0.10662095751110523</v>
      </c>
      <c r="P84" s="14"/>
      <c r="Q84" s="101"/>
      <c r="R84">
        <v>2020</v>
      </c>
      <c r="S84" s="1">
        <f t="shared" si="28"/>
        <v>817.02697354395707</v>
      </c>
      <c r="T84" s="102">
        <f t="shared" si="29"/>
        <v>0.13324293288745864</v>
      </c>
      <c r="U84" s="1">
        <f t="shared" si="30"/>
        <v>55.207010747610298</v>
      </c>
      <c r="V84" s="102">
        <f t="shared" si="31"/>
        <v>0.14055379384774574</v>
      </c>
      <c r="W84" s="1">
        <f t="shared" si="32"/>
        <v>628.92367293109135</v>
      </c>
      <c r="X84" s="102">
        <f t="shared" si="33"/>
        <v>0.2977460088084129</v>
      </c>
      <c r="Y84" s="1">
        <f t="shared" si="34"/>
        <v>575.26387719406046</v>
      </c>
      <c r="Z84" s="102">
        <f t="shared" si="35"/>
        <v>0.11710530698768304</v>
      </c>
      <c r="AA84" s="1">
        <f t="shared" si="36"/>
        <v>52.736870167442206</v>
      </c>
      <c r="AB84" s="102">
        <f t="shared" si="37"/>
        <v>8.29082479907228E-2</v>
      </c>
      <c r="AC84" s="2">
        <f t="shared" si="38"/>
        <v>2129.1584045841614</v>
      </c>
      <c r="AD84" s="102">
        <f t="shared" si="39"/>
        <v>0.10662095751110523</v>
      </c>
    </row>
    <row r="85" spans="1:30" x14ac:dyDescent="0.3">
      <c r="A85">
        <v>2021</v>
      </c>
      <c r="B85" s="1">
        <f>'YE harvest'!Y26</f>
        <v>984.53341510599842</v>
      </c>
      <c r="C85" s="1">
        <f>'YE harvest'!Z26</f>
        <v>7018.818356200336</v>
      </c>
      <c r="D85" s="1">
        <f>'YE harvest'!Y126</f>
        <v>180.25314710128936</v>
      </c>
      <c r="E85" s="1">
        <f>'YE harvest'!Z126</f>
        <v>134.13852823050604</v>
      </c>
      <c r="F85" s="1">
        <f>'YE harvest'!Y176</f>
        <v>454.93503492756952</v>
      </c>
      <c r="G85" s="1">
        <f>'YE harvest'!Z176</f>
        <v>1279.744755385082</v>
      </c>
      <c r="H85" s="1">
        <f>'YE harvest'!Y51</f>
        <v>944.16196864297046</v>
      </c>
      <c r="I85" s="1">
        <f>'YE harvest'!Z51</f>
        <v>8717.9086965419283</v>
      </c>
      <c r="J85" s="6">
        <f>'YE harvest'!Y76</f>
        <v>191.58704060848393</v>
      </c>
      <c r="K85" s="6">
        <f>'YE harvest'!Z76</f>
        <v>283.32785876530596</v>
      </c>
      <c r="L85" s="2">
        <f t="shared" si="40"/>
        <v>2755.4706063863118</v>
      </c>
      <c r="M85" s="1">
        <f t="shared" si="41"/>
        <v>17433.938195123155</v>
      </c>
      <c r="N85">
        <f t="shared" si="42"/>
        <v>132.03763931214144</v>
      </c>
      <c r="O85" s="14">
        <f t="shared" si="43"/>
        <v>4.7918362477218895E-2</v>
      </c>
      <c r="P85" s="14"/>
      <c r="Q85" s="101"/>
      <c r="R85">
        <v>2021</v>
      </c>
      <c r="S85" s="1">
        <f t="shared" si="28"/>
        <v>984.53341510599842</v>
      </c>
      <c r="T85" s="102">
        <f t="shared" si="29"/>
        <v>8.5094509820154943E-2</v>
      </c>
      <c r="U85" s="1">
        <f t="shared" si="30"/>
        <v>180.25314710128936</v>
      </c>
      <c r="V85" s="102">
        <f t="shared" si="31"/>
        <v>6.4253074365871202E-2</v>
      </c>
      <c r="W85" s="1">
        <f t="shared" si="32"/>
        <v>454.93503492756952</v>
      </c>
      <c r="X85" s="102">
        <f t="shared" si="33"/>
        <v>7.8634349003053952E-2</v>
      </c>
      <c r="Y85" s="1">
        <f t="shared" si="34"/>
        <v>944.16196864297046</v>
      </c>
      <c r="Z85" s="102">
        <f t="shared" si="35"/>
        <v>9.8891657331251909E-2</v>
      </c>
      <c r="AA85" s="1">
        <f t="shared" si="36"/>
        <v>191.58704060848393</v>
      </c>
      <c r="AB85" s="102">
        <f t="shared" si="37"/>
        <v>8.7857433140862001E-2</v>
      </c>
      <c r="AC85" s="2">
        <f t="shared" si="38"/>
        <v>2755.4706063863118</v>
      </c>
      <c r="AD85" s="102">
        <f t="shared" si="39"/>
        <v>4.7918362477218895E-2</v>
      </c>
    </row>
    <row r="86" spans="1:30" x14ac:dyDescent="0.3">
      <c r="A86">
        <v>2022</v>
      </c>
      <c r="B86" s="1">
        <f>'YE harvest'!Y27</f>
        <v>1106.6017212971951</v>
      </c>
      <c r="C86" s="1">
        <f>'YE harvest'!Z27</f>
        <v>46795.2632029534</v>
      </c>
      <c r="D86" s="1">
        <f>'YE harvest'!Y127</f>
        <v>122.637741155461</v>
      </c>
      <c r="E86" s="1">
        <f>'YE harvest'!Z127</f>
        <v>316.77192571031753</v>
      </c>
      <c r="F86" s="1">
        <f>'YE harvest'!Y177</f>
        <v>424.7517290836642</v>
      </c>
      <c r="G86" s="1">
        <f>'YE harvest'!Z177</f>
        <v>2454.1057179090503</v>
      </c>
      <c r="H86" s="1">
        <f>'YE harvest'!Y52</f>
        <v>1766.4266900930984</v>
      </c>
      <c r="I86" s="1">
        <f>'YE harvest'!Z52</f>
        <v>133049.91093913611</v>
      </c>
      <c r="J86" s="6">
        <f>'YE harvest'!Y77</f>
        <v>248.90228212663393</v>
      </c>
      <c r="K86" s="6">
        <f>'YE harvest'!Z77</f>
        <v>1094.930951462379</v>
      </c>
      <c r="L86" s="2">
        <f t="shared" ref="L86" si="44">J86+H86+F86+D86+B86</f>
        <v>3669.3201637560524</v>
      </c>
      <c r="M86" s="1">
        <f t="shared" ref="M86" si="45">SUM(E86,G86,I86,K86,C86)</f>
        <v>183710.98273717129</v>
      </c>
      <c r="N86">
        <f t="shared" ref="N86" si="46">SQRT(M86)</f>
        <v>428.61519191131254</v>
      </c>
      <c r="O86" s="14">
        <f t="shared" ref="O86" si="47">N86/L86</f>
        <v>0.11681051878355747</v>
      </c>
      <c r="P86" s="14"/>
      <c r="Q86" s="101"/>
      <c r="R86">
        <v>2022</v>
      </c>
      <c r="S86" s="1">
        <f t="shared" si="28"/>
        <v>1106.6017212971951</v>
      </c>
      <c r="T86" s="102">
        <f t="shared" si="29"/>
        <v>0.19548327475144248</v>
      </c>
      <c r="U86" s="1">
        <f t="shared" si="30"/>
        <v>122.637741155461</v>
      </c>
      <c r="V86" s="102">
        <f t="shared" si="31"/>
        <v>0.14512732810014911</v>
      </c>
      <c r="W86" s="1">
        <f t="shared" si="32"/>
        <v>424.7517290836642</v>
      </c>
      <c r="X86" s="102">
        <f t="shared" si="33"/>
        <v>0.11663032294849854</v>
      </c>
      <c r="Y86" s="1">
        <f t="shared" si="34"/>
        <v>1766.4266900930984</v>
      </c>
      <c r="Z86" s="102">
        <f t="shared" si="35"/>
        <v>0.20649601546507082</v>
      </c>
      <c r="AA86" s="1">
        <f t="shared" si="36"/>
        <v>248.90228212663393</v>
      </c>
      <c r="AB86" s="102">
        <f t="shared" si="37"/>
        <v>0.13294269781951101</v>
      </c>
      <c r="AC86" s="2">
        <f t="shared" si="38"/>
        <v>3669.3201637560524</v>
      </c>
      <c r="AD86" s="102">
        <f t="shared" si="39"/>
        <v>0.11681051878355747</v>
      </c>
    </row>
  </sheetData>
  <mergeCells count="32">
    <mergeCell ref="L31:O31"/>
    <mergeCell ref="L60:O60"/>
    <mergeCell ref="B60:C60"/>
    <mergeCell ref="D60:E60"/>
    <mergeCell ref="F60:G60"/>
    <mergeCell ref="H60:I60"/>
    <mergeCell ref="J60:K60"/>
    <mergeCell ref="A1:J1"/>
    <mergeCell ref="A30:J30"/>
    <mergeCell ref="A59:J59"/>
    <mergeCell ref="B2:C2"/>
    <mergeCell ref="D2:E2"/>
    <mergeCell ref="F2:G2"/>
    <mergeCell ref="H2:I2"/>
    <mergeCell ref="J2:K2"/>
    <mergeCell ref="B31:C31"/>
    <mergeCell ref="D31:E31"/>
    <mergeCell ref="F31:G31"/>
    <mergeCell ref="H31:I31"/>
    <mergeCell ref="J31:K31"/>
    <mergeCell ref="AC31:AD31"/>
    <mergeCell ref="S60:T60"/>
    <mergeCell ref="U60:V60"/>
    <mergeCell ref="W60:X60"/>
    <mergeCell ref="Y60:Z60"/>
    <mergeCell ref="AA60:AB60"/>
    <mergeCell ref="AC60:AD60"/>
    <mergeCell ref="S31:T31"/>
    <mergeCell ref="U31:V31"/>
    <mergeCell ref="W31:X31"/>
    <mergeCell ref="Y31:Z31"/>
    <mergeCell ref="AA31:AB31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C38E6-4FC4-451D-A1EF-55FC29FFCC3A}">
  <sheetPr>
    <tabColor rgb="FFFF0000"/>
  </sheetPr>
  <dimension ref="A1:Z85"/>
  <sheetViews>
    <sheetView topLeftCell="C54" workbookViewId="0">
      <selection activeCell="Q61" sqref="Q61:Z85"/>
    </sheetView>
  </sheetViews>
  <sheetFormatPr defaultRowHeight="14.4" x14ac:dyDescent="0.3"/>
  <cols>
    <col min="2" max="2" width="9.5546875" bestFit="1" customWidth="1"/>
    <col min="3" max="3" width="10.5546875" bestFit="1" customWidth="1"/>
    <col min="5" max="5" width="11" bestFit="1" customWidth="1"/>
    <col min="7" max="7" width="12" bestFit="1" customWidth="1"/>
    <col min="9" max="9" width="10.5546875" bestFit="1" customWidth="1"/>
    <col min="11" max="11" width="13.5546875" bestFit="1" customWidth="1"/>
    <col min="12" max="14" width="9.88671875" customWidth="1"/>
    <col min="15" max="15" width="9.109375" style="99"/>
    <col min="16" max="25" width="9.88671875" customWidth="1"/>
  </cols>
  <sheetData>
    <row r="1" spans="1:15" ht="21" x14ac:dyDescent="0.4">
      <c r="A1" s="109" t="s">
        <v>94</v>
      </c>
      <c r="B1" s="109"/>
      <c r="C1" s="109"/>
      <c r="D1" s="109"/>
      <c r="E1" s="109"/>
      <c r="F1" s="109"/>
      <c r="G1" s="109"/>
      <c r="H1" s="109"/>
      <c r="I1" s="9"/>
      <c r="O1" s="98" t="s">
        <v>174</v>
      </c>
    </row>
    <row r="2" spans="1:15" x14ac:dyDescent="0.3">
      <c r="A2" t="s">
        <v>34</v>
      </c>
      <c r="B2" s="109" t="s">
        <v>47</v>
      </c>
      <c r="C2" s="109"/>
      <c r="D2" s="109" t="s">
        <v>49</v>
      </c>
      <c r="E2" s="109"/>
      <c r="F2" s="109" t="s">
        <v>51</v>
      </c>
      <c r="G2" s="109"/>
      <c r="H2" s="109" t="s">
        <v>52</v>
      </c>
      <c r="I2" s="109"/>
    </row>
    <row r="3" spans="1:15" x14ac:dyDescent="0.3">
      <c r="B3" s="9" t="s">
        <v>138</v>
      </c>
      <c r="C3" s="9" t="s">
        <v>139</v>
      </c>
      <c r="D3" s="9" t="s">
        <v>138</v>
      </c>
      <c r="E3" s="9" t="s">
        <v>139</v>
      </c>
      <c r="F3" s="9" t="s">
        <v>138</v>
      </c>
      <c r="G3" s="9" t="s">
        <v>139</v>
      </c>
      <c r="H3" s="9" t="s">
        <v>138</v>
      </c>
      <c r="I3" s="9" t="s">
        <v>139</v>
      </c>
    </row>
    <row r="4" spans="1:15" x14ac:dyDescent="0.3">
      <c r="A4">
        <v>1998</v>
      </c>
      <c r="B4" s="1">
        <f>'rockfish harvests'!K77</f>
        <v>1686.4758951640881</v>
      </c>
      <c r="C4" s="1">
        <f>'rockfish harvests'!L77</f>
        <v>44240.136597187789</v>
      </c>
      <c r="D4" s="1">
        <f>'rockfish harvests'!K127</f>
        <v>7725.220955913016</v>
      </c>
      <c r="E4" s="1">
        <f>'rockfish harvests'!L127</f>
        <v>380846.86521831615</v>
      </c>
      <c r="F4" s="1">
        <f>'rockfish harvests'!K177</f>
        <v>13589.355080614794</v>
      </c>
      <c r="G4" s="1">
        <f>'rockfish harvests'!L177</f>
        <v>8755809.3695013113</v>
      </c>
      <c r="H4" s="1">
        <f>'rockfish harvests'!K202</f>
        <v>8562.2039985303945</v>
      </c>
      <c r="I4" s="1">
        <f>'rockfish harvests'!L202</f>
        <v>494154.9077878145</v>
      </c>
    </row>
    <row r="5" spans="1:15" x14ac:dyDescent="0.3">
      <c r="A5">
        <v>1999</v>
      </c>
      <c r="B5" s="1">
        <f>'rockfish harvests'!K78</f>
        <v>1545.6534612620567</v>
      </c>
      <c r="C5" s="1">
        <f>'rockfish harvests'!L78</f>
        <v>37160.4054962316</v>
      </c>
      <c r="D5" s="1">
        <f>'rockfish harvests'!K128</f>
        <v>13863.251999816044</v>
      </c>
      <c r="E5" s="1">
        <f>'rockfish harvests'!L128</f>
        <v>1226475.2843498222</v>
      </c>
      <c r="F5" s="1">
        <f>'rockfish harvests'!K178</f>
        <v>16054.003882202349</v>
      </c>
      <c r="G5" s="1">
        <f>'rockfish harvests'!L178</f>
        <v>12219834.714956973</v>
      </c>
      <c r="H5" s="1">
        <f>'rockfish harvests'!K203</f>
        <v>5547.1393554151227</v>
      </c>
      <c r="I5" s="1">
        <f>'rockfish harvests'!L203</f>
        <v>207410.20653889881</v>
      </c>
    </row>
    <row r="6" spans="1:15" x14ac:dyDescent="0.3">
      <c r="A6">
        <v>2000</v>
      </c>
      <c r="B6" s="1">
        <f>'rockfish harvests'!K79</f>
        <v>2375.318162202941</v>
      </c>
      <c r="C6" s="1">
        <f>'rockfish harvests'!L79</f>
        <v>87760.635979344952</v>
      </c>
      <c r="D6" s="1">
        <f>'rockfish harvests'!K129</f>
        <v>19588.793010089361</v>
      </c>
      <c r="E6" s="1">
        <f>'rockfish harvests'!L129</f>
        <v>2448747.0158551079</v>
      </c>
      <c r="F6" s="1">
        <f>'rockfish harvests'!K179</f>
        <v>21378.072072644733</v>
      </c>
      <c r="G6" s="1">
        <f>'rockfish harvests'!L179</f>
        <v>21668840.765019432</v>
      </c>
      <c r="H6" s="1">
        <f>'rockfish harvests'!K204</f>
        <v>11161.897301144405</v>
      </c>
      <c r="I6" s="1">
        <f>'rockfish harvests'!L204</f>
        <v>839784.81191828009</v>
      </c>
    </row>
    <row r="7" spans="1:15" x14ac:dyDescent="0.3">
      <c r="A7">
        <v>2001</v>
      </c>
      <c r="B7" s="1">
        <f>'rockfish harvests'!K80</f>
        <v>1294.5483984006028</v>
      </c>
      <c r="C7" s="1">
        <f>'rockfish harvests'!L80</f>
        <v>26067.102901764931</v>
      </c>
      <c r="D7" s="1">
        <f>'rockfish harvests'!K130</f>
        <v>31246.120047450848</v>
      </c>
      <c r="E7" s="1">
        <f>'rockfish harvests'!L130</f>
        <v>6230469.2850139625</v>
      </c>
      <c r="F7" s="1">
        <f>'rockfish harvests'!K180</f>
        <v>25023.476144256918</v>
      </c>
      <c r="G7" s="1">
        <f>'rockfish harvests'!L180</f>
        <v>29688884.747428846</v>
      </c>
      <c r="H7" s="1">
        <f>'rockfish harvests'!K205</f>
        <v>13565.979681778168</v>
      </c>
      <c r="I7" s="1">
        <f>'rockfish harvests'!L205</f>
        <v>1240492.9366742759</v>
      </c>
    </row>
    <row r="8" spans="1:15" x14ac:dyDescent="0.3">
      <c r="A8">
        <v>2002</v>
      </c>
      <c r="B8" s="1">
        <f>'rockfish harvests'!K81</f>
        <v>4034.6475640847098</v>
      </c>
      <c r="C8" s="1">
        <f>'rockfish harvests'!L81</f>
        <v>253202.15113746023</v>
      </c>
      <c r="D8" s="1">
        <f>'rockfish harvests'!K131</f>
        <v>25882.255081157207</v>
      </c>
      <c r="E8" s="1">
        <f>'rockfish harvests'!L131</f>
        <v>4274967.2451758217</v>
      </c>
      <c r="F8" s="1">
        <f>'rockfish harvests'!K181</f>
        <v>26310.926167597027</v>
      </c>
      <c r="G8" s="1">
        <f>'rockfish harvests'!L181</f>
        <v>32822440.987651471</v>
      </c>
      <c r="H8" s="1">
        <f>'rockfish harvests'!K206</f>
        <v>10889.007990233691</v>
      </c>
      <c r="I8" s="1">
        <f>'rockfish harvests'!L206</f>
        <v>799224.16063675296</v>
      </c>
    </row>
    <row r="9" spans="1:15" x14ac:dyDescent="0.3">
      <c r="A9">
        <v>2003</v>
      </c>
      <c r="B9" s="1">
        <f>'rockfish harvests'!K82</f>
        <v>7843.6399027601401</v>
      </c>
      <c r="C9" s="1">
        <f>'rockfish harvests'!L82</f>
        <v>956954.91493500082</v>
      </c>
      <c r="D9" s="1">
        <f>'rockfish harvests'!K132</f>
        <v>25436.885407165704</v>
      </c>
      <c r="E9" s="1">
        <f>'rockfish harvests'!L132</f>
        <v>4129109.8070434225</v>
      </c>
      <c r="F9" s="1">
        <f>'rockfish harvests'!K182</f>
        <v>42436.059885343027</v>
      </c>
      <c r="G9" s="1">
        <f>'rockfish harvests'!L182</f>
        <v>85382469.486194402</v>
      </c>
      <c r="H9" s="1">
        <f>'rockfish harvests'!K207</f>
        <v>11707.675922965831</v>
      </c>
      <c r="I9" s="1">
        <f>'rockfish harvests'!L207</f>
        <v>923917.84611739591</v>
      </c>
    </row>
    <row r="10" spans="1:15" x14ac:dyDescent="0.3">
      <c r="A10">
        <v>2004</v>
      </c>
      <c r="B10" s="1">
        <f>'rockfish harvests'!K83</f>
        <v>8035.3620115665199</v>
      </c>
      <c r="C10" s="1">
        <f>'rockfish harvests'!L83</f>
        <v>1004308.3600935558</v>
      </c>
      <c r="D10" s="1">
        <f>'rockfish harvests'!K133</f>
        <v>29044.67867231835</v>
      </c>
      <c r="E10" s="1">
        <f>'rockfish harvests'!L133</f>
        <v>5383462.8158731172</v>
      </c>
      <c r="F10" s="1">
        <f>'rockfish harvests'!K183</f>
        <v>36667.430222752817</v>
      </c>
      <c r="G10" s="1">
        <f>'rockfish harvests'!L183</f>
        <v>63746970.869564563</v>
      </c>
      <c r="H10" s="1">
        <f>'rockfish harvests'!K208</f>
        <v>14750.512487102991</v>
      </c>
      <c r="I10" s="1">
        <f>'rockfish harvests'!L208</f>
        <v>1466581.4594766509</v>
      </c>
    </row>
    <row r="11" spans="1:15" x14ac:dyDescent="0.3">
      <c r="A11">
        <v>2005</v>
      </c>
      <c r="B11" s="1">
        <f>'rockfish harvests'!K84</f>
        <v>6133.4108259740224</v>
      </c>
      <c r="C11" s="1">
        <f>'rockfish harvests'!L84</f>
        <v>585140.68220468122</v>
      </c>
      <c r="D11" s="1">
        <f>'rockfish harvests'!K134</f>
        <v>34063.307414813207</v>
      </c>
      <c r="E11" s="1">
        <f>'rockfish harvests'!L134</f>
        <v>7404610.0706118569</v>
      </c>
      <c r="F11" s="1">
        <f>'rockfish harvests'!K184</f>
        <v>38872.455124606044</v>
      </c>
      <c r="G11" s="1">
        <f>'rockfish harvests'!L184</f>
        <v>71644448.857817397</v>
      </c>
      <c r="H11" s="1">
        <f>'rockfish harvests'!K209</f>
        <v>11669.036728500598</v>
      </c>
      <c r="I11" s="1">
        <f>'rockfish harvests'!L209</f>
        <v>917829.44196419709</v>
      </c>
    </row>
    <row r="12" spans="1:15" x14ac:dyDescent="0.3">
      <c r="A12">
        <v>2006</v>
      </c>
      <c r="B12" s="1">
        <f>'rockfish harvests'!K85</f>
        <v>4178.8633096470312</v>
      </c>
      <c r="C12" s="1">
        <f>'rockfish harvests'!L85</f>
        <v>271626.73547213408</v>
      </c>
      <c r="D12" s="1">
        <f>'rockfish harvests'!K135</f>
        <v>29887.593088866026</v>
      </c>
      <c r="E12" s="1">
        <f>'rockfish harvests'!L135</f>
        <v>5700467.1719220383</v>
      </c>
      <c r="F12" s="1">
        <f>'rockfish harvests'!K185</f>
        <v>26951.094687489898</v>
      </c>
      <c r="G12" s="1">
        <f>'rockfish harvests'!L185</f>
        <v>34439070.708155498</v>
      </c>
      <c r="H12" s="1">
        <f>'rockfish harvests'!K210</f>
        <v>11023.037696034971</v>
      </c>
      <c r="I12" s="1">
        <f>'rockfish harvests'!L210</f>
        <v>819020.09295315738</v>
      </c>
    </row>
    <row r="13" spans="1:15" x14ac:dyDescent="0.3">
      <c r="A13">
        <v>2007</v>
      </c>
      <c r="B13" s="1">
        <f>'rockfish harvests'!K86</f>
        <v>4341.7422693409471</v>
      </c>
      <c r="C13" s="1">
        <f>'rockfish harvests'!L86</f>
        <v>293213.70268298819</v>
      </c>
      <c r="D13" s="1">
        <f>'rockfish harvests'!K136</f>
        <v>35660.959030574668</v>
      </c>
      <c r="E13" s="1">
        <f>'rockfish harvests'!L136</f>
        <v>8115487.2982604261</v>
      </c>
      <c r="F13" s="1">
        <f>'rockfish harvests'!K186</f>
        <v>44114.724004173229</v>
      </c>
      <c r="G13" s="1">
        <f>'rockfish harvests'!L186</f>
        <v>92271108.350786552</v>
      </c>
      <c r="H13" s="1">
        <f>'rockfish harvests'!K211</f>
        <v>14728.777940216298</v>
      </c>
      <c r="I13" s="1">
        <f>'rockfish harvests'!L211</f>
        <v>1462262.6943327789</v>
      </c>
    </row>
    <row r="14" spans="1:15" x14ac:dyDescent="0.3">
      <c r="A14">
        <v>2008</v>
      </c>
      <c r="B14" s="1">
        <f>'rockfish harvests'!K87</f>
        <v>3669.8665606035438</v>
      </c>
      <c r="C14" s="1">
        <f>'rockfish harvests'!L87</f>
        <v>209486.83209859589</v>
      </c>
      <c r="D14" s="1">
        <f>'rockfish harvests'!K137</f>
        <v>38253.967031833927</v>
      </c>
      <c r="E14" s="1">
        <f>'rockfish harvests'!L137</f>
        <v>9338594.6288435515</v>
      </c>
      <c r="F14" s="1">
        <f>'rockfish harvests'!K187</f>
        <v>33864.914702332913</v>
      </c>
      <c r="G14" s="1">
        <f>'rockfish harvests'!L187</f>
        <v>54374913.17494791</v>
      </c>
      <c r="H14" s="1">
        <f>'rockfish harvests'!K212</f>
        <v>16164.46550956514</v>
      </c>
      <c r="I14" s="1">
        <f>'rockfish harvests'!L212</f>
        <v>1761224.3005580062</v>
      </c>
    </row>
    <row r="15" spans="1:15" x14ac:dyDescent="0.3">
      <c r="A15">
        <v>2009</v>
      </c>
      <c r="B15" s="1">
        <f>'rockfish harvests'!K88</f>
        <v>4950.841712362987</v>
      </c>
      <c r="C15" s="1">
        <f>'rockfish harvests'!L88</f>
        <v>381253.87419826118</v>
      </c>
      <c r="D15" s="1">
        <f>'rockfish harvests'!K138</f>
        <v>32743.638213019593</v>
      </c>
      <c r="E15" s="1">
        <f>'rockfish harvests'!L138</f>
        <v>6841989.9451254793</v>
      </c>
      <c r="F15" s="1">
        <f>'rockfish harvests'!K188</f>
        <v>29152.563097565941</v>
      </c>
      <c r="G15" s="1">
        <f>'rockfish harvests'!L188</f>
        <v>40295086.4991799</v>
      </c>
      <c r="H15" s="1">
        <f>'rockfish harvests'!K213</f>
        <v>16571.384526277132</v>
      </c>
      <c r="I15" s="1">
        <f>'rockfish harvests'!L213</f>
        <v>1851013.392635928</v>
      </c>
    </row>
    <row r="16" spans="1:15" x14ac:dyDescent="0.3">
      <c r="A16">
        <v>2010</v>
      </c>
      <c r="B16" s="1">
        <f>'rockfish harvests'!K89</f>
        <v>7502.6120809010035</v>
      </c>
      <c r="C16" s="1">
        <f>'rockfish harvests'!L89</f>
        <v>875550.43256812927</v>
      </c>
      <c r="D16" s="1">
        <f>'rockfish harvests'!K139</f>
        <v>40392.638184457552</v>
      </c>
      <c r="E16" s="1">
        <f>'rockfish harvests'!L139</f>
        <v>10411972.30311189</v>
      </c>
      <c r="F16" s="1">
        <f>'rockfish harvests'!K189</f>
        <v>42354.260574467829</v>
      </c>
      <c r="G16" s="1">
        <f>'rockfish harvests'!L189</f>
        <v>85053622.000279784</v>
      </c>
      <c r="H16" s="1">
        <f>'rockfish harvests'!K214</f>
        <v>15743.056794928683</v>
      </c>
      <c r="I16" s="1">
        <f>'rockfish harvests'!L214</f>
        <v>1670590.8394394808</v>
      </c>
    </row>
    <row r="17" spans="1:26" x14ac:dyDescent="0.3">
      <c r="A17">
        <v>2011</v>
      </c>
      <c r="B17" s="1">
        <f>'rockfish harvests'!K90</f>
        <v>5241.2886731391591</v>
      </c>
      <c r="C17" s="1">
        <f>'rockfish harvests'!L90</f>
        <v>347241.00971171423</v>
      </c>
      <c r="D17" s="1">
        <f>'rockfish harvests'!K140</f>
        <v>52204.405010282295</v>
      </c>
      <c r="E17" s="1">
        <f>'rockfish harvests'!L140</f>
        <v>8183614.275682712</v>
      </c>
      <c r="F17" s="1">
        <f>'rockfish harvests'!K190</f>
        <v>69966.987281399051</v>
      </c>
      <c r="G17" s="1">
        <f>'rockfish harvests'!L190</f>
        <v>100066036.13433234</v>
      </c>
      <c r="H17" s="1">
        <f>'rockfish harvests'!K215</f>
        <v>19283.2731282159</v>
      </c>
      <c r="I17" s="1">
        <f>'rockfish harvests'!L215</f>
        <v>1342172.6209808656</v>
      </c>
    </row>
    <row r="18" spans="1:26" x14ac:dyDescent="0.3">
      <c r="A18">
        <v>2012</v>
      </c>
      <c r="B18" s="1">
        <f>'rockfish harvests'!K91</f>
        <v>10016.941208053691</v>
      </c>
      <c r="C18" s="1">
        <f>'rockfish harvests'!L91</f>
        <v>1729256.1604569755</v>
      </c>
      <c r="D18" s="1">
        <f>'rockfish harvests'!K141</f>
        <v>41019.802237331009</v>
      </c>
      <c r="E18" s="1">
        <f>'rockfish harvests'!L141</f>
        <v>2524598.6215632036</v>
      </c>
      <c r="F18" s="1">
        <f>'rockfish harvests'!K191</f>
        <v>44697.154090427939</v>
      </c>
      <c r="G18" s="1">
        <f>'rockfish harvests'!L191</f>
        <v>29413124.019685954</v>
      </c>
      <c r="H18" s="1">
        <f>'rockfish harvests'!K216</f>
        <v>18570.043180260451</v>
      </c>
      <c r="I18" s="1">
        <f>'rockfish harvests'!L216</f>
        <v>375586.44375818601</v>
      </c>
    </row>
    <row r="19" spans="1:26" x14ac:dyDescent="0.3">
      <c r="A19">
        <v>2013</v>
      </c>
      <c r="B19" s="1">
        <f>'rockfish harvests'!K92</f>
        <v>8290.4354718850645</v>
      </c>
      <c r="C19" s="1">
        <f>'rockfish harvests'!L92</f>
        <v>863231.70507392555</v>
      </c>
      <c r="D19" s="1">
        <f>'rockfish harvests'!K142</f>
        <v>47715.239835728957</v>
      </c>
      <c r="E19" s="1">
        <f>'rockfish harvests'!L142</f>
        <v>3987660.0085104108</v>
      </c>
      <c r="F19" s="1">
        <f>'rockfish harvests'!K192</f>
        <v>60456.943133398883</v>
      </c>
      <c r="G19" s="1">
        <f>'rockfish harvests'!L192</f>
        <v>49601334.787597425</v>
      </c>
      <c r="H19" s="1">
        <f>'rockfish harvests'!K217</f>
        <v>26703.764504283965</v>
      </c>
      <c r="I19" s="1">
        <f>'rockfish harvests'!L217</f>
        <v>4343369.567205376</v>
      </c>
    </row>
    <row r="20" spans="1:26" x14ac:dyDescent="0.3">
      <c r="A20">
        <v>2014</v>
      </c>
      <c r="B20" s="1">
        <f>'rockfish harvests'!K93</f>
        <v>8175.6502099319532</v>
      </c>
      <c r="C20" s="1">
        <f>'rockfish harvests'!L93</f>
        <v>609818.57296968682</v>
      </c>
      <c r="D20" s="1">
        <f>'rockfish harvests'!K143</f>
        <v>58769.197040285006</v>
      </c>
      <c r="E20" s="1">
        <f>'rockfish harvests'!L143</f>
        <v>6732768.2681420343</v>
      </c>
      <c r="F20" s="1">
        <f>'rockfish harvests'!K193</f>
        <v>52866.469599823133</v>
      </c>
      <c r="G20" s="1">
        <f>'rockfish harvests'!L193</f>
        <v>47097436.38695576</v>
      </c>
      <c r="H20" s="1">
        <f>'rockfish harvests'!K218</f>
        <v>28665.725644832062</v>
      </c>
      <c r="I20" s="1">
        <f>'rockfish harvests'!L218</f>
        <v>3862984.9469756186</v>
      </c>
    </row>
    <row r="21" spans="1:26" x14ac:dyDescent="0.3">
      <c r="A21">
        <v>2015</v>
      </c>
      <c r="B21" s="1">
        <f>'rockfish harvests'!K94</f>
        <v>10323.375737407352</v>
      </c>
      <c r="C21" s="1">
        <f>'rockfish harvests'!L94</f>
        <v>811336.58070905623</v>
      </c>
      <c r="D21" s="1">
        <f>'rockfish harvests'!K144</f>
        <v>69974.13981323161</v>
      </c>
      <c r="E21" s="1">
        <f>'rockfish harvests'!L144</f>
        <v>7216831.4803412473</v>
      </c>
      <c r="F21" s="1">
        <f>'rockfish harvests'!K194</f>
        <v>72203.446754112942</v>
      </c>
      <c r="G21" s="1">
        <f>'rockfish harvests'!L194</f>
        <v>59819505.590102598</v>
      </c>
      <c r="H21" s="1">
        <f>'rockfish harvests'!K219</f>
        <v>27128.963774691143</v>
      </c>
      <c r="I21" s="1">
        <f>'rockfish harvests'!L219</f>
        <v>501421.42786728247</v>
      </c>
    </row>
    <row r="22" spans="1:26" x14ac:dyDescent="0.3">
      <c r="A22">
        <v>2016</v>
      </c>
      <c r="B22" s="1">
        <f>'rockfish harvests'!K95</f>
        <v>16446.030487166056</v>
      </c>
      <c r="C22" s="1">
        <f>'rockfish harvests'!L95</f>
        <v>1298638.7245062976</v>
      </c>
      <c r="D22" s="1">
        <f>'rockfish harvests'!K145</f>
        <v>78648.041703490948</v>
      </c>
      <c r="E22" s="1">
        <f>'rockfish harvests'!L145</f>
        <v>6461271.9983784193</v>
      </c>
      <c r="F22" s="1">
        <f>'rockfish harvests'!K195</f>
        <v>93718.548631333717</v>
      </c>
      <c r="G22" s="1">
        <f>'rockfish harvests'!L195</f>
        <v>114245520.83381788</v>
      </c>
      <c r="H22" s="1">
        <f>'rockfish harvests'!K220</f>
        <v>33077.736072598942</v>
      </c>
      <c r="I22" s="1">
        <f>'rockfish harvests'!L220</f>
        <v>690520.60458105023</v>
      </c>
    </row>
    <row r="23" spans="1:26" x14ac:dyDescent="0.3">
      <c r="A23">
        <v>2017</v>
      </c>
      <c r="B23" s="1">
        <f>'rockfish harvests'!K96</f>
        <v>11698.49026093348</v>
      </c>
      <c r="C23" s="1">
        <f>'rockfish harvests'!L96</f>
        <v>525119.78521776723</v>
      </c>
      <c r="D23" s="1">
        <f>'rockfish harvests'!K146</f>
        <v>53863.511532831981</v>
      </c>
      <c r="E23" s="1">
        <f>'rockfish harvests'!L146</f>
        <v>3824430.6766507281</v>
      </c>
      <c r="F23" s="1">
        <f>'rockfish harvests'!K196</f>
        <v>49815.774784613517</v>
      </c>
      <c r="G23" s="1">
        <f>'rockfish harvests'!L196</f>
        <v>29331655.3806163</v>
      </c>
      <c r="H23" s="1">
        <f>'rockfish harvests'!K221</f>
        <v>35955.862161643308</v>
      </c>
      <c r="I23" s="1">
        <f>'rockfish harvests'!L221</f>
        <v>5936209.9806912215</v>
      </c>
    </row>
    <row r="24" spans="1:26" x14ac:dyDescent="0.3">
      <c r="A24">
        <v>2018</v>
      </c>
      <c r="B24" s="1">
        <f>'rockfish harvests'!K97</f>
        <v>23038.600289296046</v>
      </c>
      <c r="C24" s="1">
        <f>'rockfish harvests'!L97</f>
        <v>5460886.0967642423</v>
      </c>
      <c r="D24" s="1">
        <f>'rockfish harvests'!K147</f>
        <v>68922.337515014005</v>
      </c>
      <c r="E24" s="1">
        <f>'rockfish harvests'!L147</f>
        <v>5909265.1225642972</v>
      </c>
      <c r="F24" s="1">
        <f>'rockfish harvests'!K197</f>
        <v>34346.009039310491</v>
      </c>
      <c r="G24" s="1">
        <f>'rockfish harvests'!L197</f>
        <v>18423976.825865198</v>
      </c>
      <c r="H24" s="1">
        <f>'rockfish harvests'!K222</f>
        <v>31869.744857420323</v>
      </c>
      <c r="I24" s="1">
        <f>'rockfish harvests'!L222</f>
        <v>2237274.0611776323</v>
      </c>
    </row>
    <row r="25" spans="1:26" x14ac:dyDescent="0.3">
      <c r="A25">
        <v>2019</v>
      </c>
      <c r="B25" s="1">
        <f>'rockfish harvests'!K98</f>
        <v>27626.493536535585</v>
      </c>
      <c r="C25" s="1">
        <f>'rockfish harvests'!L98</f>
        <v>7400162.779370754</v>
      </c>
      <c r="D25" s="1">
        <f>'rockfish harvests'!K148</f>
        <v>94829.472570734768</v>
      </c>
      <c r="E25" s="1">
        <f>'rockfish harvests'!L148</f>
        <v>14426596.252648354</v>
      </c>
      <c r="F25" s="1">
        <f>'rockfish harvests'!K198</f>
        <v>47084.722103820983</v>
      </c>
      <c r="G25" s="1">
        <f>'rockfish harvests'!L198</f>
        <v>26016565.548853625</v>
      </c>
      <c r="H25" s="1">
        <f>'rockfish harvests'!K223</f>
        <v>40677.352030319438</v>
      </c>
      <c r="I25" s="1">
        <f>'rockfish harvests'!L223</f>
        <v>5326815.9562128652</v>
      </c>
    </row>
    <row r="26" spans="1:26" x14ac:dyDescent="0.3">
      <c r="A26">
        <v>2020</v>
      </c>
      <c r="B26" s="1">
        <f>'rockfish harvests'!K99</f>
        <v>20124.813008130081</v>
      </c>
      <c r="C26" s="1">
        <f>'rockfish harvests'!L99</f>
        <v>6856537.925024569</v>
      </c>
      <c r="D26" s="1">
        <f>'rockfish harvests'!K149</f>
        <v>57769.767557261875</v>
      </c>
      <c r="E26" s="1">
        <f>'rockfish harvests'!L149</f>
        <v>3787465.8304927479</v>
      </c>
      <c r="F26" s="1">
        <f>'rockfish harvests'!K199</f>
        <v>27606.884326200114</v>
      </c>
      <c r="G26" s="1">
        <f>'rockfish harvests'!L199</f>
        <v>9865637.9851696268</v>
      </c>
      <c r="H26" s="1">
        <f>'rockfish harvests'!K224</f>
        <v>35825.101942397858</v>
      </c>
      <c r="I26" s="1">
        <f>'rockfish harvests'!L224</f>
        <v>3018032.5104616564</v>
      </c>
    </row>
    <row r="27" spans="1:26" x14ac:dyDescent="0.3">
      <c r="A27">
        <v>2021</v>
      </c>
      <c r="B27" s="1">
        <f>'rockfish harvests'!K100</f>
        <v>21394.269439133204</v>
      </c>
      <c r="C27" s="1">
        <f>'rockfish harvests'!L100</f>
        <v>3061133.8312190818</v>
      </c>
      <c r="D27" s="1">
        <f>'rockfish harvests'!K150</f>
        <v>107690.02548250904</v>
      </c>
      <c r="E27" s="1">
        <f>'rockfish harvests'!L150</f>
        <v>11012636.577756885</v>
      </c>
      <c r="F27" s="1">
        <f>'rockfish harvests'!K200</f>
        <v>43560.114727976325</v>
      </c>
      <c r="G27" s="1">
        <f>'rockfish harvests'!L200</f>
        <v>21799295.268585149</v>
      </c>
      <c r="H27" s="1">
        <f>'rockfish harvests'!K225</f>
        <v>46778.881695504591</v>
      </c>
      <c r="I27" s="1">
        <f>'rockfish harvests'!L225</f>
        <v>4846611.7748930994</v>
      </c>
    </row>
    <row r="29" spans="1:26" x14ac:dyDescent="0.3">
      <c r="A29" s="109" t="s">
        <v>95</v>
      </c>
      <c r="B29" s="109"/>
      <c r="C29" s="109"/>
      <c r="D29" s="109"/>
      <c r="E29" s="109"/>
      <c r="F29" s="109"/>
      <c r="G29" s="109"/>
      <c r="H29" s="109"/>
      <c r="I29" s="9"/>
    </row>
    <row r="30" spans="1:26" x14ac:dyDescent="0.3">
      <c r="A30" t="s">
        <v>34</v>
      </c>
      <c r="B30" s="109" t="s">
        <v>47</v>
      </c>
      <c r="C30" s="109"/>
      <c r="D30" s="109" t="s">
        <v>49</v>
      </c>
      <c r="E30" s="109"/>
      <c r="F30" s="109" t="s">
        <v>51</v>
      </c>
      <c r="G30" s="109"/>
      <c r="H30" s="109" t="s">
        <v>52</v>
      </c>
      <c r="I30" s="109"/>
      <c r="J30" s="109" t="s">
        <v>153</v>
      </c>
      <c r="K30" s="109"/>
      <c r="L30" s="109"/>
      <c r="M30" s="109"/>
      <c r="N30" s="9"/>
      <c r="O30" s="100"/>
      <c r="P30" t="s">
        <v>34</v>
      </c>
      <c r="Q30" s="109" t="s">
        <v>47</v>
      </c>
      <c r="R30" s="109"/>
      <c r="S30" s="109" t="s">
        <v>49</v>
      </c>
      <c r="T30" s="109"/>
      <c r="U30" s="109" t="s">
        <v>51</v>
      </c>
      <c r="V30" s="109"/>
      <c r="W30" s="109" t="s">
        <v>52</v>
      </c>
      <c r="X30" s="109"/>
      <c r="Y30" s="109" t="s">
        <v>153</v>
      </c>
      <c r="Z30" s="109"/>
    </row>
    <row r="31" spans="1:26" x14ac:dyDescent="0.3">
      <c r="B31" s="9" t="s">
        <v>138</v>
      </c>
      <c r="C31" s="9" t="s">
        <v>139</v>
      </c>
      <c r="D31" s="9" t="s">
        <v>138</v>
      </c>
      <c r="E31" s="9" t="s">
        <v>139</v>
      </c>
      <c r="F31" s="9" t="s">
        <v>138</v>
      </c>
      <c r="G31" s="9" t="s">
        <v>139</v>
      </c>
      <c r="H31" s="9" t="s">
        <v>138</v>
      </c>
      <c r="I31" s="9" t="s">
        <v>139</v>
      </c>
      <c r="J31" s="9" t="s">
        <v>138</v>
      </c>
      <c r="K31" s="9" t="s">
        <v>154</v>
      </c>
      <c r="L31" s="9" t="s">
        <v>155</v>
      </c>
      <c r="M31" s="9" t="s">
        <v>156</v>
      </c>
      <c r="N31" s="9"/>
      <c r="O31" s="100"/>
      <c r="Q31" s="9" t="s">
        <v>138</v>
      </c>
      <c r="R31" s="9" t="s">
        <v>175</v>
      </c>
      <c r="S31" s="9" t="s">
        <v>138</v>
      </c>
      <c r="T31" s="9" t="s">
        <v>175</v>
      </c>
      <c r="U31" s="9" t="s">
        <v>138</v>
      </c>
      <c r="V31" s="9" t="s">
        <v>175</v>
      </c>
      <c r="W31" s="9" t="s">
        <v>138</v>
      </c>
      <c r="X31" s="9" t="s">
        <v>175</v>
      </c>
      <c r="Y31" s="9" t="s">
        <v>138</v>
      </c>
      <c r="Z31" s="9" t="s">
        <v>175</v>
      </c>
    </row>
    <row r="32" spans="1:26" x14ac:dyDescent="0.3">
      <c r="A32">
        <v>1998</v>
      </c>
      <c r="B32" s="1">
        <f>'BRF harvest'!V78</f>
        <v>578.53455141688505</v>
      </c>
      <c r="C32" s="1">
        <f>'BRF harvest'!W78</f>
        <v>26430.638636161737</v>
      </c>
      <c r="D32" s="1">
        <f>'BRF harvest'!V128</f>
        <v>5466.6655263115563</v>
      </c>
      <c r="E32" s="1">
        <f>'BRF harvest'!W128</f>
        <v>251478.3067346341</v>
      </c>
      <c r="F32" s="1">
        <f>'BRF harvest'!V178</f>
        <v>5782.7947797130391</v>
      </c>
      <c r="G32" s="1">
        <f>'BRF harvest'!W178</f>
        <v>5414371.6195001323</v>
      </c>
      <c r="H32" s="1">
        <f>'BRF harvest'!V203</f>
        <v>6210.8484296374581</v>
      </c>
      <c r="I32" s="1">
        <f>'BRF harvest'!W203</f>
        <v>293082.68119013007</v>
      </c>
      <c r="J32" s="2">
        <f>H32+F32+D32+B32</f>
        <v>18038.843287078937</v>
      </c>
      <c r="K32" s="1">
        <f>SUM(C32,E32,G32,I32)</f>
        <v>5985363.2460610587</v>
      </c>
      <c r="L32">
        <f>SQRT(K32)</f>
        <v>2446.5002035685707</v>
      </c>
      <c r="M32" s="14">
        <f>L32/J32</f>
        <v>0.13562400674110722</v>
      </c>
      <c r="N32" s="14"/>
      <c r="O32" s="101"/>
      <c r="P32">
        <v>1998</v>
      </c>
      <c r="Q32" s="1">
        <f t="shared" ref="Q32:Q56" si="0">B32</f>
        <v>578.53455141688505</v>
      </c>
      <c r="R32" s="102">
        <f t="shared" ref="R32:R56" si="1">SQRT(C32)/Q32</f>
        <v>0.28101178095619983</v>
      </c>
      <c r="S32" s="1">
        <f t="shared" ref="S32:S56" si="2">D32</f>
        <v>5466.6655263115563</v>
      </c>
      <c r="T32" s="102">
        <f t="shared" ref="T32:T56" si="3">SQRT(E32)/S32</f>
        <v>9.1733457144534819E-2</v>
      </c>
      <c r="U32" s="1">
        <f t="shared" ref="U32:U56" si="4">F32</f>
        <v>5782.7947797130391</v>
      </c>
      <c r="V32" s="102">
        <f t="shared" ref="V32:V56" si="5">SQRT(G32)/U32</f>
        <v>0.40237987371251382</v>
      </c>
      <c r="W32" s="1">
        <f t="shared" ref="W32:W56" si="6">H32</f>
        <v>6210.8484296374581</v>
      </c>
      <c r="X32" s="102">
        <f t="shared" ref="X32:X56" si="7">SQRT(I32)/W32</f>
        <v>8.7165403953041468E-2</v>
      </c>
      <c r="Y32" s="2">
        <f>W32+U32+S32+Q32</f>
        <v>18038.843287078937</v>
      </c>
      <c r="Z32" s="102">
        <f>M32</f>
        <v>0.13562400674110722</v>
      </c>
    </row>
    <row r="33" spans="1:26" x14ac:dyDescent="0.3">
      <c r="A33">
        <v>1999</v>
      </c>
      <c r="B33" s="1">
        <f>'BRF harvest'!V79</f>
        <v>751.39027159133684</v>
      </c>
      <c r="C33" s="1">
        <f>'BRF harvest'!W79</f>
        <v>27053.83065874887</v>
      </c>
      <c r="D33" s="1">
        <f>'BRF harvest'!V129</f>
        <v>10242.860908993258</v>
      </c>
      <c r="E33" s="1">
        <f>'BRF harvest'!W129</f>
        <v>465945.66003596905</v>
      </c>
      <c r="F33" s="1">
        <f>'BRF harvest'!V179</f>
        <v>7706.5327486835577</v>
      </c>
      <c r="G33" s="1">
        <f>'BRF harvest'!W179</f>
        <v>2729993.4193693842</v>
      </c>
      <c r="H33" s="1">
        <f>'BRF harvest'!V204</f>
        <v>3885.9375357170275</v>
      </c>
      <c r="I33" s="1">
        <f>'BRF harvest'!W204</f>
        <v>116800.71215434837</v>
      </c>
      <c r="J33" s="2">
        <f t="shared" ref="J33:J52" si="8">H33+F33+D33+B33</f>
        <v>22586.721464985178</v>
      </c>
      <c r="K33" s="1">
        <f t="shared" ref="K33:K53" si="9">SUM(C33,E33,G33,I33)</f>
        <v>3339793.6222184505</v>
      </c>
      <c r="L33">
        <f t="shared" ref="L33:L53" si="10">SQRT(K33)</f>
        <v>1827.510224928564</v>
      </c>
      <c r="M33" s="14">
        <f t="shared" ref="M33:M53" si="11">L33/J33</f>
        <v>8.0910823102929838E-2</v>
      </c>
      <c r="N33" s="14"/>
      <c r="O33" s="101"/>
      <c r="P33">
        <v>1999</v>
      </c>
      <c r="Q33" s="1">
        <f t="shared" si="0"/>
        <v>751.39027159133684</v>
      </c>
      <c r="R33" s="102">
        <f t="shared" si="1"/>
        <v>0.2189015394341236</v>
      </c>
      <c r="S33" s="1">
        <f t="shared" si="2"/>
        <v>10242.860908993258</v>
      </c>
      <c r="T33" s="102">
        <f t="shared" si="3"/>
        <v>6.6641744949850604E-2</v>
      </c>
      <c r="U33" s="1">
        <f t="shared" si="4"/>
        <v>7706.5327486835577</v>
      </c>
      <c r="V33" s="102">
        <f t="shared" si="5"/>
        <v>0.21439851443925395</v>
      </c>
      <c r="W33" s="1">
        <f t="shared" si="6"/>
        <v>3885.9375357170275</v>
      </c>
      <c r="X33" s="102">
        <f t="shared" si="7"/>
        <v>8.7948194885246841E-2</v>
      </c>
      <c r="Y33" s="2">
        <f t="shared" ref="Y33:Y56" si="12">W33+U33+S33+Q33</f>
        <v>22586.721464985178</v>
      </c>
      <c r="Z33" s="102">
        <f t="shared" ref="Z33:Z56" si="13">M33</f>
        <v>8.0910823102929838E-2</v>
      </c>
    </row>
    <row r="34" spans="1:26" x14ac:dyDescent="0.3">
      <c r="A34">
        <v>2000</v>
      </c>
      <c r="B34" s="1">
        <f>'BRF harvest'!V80</f>
        <v>901.41361690864096</v>
      </c>
      <c r="C34" s="1">
        <f>'BRF harvest'!W80</f>
        <v>59272.998846199516</v>
      </c>
      <c r="D34" s="1">
        <f>'BRF harvest'!V130</f>
        <v>14224.29644185862</v>
      </c>
      <c r="E34" s="1">
        <f>'BRF harvest'!W130</f>
        <v>1537594.4085712805</v>
      </c>
      <c r="F34" s="1">
        <f>'BRF harvest'!V180</f>
        <v>12191.407787586344</v>
      </c>
      <c r="G34" s="1">
        <f>'BRF harvest'!W180</f>
        <v>9239299.4926352873</v>
      </c>
      <c r="H34" s="1">
        <f>'BRF harvest'!V205</f>
        <v>8257.8405477728738</v>
      </c>
      <c r="I34" s="1">
        <f>'BRF harvest'!W205</f>
        <v>482612.95028219779</v>
      </c>
      <c r="J34" s="2">
        <f t="shared" si="8"/>
        <v>35574.958394126479</v>
      </c>
      <c r="K34" s="1">
        <f t="shared" si="9"/>
        <v>11318779.850334965</v>
      </c>
      <c r="L34">
        <f t="shared" si="10"/>
        <v>3364.3394374431014</v>
      </c>
      <c r="M34" s="14">
        <f t="shared" si="11"/>
        <v>9.4570439132222933E-2</v>
      </c>
      <c r="N34" s="14"/>
      <c r="O34" s="101"/>
      <c r="P34">
        <v>2000</v>
      </c>
      <c r="Q34" s="1">
        <f t="shared" si="0"/>
        <v>901.41361690864096</v>
      </c>
      <c r="R34" s="102">
        <f t="shared" si="1"/>
        <v>0.27008740730564401</v>
      </c>
      <c r="S34" s="1">
        <f t="shared" si="2"/>
        <v>14224.29644185862</v>
      </c>
      <c r="T34" s="102">
        <f t="shared" si="3"/>
        <v>8.7174627613959596E-2</v>
      </c>
      <c r="U34" s="1">
        <f t="shared" si="4"/>
        <v>12191.407787586344</v>
      </c>
      <c r="V34" s="102">
        <f t="shared" si="5"/>
        <v>0.24932490623627765</v>
      </c>
      <c r="W34" s="1">
        <f t="shared" si="6"/>
        <v>8257.8405477728738</v>
      </c>
      <c r="X34" s="102">
        <f t="shared" si="7"/>
        <v>8.4126533333757442E-2</v>
      </c>
      <c r="Y34" s="2">
        <f t="shared" si="12"/>
        <v>35574.958394126479</v>
      </c>
      <c r="Z34" s="102">
        <f t="shared" si="13"/>
        <v>9.4570439132222933E-2</v>
      </c>
    </row>
    <row r="35" spans="1:26" x14ac:dyDescent="0.3">
      <c r="A35">
        <v>2001</v>
      </c>
      <c r="B35" s="1">
        <f>'BRF harvest'!V81</f>
        <v>575.45358630962255</v>
      </c>
      <c r="C35" s="1">
        <f>'BRF harvest'!W81</f>
        <v>15983.366235881866</v>
      </c>
      <c r="D35" s="1">
        <f>'BRF harvest'!V131</f>
        <v>24400.137754369596</v>
      </c>
      <c r="E35" s="1">
        <f>'BRF harvest'!W131</f>
        <v>3670561.3990554512</v>
      </c>
      <c r="F35" s="1">
        <f>'BRF harvest'!V181</f>
        <v>4739.1301098851554</v>
      </c>
      <c r="G35" s="1">
        <f>'BRF harvest'!W181</f>
        <v>235853.44621951084</v>
      </c>
      <c r="H35" s="1">
        <f>'BRF harvest'!V206</f>
        <v>8998.1267014057557</v>
      </c>
      <c r="I35" s="1">
        <f>'BRF harvest'!W206</f>
        <v>581900.71066946874</v>
      </c>
      <c r="J35" s="2">
        <f t="shared" si="8"/>
        <v>38712.848151970131</v>
      </c>
      <c r="K35" s="1">
        <f t="shared" si="9"/>
        <v>4504298.9221803127</v>
      </c>
      <c r="L35">
        <f t="shared" si="10"/>
        <v>2122.3333673530915</v>
      </c>
      <c r="M35" s="14">
        <f t="shared" si="11"/>
        <v>5.4822454783531191E-2</v>
      </c>
      <c r="N35" s="14"/>
      <c r="O35" s="101"/>
      <c r="P35">
        <v>2001</v>
      </c>
      <c r="Q35" s="1">
        <f t="shared" si="0"/>
        <v>575.45358630962255</v>
      </c>
      <c r="R35" s="102">
        <f t="shared" si="1"/>
        <v>0.21969684713233692</v>
      </c>
      <c r="S35" s="1">
        <f t="shared" si="2"/>
        <v>24400.137754369596</v>
      </c>
      <c r="T35" s="102">
        <f t="shared" si="3"/>
        <v>7.8518856889710498E-2</v>
      </c>
      <c r="U35" s="1">
        <f t="shared" si="4"/>
        <v>4739.1301098851554</v>
      </c>
      <c r="V35" s="102">
        <f t="shared" si="5"/>
        <v>0.10247607457128491</v>
      </c>
      <c r="W35" s="1">
        <f t="shared" si="6"/>
        <v>8998.1267014057557</v>
      </c>
      <c r="X35" s="102">
        <f t="shared" si="7"/>
        <v>8.4775886460616401E-2</v>
      </c>
      <c r="Y35" s="2">
        <f t="shared" si="12"/>
        <v>38712.848151970131</v>
      </c>
      <c r="Z35" s="102">
        <f t="shared" si="13"/>
        <v>5.4822454783531191E-2</v>
      </c>
    </row>
    <row r="36" spans="1:26" x14ac:dyDescent="0.3">
      <c r="A36">
        <v>2002</v>
      </c>
      <c r="B36" s="1">
        <f>'BRF harvest'!V82</f>
        <v>1542.1107425049988</v>
      </c>
      <c r="C36" s="1">
        <f>'BRF harvest'!W82</f>
        <v>172633.23344117717</v>
      </c>
      <c r="D36" s="1">
        <f>'BRF harvest'!V132</f>
        <v>19832.929397123138</v>
      </c>
      <c r="E36" s="1">
        <f>'BRF harvest'!W132</f>
        <v>2605878.9243272347</v>
      </c>
      <c r="F36" s="1">
        <f>'BRF harvest'!V182</f>
        <v>9001.1135507301042</v>
      </c>
      <c r="G36" s="1">
        <f>'BRF harvest'!W182</f>
        <v>2715830.6977250404</v>
      </c>
      <c r="H36" s="1">
        <f>'BRF harvest'!V207</f>
        <v>7467.0971839415743</v>
      </c>
      <c r="I36" s="1">
        <f>'BRF harvest'!W207</f>
        <v>462144.18559130991</v>
      </c>
      <c r="J36" s="2">
        <f t="shared" si="8"/>
        <v>37843.250874299818</v>
      </c>
      <c r="K36" s="1">
        <f t="shared" si="9"/>
        <v>5956487.0410847627</v>
      </c>
      <c r="L36">
        <f t="shared" si="10"/>
        <v>2440.5915350760279</v>
      </c>
      <c r="M36" s="14">
        <f t="shared" si="11"/>
        <v>6.4492121545865588E-2</v>
      </c>
      <c r="N36" s="14"/>
      <c r="O36" s="101"/>
      <c r="P36">
        <v>2002</v>
      </c>
      <c r="Q36" s="1">
        <f t="shared" si="0"/>
        <v>1542.1107425049988</v>
      </c>
      <c r="R36" s="102">
        <f t="shared" si="1"/>
        <v>0.26943042736792139</v>
      </c>
      <c r="S36" s="1">
        <f t="shared" si="2"/>
        <v>19832.929397123138</v>
      </c>
      <c r="T36" s="102">
        <f t="shared" si="3"/>
        <v>8.13935987494179E-2</v>
      </c>
      <c r="U36" s="1">
        <f t="shared" si="4"/>
        <v>9001.1135507301042</v>
      </c>
      <c r="V36" s="102">
        <f t="shared" si="5"/>
        <v>0.18308598717192887</v>
      </c>
      <c r="W36" s="1">
        <f t="shared" si="6"/>
        <v>7467.0971839415743</v>
      </c>
      <c r="X36" s="102">
        <f t="shared" si="7"/>
        <v>9.1040983986292665E-2</v>
      </c>
      <c r="Y36" s="2">
        <f t="shared" si="12"/>
        <v>37843.250874299818</v>
      </c>
      <c r="Z36" s="102">
        <f t="shared" si="13"/>
        <v>6.4492121545865588E-2</v>
      </c>
    </row>
    <row r="37" spans="1:26" x14ac:dyDescent="0.3">
      <c r="A37">
        <v>2003</v>
      </c>
      <c r="B37" s="1">
        <f>'BRF harvest'!V83</f>
        <v>3814.0819528108018</v>
      </c>
      <c r="C37" s="1">
        <f>'BRF harvest'!W83</f>
        <v>490024.46224672411</v>
      </c>
      <c r="D37" s="1">
        <f>'BRF harvest'!V133</f>
        <v>18852.364102736181</v>
      </c>
      <c r="E37" s="1">
        <f>'BRF harvest'!W133</f>
        <v>2717541.5170556991</v>
      </c>
      <c r="F37" s="1">
        <f>'BRF harvest'!V183</f>
        <v>25435.09213030486</v>
      </c>
      <c r="G37" s="1">
        <f>'BRF harvest'!W183</f>
        <v>29155755.329813424</v>
      </c>
      <c r="H37" s="1">
        <f>'BRF harvest'!V208</f>
        <v>8752.0048103287118</v>
      </c>
      <c r="I37" s="1">
        <f>'BRF harvest'!W208</f>
        <v>746564.08681871311</v>
      </c>
      <c r="J37" s="2">
        <f t="shared" si="8"/>
        <v>56853.542996180557</v>
      </c>
      <c r="K37" s="1">
        <f t="shared" si="9"/>
        <v>33109885.395934563</v>
      </c>
      <c r="L37">
        <f t="shared" si="10"/>
        <v>5754.118993897725</v>
      </c>
      <c r="M37" s="14">
        <f t="shared" si="11"/>
        <v>0.10120950587519742</v>
      </c>
      <c r="N37" s="14"/>
      <c r="O37" s="101"/>
      <c r="P37">
        <v>2003</v>
      </c>
      <c r="Q37" s="1">
        <f t="shared" si="0"/>
        <v>3814.0819528108018</v>
      </c>
      <c r="R37" s="102">
        <f t="shared" si="1"/>
        <v>0.18353498468993909</v>
      </c>
      <c r="S37" s="1">
        <f t="shared" si="2"/>
        <v>18852.364102736181</v>
      </c>
      <c r="T37" s="102">
        <f t="shared" si="3"/>
        <v>8.7442441470284307E-2</v>
      </c>
      <c r="U37" s="1">
        <f t="shared" si="4"/>
        <v>25435.09213030486</v>
      </c>
      <c r="V37" s="102">
        <f t="shared" si="5"/>
        <v>0.212289656078958</v>
      </c>
      <c r="W37" s="1">
        <f t="shared" si="6"/>
        <v>8752.0048103287118</v>
      </c>
      <c r="X37" s="102">
        <f t="shared" si="7"/>
        <v>9.8724740207643893E-2</v>
      </c>
      <c r="Y37" s="2">
        <f t="shared" si="12"/>
        <v>56853.542996180557</v>
      </c>
      <c r="Z37" s="102">
        <f t="shared" si="13"/>
        <v>0.10120950587519742</v>
      </c>
    </row>
    <row r="38" spans="1:26" x14ac:dyDescent="0.3">
      <c r="A38">
        <v>2004</v>
      </c>
      <c r="B38" s="1">
        <f>'BRF harvest'!V84</f>
        <v>3185.9049884220885</v>
      </c>
      <c r="C38" s="1">
        <f>'BRF harvest'!W84</f>
        <v>719739.46258390276</v>
      </c>
      <c r="D38" s="1">
        <f>'BRF harvest'!V134</f>
        <v>21306.208786153475</v>
      </c>
      <c r="E38" s="1">
        <f>'BRF harvest'!W134</f>
        <v>2873764.7775777108</v>
      </c>
      <c r="F38" s="1">
        <f>'BRF harvest'!V184</f>
        <v>18585.405126219623</v>
      </c>
      <c r="G38" s="1">
        <f>'BRF harvest'!W184</f>
        <v>14372856.446165115</v>
      </c>
      <c r="H38" s="1">
        <f>'BRF harvest'!V209</f>
        <v>10314.910298495874</v>
      </c>
      <c r="I38" s="1">
        <f>'BRF harvest'!W209</f>
        <v>772630.66840431374</v>
      </c>
      <c r="J38" s="2">
        <f t="shared" si="8"/>
        <v>53392.429199291058</v>
      </c>
      <c r="K38" s="1">
        <f t="shared" si="9"/>
        <v>18738991.354731042</v>
      </c>
      <c r="L38">
        <f t="shared" si="10"/>
        <v>4328.8556634208817</v>
      </c>
      <c r="M38" s="14">
        <f t="shared" si="11"/>
        <v>8.1076207401298755E-2</v>
      </c>
      <c r="N38" s="14"/>
      <c r="O38" s="101"/>
      <c r="P38">
        <v>2004</v>
      </c>
      <c r="Q38" s="1">
        <f t="shared" si="0"/>
        <v>3185.9049884220885</v>
      </c>
      <c r="R38" s="102">
        <f t="shared" si="1"/>
        <v>0.26628998776527235</v>
      </c>
      <c r="S38" s="1">
        <f t="shared" si="2"/>
        <v>21306.208786153475</v>
      </c>
      <c r="T38" s="102">
        <f t="shared" si="3"/>
        <v>7.9564516918191275E-2</v>
      </c>
      <c r="U38" s="1">
        <f t="shared" si="4"/>
        <v>18585.405126219623</v>
      </c>
      <c r="V38" s="102">
        <f t="shared" si="5"/>
        <v>0.20398560064907439</v>
      </c>
      <c r="W38" s="1">
        <f t="shared" si="6"/>
        <v>10314.910298495874</v>
      </c>
      <c r="X38" s="102">
        <f t="shared" si="7"/>
        <v>8.5215876594235476E-2</v>
      </c>
      <c r="Y38" s="2">
        <f t="shared" si="12"/>
        <v>53392.429199291058</v>
      </c>
      <c r="Z38" s="102">
        <f t="shared" si="13"/>
        <v>8.1076207401298755E-2</v>
      </c>
    </row>
    <row r="39" spans="1:26" x14ac:dyDescent="0.3">
      <c r="A39">
        <v>2005</v>
      </c>
      <c r="B39" s="1">
        <f>'BRF harvest'!V85</f>
        <v>2621.0288637325798</v>
      </c>
      <c r="C39" s="1">
        <f>'BRF harvest'!W85</f>
        <v>296426.61099317751</v>
      </c>
      <c r="D39" s="1">
        <f>'BRF harvest'!V135</f>
        <v>24400.436306365173</v>
      </c>
      <c r="E39" s="1">
        <f>'BRF harvest'!W135</f>
        <v>3401344.0523238233</v>
      </c>
      <c r="F39" s="1">
        <f>'BRF harvest'!V185</f>
        <v>8129.0396975295071</v>
      </c>
      <c r="G39" s="1">
        <f>'BRF harvest'!W185</f>
        <v>39668.778723685435</v>
      </c>
      <c r="H39" s="1">
        <f>'BRF harvest'!V210</f>
        <v>8700.3739169732762</v>
      </c>
      <c r="I39" s="1">
        <f>'BRF harvest'!W210</f>
        <v>710681.24622373178</v>
      </c>
      <c r="J39" s="2">
        <f t="shared" si="8"/>
        <v>43850.878784600536</v>
      </c>
      <c r="K39" s="1">
        <f t="shared" si="9"/>
        <v>4448120.6882644184</v>
      </c>
      <c r="L39">
        <f t="shared" si="10"/>
        <v>2109.0568243327202</v>
      </c>
      <c r="M39" s="14">
        <f t="shared" si="11"/>
        <v>4.8096113072045768E-2</v>
      </c>
      <c r="N39" s="14"/>
      <c r="O39" s="101"/>
      <c r="P39">
        <v>2005</v>
      </c>
      <c r="Q39" s="1">
        <f t="shared" si="0"/>
        <v>2621.0288637325798</v>
      </c>
      <c r="R39" s="102">
        <f t="shared" si="1"/>
        <v>0.20772405448076797</v>
      </c>
      <c r="S39" s="1">
        <f t="shared" si="2"/>
        <v>24400.436306365173</v>
      </c>
      <c r="T39" s="102">
        <f t="shared" si="3"/>
        <v>7.5583620294676926E-2</v>
      </c>
      <c r="U39" s="1">
        <f t="shared" si="4"/>
        <v>8129.0396975295071</v>
      </c>
      <c r="V39" s="102">
        <f t="shared" si="5"/>
        <v>2.4501076745315934E-2</v>
      </c>
      <c r="W39" s="1">
        <f t="shared" si="6"/>
        <v>8700.3739169732762</v>
      </c>
      <c r="X39" s="102">
        <f t="shared" si="7"/>
        <v>9.6894585646775847E-2</v>
      </c>
      <c r="Y39" s="2">
        <f t="shared" si="12"/>
        <v>43850.878784600536</v>
      </c>
      <c r="Z39" s="102">
        <f t="shared" si="13"/>
        <v>4.8096113072045768E-2</v>
      </c>
    </row>
    <row r="40" spans="1:26" x14ac:dyDescent="0.3">
      <c r="A40">
        <v>2006</v>
      </c>
      <c r="B40" s="1">
        <f>'BRF harvest'!V86</f>
        <v>1625.5843539926127</v>
      </c>
      <c r="C40" s="1">
        <f>'BRF harvest'!W86</f>
        <v>189621.87816877157</v>
      </c>
      <c r="D40" s="1">
        <f>'BRF harvest'!V136</f>
        <v>20495.339205870332</v>
      </c>
      <c r="E40" s="1">
        <f>'BRF harvest'!W136</f>
        <v>2161596.2132417853</v>
      </c>
      <c r="F40" s="1">
        <f>'BRF harvest'!V186</f>
        <v>13912.932844945317</v>
      </c>
      <c r="G40" s="1">
        <f>'BRF harvest'!W186</f>
        <v>8874043.7313806247</v>
      </c>
      <c r="H40" s="1">
        <f>'BRF harvest'!V211</f>
        <v>7293.5996667101936</v>
      </c>
      <c r="I40" s="1">
        <f>'BRF harvest'!W211</f>
        <v>462322.83450111136</v>
      </c>
      <c r="J40" s="2">
        <f t="shared" si="8"/>
        <v>43327.456071518456</v>
      </c>
      <c r="K40" s="1">
        <f t="shared" si="9"/>
        <v>11687584.657292293</v>
      </c>
      <c r="L40">
        <f t="shared" si="10"/>
        <v>3418.7109642805858</v>
      </c>
      <c r="M40" s="14">
        <f t="shared" si="11"/>
        <v>7.8904031629216623E-2</v>
      </c>
      <c r="N40" s="14"/>
      <c r="O40" s="101"/>
      <c r="P40">
        <v>2006</v>
      </c>
      <c r="Q40" s="1">
        <f t="shared" si="0"/>
        <v>1625.5843539926127</v>
      </c>
      <c r="R40" s="102">
        <f t="shared" si="1"/>
        <v>0.26787655884276973</v>
      </c>
      <c r="S40" s="1">
        <f t="shared" si="2"/>
        <v>20495.339205870332</v>
      </c>
      <c r="T40" s="102">
        <f t="shared" si="3"/>
        <v>7.1735177124222727E-2</v>
      </c>
      <c r="U40" s="1">
        <f t="shared" si="4"/>
        <v>13912.932844945317</v>
      </c>
      <c r="V40" s="102">
        <f t="shared" si="5"/>
        <v>0.21411253502543748</v>
      </c>
      <c r="W40" s="1">
        <f t="shared" si="6"/>
        <v>7293.5996667101936</v>
      </c>
      <c r="X40" s="102">
        <f t="shared" si="7"/>
        <v>9.3224647549363576E-2</v>
      </c>
      <c r="Y40" s="2">
        <f t="shared" si="12"/>
        <v>43327.456071518456</v>
      </c>
      <c r="Z40" s="102">
        <f t="shared" si="13"/>
        <v>7.8904031629216623E-2</v>
      </c>
    </row>
    <row r="41" spans="1:26" x14ac:dyDescent="0.3">
      <c r="A41">
        <v>2007</v>
      </c>
      <c r="B41" s="1">
        <f>'BRF harvest'!V87</f>
        <v>1700.3805316267767</v>
      </c>
      <c r="C41" s="1">
        <f>'BRF harvest'!W87</f>
        <v>206586.18258006743</v>
      </c>
      <c r="D41" s="1">
        <f>'BRF harvest'!V137</f>
        <v>27234.791138684028</v>
      </c>
      <c r="E41" s="1">
        <f>'BRF harvest'!W137</f>
        <v>4073775.9019317655</v>
      </c>
      <c r="F41" s="1">
        <f>'BRF harvest'!V187</f>
        <v>28589.142924192056</v>
      </c>
      <c r="G41" s="1">
        <f>'BRF harvest'!W187</f>
        <v>37723165.329773709</v>
      </c>
      <c r="H41" s="1">
        <f>'BRF harvest'!V212</f>
        <v>9945.281928068971</v>
      </c>
      <c r="I41" s="1">
        <f>'BRF harvest'!W212</f>
        <v>820702.37753573759</v>
      </c>
      <c r="J41" s="2">
        <f t="shared" si="8"/>
        <v>67469.596522571839</v>
      </c>
      <c r="K41" s="1">
        <f t="shared" si="9"/>
        <v>42824229.791821279</v>
      </c>
      <c r="L41">
        <f t="shared" si="10"/>
        <v>6544.0224473806074</v>
      </c>
      <c r="M41" s="14">
        <f t="shared" si="11"/>
        <v>9.6992168097393555E-2</v>
      </c>
      <c r="N41" s="14"/>
      <c r="O41" s="101"/>
      <c r="P41">
        <v>2007</v>
      </c>
      <c r="Q41" s="1">
        <f t="shared" si="0"/>
        <v>1700.3805316267767</v>
      </c>
      <c r="R41" s="102">
        <f t="shared" si="1"/>
        <v>0.26730341755796949</v>
      </c>
      <c r="S41" s="1">
        <f t="shared" si="2"/>
        <v>27234.791138684028</v>
      </c>
      <c r="T41" s="102">
        <f t="shared" si="3"/>
        <v>7.4109608386787512E-2</v>
      </c>
      <c r="U41" s="1">
        <f t="shared" si="4"/>
        <v>28589.142924192056</v>
      </c>
      <c r="V41" s="102">
        <f t="shared" si="5"/>
        <v>0.21483395697774668</v>
      </c>
      <c r="W41" s="1">
        <f t="shared" si="6"/>
        <v>9945.281928068971</v>
      </c>
      <c r="X41" s="102">
        <f t="shared" si="7"/>
        <v>9.1091058098611954E-2</v>
      </c>
      <c r="Y41" s="2">
        <f t="shared" si="12"/>
        <v>67469.596522571839</v>
      </c>
      <c r="Z41" s="102">
        <f t="shared" si="13"/>
        <v>9.6992168097393555E-2</v>
      </c>
    </row>
    <row r="42" spans="1:26" x14ac:dyDescent="0.3">
      <c r="A42">
        <v>2008</v>
      </c>
      <c r="B42" s="1">
        <f>'BRF harvest'!V88</f>
        <v>1440.1733811779754</v>
      </c>
      <c r="C42" s="1">
        <f>'BRF harvest'!W88</f>
        <v>148008.13516913191</v>
      </c>
      <c r="D42" s="1">
        <f>'BRF harvest'!V138</f>
        <v>28695.453459364187</v>
      </c>
      <c r="E42" s="1">
        <f>'BRF harvest'!W138</f>
        <v>4697044.016380881</v>
      </c>
      <c r="F42" s="1">
        <f>'BRF harvest'!V188</f>
        <v>19587.431284498049</v>
      </c>
      <c r="G42" s="1">
        <f>'BRF harvest'!W188</f>
        <v>18025124.029147431</v>
      </c>
      <c r="H42" s="1">
        <f>'BRF harvest'!V213</f>
        <v>11067.568207848319</v>
      </c>
      <c r="I42" s="1">
        <f>'BRF harvest'!W213</f>
        <v>1002524.0452587132</v>
      </c>
      <c r="J42" s="2">
        <f t="shared" si="8"/>
        <v>60790.626332888532</v>
      </c>
      <c r="K42" s="1">
        <f t="shared" si="9"/>
        <v>23872700.225956157</v>
      </c>
      <c r="L42">
        <f t="shared" si="10"/>
        <v>4885.9697324027866</v>
      </c>
      <c r="M42" s="14">
        <f t="shared" si="11"/>
        <v>8.0373735675090624E-2</v>
      </c>
      <c r="N42" s="14"/>
      <c r="O42" s="101"/>
      <c r="P42">
        <v>2008</v>
      </c>
      <c r="Q42" s="1">
        <f t="shared" si="0"/>
        <v>1440.1733811779754</v>
      </c>
      <c r="R42" s="102">
        <f t="shared" si="1"/>
        <v>0.26713329054594215</v>
      </c>
      <c r="S42" s="1">
        <f t="shared" si="2"/>
        <v>28695.453459364187</v>
      </c>
      <c r="T42" s="102">
        <f t="shared" si="3"/>
        <v>7.5526476273506685E-2</v>
      </c>
      <c r="U42" s="1">
        <f t="shared" si="4"/>
        <v>19587.431284498049</v>
      </c>
      <c r="V42" s="102">
        <f t="shared" si="5"/>
        <v>0.21675126708629644</v>
      </c>
      <c r="W42" s="1">
        <f t="shared" si="6"/>
        <v>11067.568207848319</v>
      </c>
      <c r="X42" s="102">
        <f t="shared" si="7"/>
        <v>9.0468042164150012E-2</v>
      </c>
      <c r="Y42" s="2">
        <f t="shared" si="12"/>
        <v>60790.626332888532</v>
      </c>
      <c r="Z42" s="102">
        <f t="shared" si="13"/>
        <v>8.0373735675090624E-2</v>
      </c>
    </row>
    <row r="43" spans="1:26" x14ac:dyDescent="0.3">
      <c r="A43">
        <v>2009</v>
      </c>
      <c r="B43" s="1">
        <f>'BRF harvest'!V89</f>
        <v>1792.3410035812167</v>
      </c>
      <c r="C43" s="1">
        <f>'BRF harvest'!W89</f>
        <v>86822.342664164782</v>
      </c>
      <c r="D43" s="1">
        <f>'BRF harvest'!V139</f>
        <v>22601.944564891164</v>
      </c>
      <c r="E43" s="1">
        <f>'BRF harvest'!W139</f>
        <v>3219664.6594879688</v>
      </c>
      <c r="F43" s="1">
        <f>'BRF harvest'!V189</f>
        <v>12253.156390852704</v>
      </c>
      <c r="G43" s="1">
        <f>'BRF harvest'!W189</f>
        <v>4879959.1659436459</v>
      </c>
      <c r="H43" s="1">
        <f>'BRF harvest'!V214</f>
        <v>10351.784157265687</v>
      </c>
      <c r="I43" s="1">
        <f>'BRF harvest'!W214</f>
        <v>837687.63934727362</v>
      </c>
      <c r="J43" s="2">
        <f t="shared" si="8"/>
        <v>46999.226116590777</v>
      </c>
      <c r="K43" s="1">
        <f t="shared" si="9"/>
        <v>9024133.8074430525</v>
      </c>
      <c r="L43">
        <f t="shared" si="10"/>
        <v>3004.0196083652736</v>
      </c>
      <c r="M43" s="14">
        <f t="shared" si="11"/>
        <v>6.3916363237837476E-2</v>
      </c>
      <c r="N43" s="14"/>
      <c r="O43" s="101"/>
      <c r="P43">
        <v>2009</v>
      </c>
      <c r="Q43" s="1">
        <f t="shared" si="0"/>
        <v>1792.3410035812167</v>
      </c>
      <c r="R43" s="102">
        <f t="shared" si="1"/>
        <v>0.16439746242285863</v>
      </c>
      <c r="S43" s="1">
        <f t="shared" si="2"/>
        <v>22601.944564891164</v>
      </c>
      <c r="T43" s="102">
        <f t="shared" si="3"/>
        <v>7.9388850721562723E-2</v>
      </c>
      <c r="U43" s="1">
        <f t="shared" si="4"/>
        <v>12253.156390852704</v>
      </c>
      <c r="V43" s="102">
        <f t="shared" si="5"/>
        <v>0.18028521717986479</v>
      </c>
      <c r="W43" s="1">
        <f t="shared" si="6"/>
        <v>10351.784157265687</v>
      </c>
      <c r="X43" s="102">
        <f t="shared" si="7"/>
        <v>8.8414978477802289E-2</v>
      </c>
      <c r="Y43" s="2">
        <f t="shared" si="12"/>
        <v>46999.226116590777</v>
      </c>
      <c r="Z43" s="102">
        <f t="shared" si="13"/>
        <v>6.3916363237837476E-2</v>
      </c>
    </row>
    <row r="44" spans="1:26" x14ac:dyDescent="0.3">
      <c r="A44">
        <v>2010</v>
      </c>
      <c r="B44" s="1">
        <f>'BRF harvest'!V90</f>
        <v>1634.3614113184426</v>
      </c>
      <c r="C44" s="1">
        <f>'BRF harvest'!W90</f>
        <v>69081.694593323351</v>
      </c>
      <c r="D44" s="1">
        <f>'BRF harvest'!V140</f>
        <v>26879.228808182947</v>
      </c>
      <c r="E44" s="1">
        <f>'BRF harvest'!W140</f>
        <v>4898654.5544148115</v>
      </c>
      <c r="F44" s="1">
        <f>'BRF harvest'!V190</f>
        <v>24433.26566697465</v>
      </c>
      <c r="G44" s="1">
        <f>'BRF harvest'!W190</f>
        <v>28374088.345867366</v>
      </c>
      <c r="H44" s="1">
        <f>'BRF harvest'!V215</f>
        <v>9550.0066139790742</v>
      </c>
      <c r="I44" s="1">
        <f>'BRF harvest'!W215</f>
        <v>876717.05126805301</v>
      </c>
      <c r="J44" s="2">
        <f t="shared" si="8"/>
        <v>62496.862500455114</v>
      </c>
      <c r="K44" s="1">
        <f t="shared" si="9"/>
        <v>34218541.646143556</v>
      </c>
      <c r="L44">
        <f t="shared" si="10"/>
        <v>5849.6616693740125</v>
      </c>
      <c r="M44" s="14">
        <f t="shared" si="11"/>
        <v>9.3599285393429377E-2</v>
      </c>
      <c r="N44" s="14"/>
      <c r="O44" s="101"/>
      <c r="P44">
        <v>2010</v>
      </c>
      <c r="Q44" s="1">
        <f t="shared" si="0"/>
        <v>1634.3614113184426</v>
      </c>
      <c r="R44" s="102">
        <f t="shared" si="1"/>
        <v>0.16081753149027625</v>
      </c>
      <c r="S44" s="1">
        <f t="shared" si="2"/>
        <v>26879.228808182947</v>
      </c>
      <c r="T44" s="102">
        <f t="shared" si="3"/>
        <v>8.2342036368237878E-2</v>
      </c>
      <c r="U44" s="1">
        <f t="shared" si="4"/>
        <v>24433.26566697465</v>
      </c>
      <c r="V44" s="102">
        <f t="shared" si="5"/>
        <v>0.21801151913071112</v>
      </c>
      <c r="W44" s="1">
        <f t="shared" si="6"/>
        <v>9550.0066139790742</v>
      </c>
      <c r="X44" s="102">
        <f t="shared" si="7"/>
        <v>9.8045136221337301E-2</v>
      </c>
      <c r="Y44" s="2">
        <f t="shared" si="12"/>
        <v>62496.862500455114</v>
      </c>
      <c r="Z44" s="102">
        <f t="shared" si="13"/>
        <v>9.3599285393429377E-2</v>
      </c>
    </row>
    <row r="45" spans="1:26" x14ac:dyDescent="0.3">
      <c r="A45">
        <v>2011</v>
      </c>
      <c r="B45" s="1">
        <f>'BRF harvest'!V91</f>
        <v>1656.0989067905161</v>
      </c>
      <c r="C45" s="1">
        <f>'BRF harvest'!W91</f>
        <v>68317.768225061824</v>
      </c>
      <c r="D45" s="1">
        <f>'BRF harvest'!V141</f>
        <v>30410.518880792781</v>
      </c>
      <c r="E45" s="1">
        <f>'BRF harvest'!W141</f>
        <v>2454207.5668229209</v>
      </c>
      <c r="F45" s="1">
        <f>'BRF harvest'!V191</f>
        <v>41153.662942912924</v>
      </c>
      <c r="G45" s="1">
        <f>'BRF harvest'!W191</f>
        <v>36713519.019697689</v>
      </c>
      <c r="H45" s="1">
        <f>'BRF harvest'!V216</f>
        <v>13511.389229897632</v>
      </c>
      <c r="I45" s="1">
        <f>'BRF harvest'!W216</f>
        <v>935468.77874005353</v>
      </c>
      <c r="J45" s="2">
        <f t="shared" si="8"/>
        <v>86731.669960393847</v>
      </c>
      <c r="K45" s="1">
        <f t="shared" si="9"/>
        <v>40171513.133485727</v>
      </c>
      <c r="L45">
        <f t="shared" si="10"/>
        <v>6338.100120184733</v>
      </c>
      <c r="M45" s="14">
        <f t="shared" si="11"/>
        <v>7.307711385101931E-2</v>
      </c>
      <c r="N45" s="14"/>
      <c r="O45" s="101"/>
      <c r="P45">
        <v>2011</v>
      </c>
      <c r="Q45" s="1">
        <f t="shared" si="0"/>
        <v>1656.0989067905161</v>
      </c>
      <c r="R45" s="102">
        <f t="shared" si="1"/>
        <v>0.15782673229054522</v>
      </c>
      <c r="S45" s="1">
        <f t="shared" si="2"/>
        <v>30410.518880792781</v>
      </c>
      <c r="T45" s="102">
        <f t="shared" si="3"/>
        <v>5.1514775914958427E-2</v>
      </c>
      <c r="U45" s="1">
        <f t="shared" si="4"/>
        <v>41153.662942912924</v>
      </c>
      <c r="V45" s="102">
        <f t="shared" si="5"/>
        <v>0.14723277943117982</v>
      </c>
      <c r="W45" s="1">
        <f t="shared" si="6"/>
        <v>13511.389229897632</v>
      </c>
      <c r="X45" s="102">
        <f t="shared" si="7"/>
        <v>7.1583782627702292E-2</v>
      </c>
      <c r="Y45" s="2">
        <f t="shared" si="12"/>
        <v>86731.669960393847</v>
      </c>
      <c r="Z45" s="102">
        <f t="shared" si="13"/>
        <v>7.307711385101931E-2</v>
      </c>
    </row>
    <row r="46" spans="1:26" x14ac:dyDescent="0.3">
      <c r="A46">
        <v>2012</v>
      </c>
      <c r="B46" s="1">
        <f>'BRF harvest'!V92</f>
        <v>1745.7990518365464</v>
      </c>
      <c r="C46" s="1">
        <f>'BRF harvest'!W92</f>
        <v>93953.046040871646</v>
      </c>
      <c r="D46" s="1">
        <f>'BRF harvest'!V142</f>
        <v>27781.014813581882</v>
      </c>
      <c r="E46" s="1">
        <f>'BRF harvest'!W142</f>
        <v>1128019.4441820735</v>
      </c>
      <c r="F46" s="1">
        <f>'BRF harvest'!V192</f>
        <v>17987.532233085069</v>
      </c>
      <c r="G46" s="1">
        <f>'BRF harvest'!W192</f>
        <v>3616881.7853904092</v>
      </c>
      <c r="H46" s="1">
        <f>'BRF harvest'!V217</f>
        <v>10965.405775255005</v>
      </c>
      <c r="I46" s="1">
        <f>'BRF harvest'!W217</f>
        <v>229712.57980967275</v>
      </c>
      <c r="J46" s="2">
        <f t="shared" si="8"/>
        <v>58479.751873758505</v>
      </c>
      <c r="K46" s="1">
        <f t="shared" si="9"/>
        <v>5068566.8554230276</v>
      </c>
      <c r="L46">
        <f t="shared" si="10"/>
        <v>2251.3477864210645</v>
      </c>
      <c r="M46" s="14">
        <f t="shared" si="11"/>
        <v>3.8497902509591647E-2</v>
      </c>
      <c r="N46" s="14"/>
      <c r="O46" s="101"/>
      <c r="P46">
        <v>2012</v>
      </c>
      <c r="Q46" s="1">
        <f t="shared" si="0"/>
        <v>1745.7990518365464</v>
      </c>
      <c r="R46" s="102">
        <f t="shared" si="1"/>
        <v>0.17557439442057812</v>
      </c>
      <c r="S46" s="1">
        <f t="shared" si="2"/>
        <v>27781.014813581882</v>
      </c>
      <c r="T46" s="102">
        <f t="shared" si="3"/>
        <v>3.8230518386525525E-2</v>
      </c>
      <c r="U46" s="1">
        <f t="shared" si="4"/>
        <v>17987.532233085069</v>
      </c>
      <c r="V46" s="102">
        <f t="shared" si="5"/>
        <v>0.10572935237876435</v>
      </c>
      <c r="W46" s="1">
        <f t="shared" si="6"/>
        <v>10965.405775255005</v>
      </c>
      <c r="X46" s="102">
        <f t="shared" si="7"/>
        <v>4.3708679114715918E-2</v>
      </c>
      <c r="Y46" s="2">
        <f t="shared" si="12"/>
        <v>58479.751873758505</v>
      </c>
      <c r="Z46" s="102">
        <f t="shared" si="13"/>
        <v>3.8497902509591647E-2</v>
      </c>
    </row>
    <row r="47" spans="1:26" x14ac:dyDescent="0.3">
      <c r="A47">
        <v>2013</v>
      </c>
      <c r="B47" s="1">
        <f>'BRF harvest'!V93</f>
        <v>3000.9497101971401</v>
      </c>
      <c r="C47" s="1">
        <f>'BRF harvest'!W93</f>
        <v>215147.48775332514</v>
      </c>
      <c r="D47" s="1">
        <f>'BRF harvest'!V143</f>
        <v>34083.147174723796</v>
      </c>
      <c r="E47" s="1">
        <f>'BRF harvest'!W143</f>
        <v>2632140.1705319341</v>
      </c>
      <c r="F47" s="1">
        <f>'BRF harvest'!V193</f>
        <v>21249.481628977708</v>
      </c>
      <c r="G47" s="1">
        <f>'BRF harvest'!W193</f>
        <v>4423827.3810186312</v>
      </c>
      <c r="H47" s="1">
        <f>'BRF harvest'!V218</f>
        <v>14211.254064056518</v>
      </c>
      <c r="I47" s="1">
        <f>'BRF harvest'!W218</f>
        <v>1659687.0655911737</v>
      </c>
      <c r="J47" s="2">
        <f t="shared" si="8"/>
        <v>72544.832577955152</v>
      </c>
      <c r="K47" s="1">
        <f t="shared" si="9"/>
        <v>8930802.1048950646</v>
      </c>
      <c r="L47">
        <f t="shared" si="10"/>
        <v>2988.4447635676761</v>
      </c>
      <c r="M47" s="14">
        <f t="shared" si="11"/>
        <v>4.1194453931041278E-2</v>
      </c>
      <c r="N47" s="14"/>
      <c r="O47" s="101"/>
      <c r="P47">
        <v>2013</v>
      </c>
      <c r="Q47" s="1">
        <f t="shared" si="0"/>
        <v>3000.9497101971401</v>
      </c>
      <c r="R47" s="102">
        <f t="shared" si="1"/>
        <v>0.15456438209130929</v>
      </c>
      <c r="S47" s="1">
        <f t="shared" si="2"/>
        <v>34083.147174723796</v>
      </c>
      <c r="T47" s="102">
        <f t="shared" si="3"/>
        <v>4.7600861926433459E-2</v>
      </c>
      <c r="U47" s="1">
        <f t="shared" si="4"/>
        <v>21249.481628977708</v>
      </c>
      <c r="V47" s="102">
        <f t="shared" si="5"/>
        <v>9.8980751327052835E-2</v>
      </c>
      <c r="W47" s="1">
        <f t="shared" si="6"/>
        <v>14211.254064056518</v>
      </c>
      <c r="X47" s="102">
        <f t="shared" si="7"/>
        <v>9.0652691102327113E-2</v>
      </c>
      <c r="Y47" s="2">
        <f t="shared" si="12"/>
        <v>72544.832577955152</v>
      </c>
      <c r="Z47" s="102">
        <f t="shared" si="13"/>
        <v>4.1194453931041278E-2</v>
      </c>
    </row>
    <row r="48" spans="1:26" x14ac:dyDescent="0.3">
      <c r="A48">
        <v>2014</v>
      </c>
      <c r="B48" s="1">
        <f>'BRF harvest'!V94</f>
        <v>3207.5013932866418</v>
      </c>
      <c r="C48" s="1">
        <f>'BRF harvest'!W94</f>
        <v>152746.46053883649</v>
      </c>
      <c r="D48" s="1">
        <f>'BRF harvest'!V144</f>
        <v>41651.075389744306</v>
      </c>
      <c r="E48" s="1">
        <f>'BRF harvest'!W144</f>
        <v>3465087.1491045747</v>
      </c>
      <c r="F48" s="1">
        <f>'BRF harvest'!V194</f>
        <v>14155.101665283793</v>
      </c>
      <c r="G48" s="1">
        <f>'BRF harvest'!W194</f>
        <v>1483281.6606528168</v>
      </c>
      <c r="H48" s="1">
        <f>'BRF harvest'!V219</f>
        <v>17414.864695871405</v>
      </c>
      <c r="I48" s="1">
        <f>'BRF harvest'!W219</f>
        <v>2232989.8725310024</v>
      </c>
      <c r="J48" s="2">
        <f t="shared" si="8"/>
        <v>76428.543144186144</v>
      </c>
      <c r="K48" s="1">
        <f t="shared" si="9"/>
        <v>7334105.1428272305</v>
      </c>
      <c r="L48">
        <f t="shared" si="10"/>
        <v>2708.15530256801</v>
      </c>
      <c r="M48" s="14">
        <f t="shared" si="11"/>
        <v>3.5433820810360651E-2</v>
      </c>
      <c r="N48" s="14"/>
      <c r="O48" s="101"/>
      <c r="P48">
        <v>2014</v>
      </c>
      <c r="Q48" s="1">
        <f t="shared" si="0"/>
        <v>3207.5013932866418</v>
      </c>
      <c r="R48" s="102">
        <f t="shared" si="1"/>
        <v>0.12184808948280948</v>
      </c>
      <c r="S48" s="1">
        <f t="shared" si="2"/>
        <v>41651.075389744306</v>
      </c>
      <c r="T48" s="102">
        <f t="shared" si="3"/>
        <v>4.4692110305665118E-2</v>
      </c>
      <c r="U48" s="1">
        <f t="shared" si="4"/>
        <v>14155.101665283793</v>
      </c>
      <c r="V48" s="102">
        <f t="shared" si="5"/>
        <v>8.6039686767725193E-2</v>
      </c>
      <c r="W48" s="1">
        <f t="shared" si="6"/>
        <v>17414.864695871405</v>
      </c>
      <c r="X48" s="102">
        <f t="shared" si="7"/>
        <v>8.5807109411710658E-2</v>
      </c>
      <c r="Y48" s="2">
        <f t="shared" si="12"/>
        <v>76428.543144186144</v>
      </c>
      <c r="Z48" s="102">
        <f t="shared" si="13"/>
        <v>3.5433820810360651E-2</v>
      </c>
    </row>
    <row r="49" spans="1:26" x14ac:dyDescent="0.3">
      <c r="A49">
        <v>2015</v>
      </c>
      <c r="B49" s="1">
        <f>'BRF harvest'!V95</f>
        <v>4097.416587712285</v>
      </c>
      <c r="C49" s="1">
        <f>'BRF harvest'!W95</f>
        <v>305317.06956449698</v>
      </c>
      <c r="D49" s="1">
        <f>'BRF harvest'!V145</f>
        <v>50441.674194269071</v>
      </c>
      <c r="E49" s="1">
        <f>'BRF harvest'!W145</f>
        <v>4563873.3703743536</v>
      </c>
      <c r="F49" s="1">
        <f>'BRF harvest'!V195</f>
        <v>17208.175891250874</v>
      </c>
      <c r="G49" s="1">
        <f>'BRF harvest'!W195</f>
        <v>1022168.6267373222</v>
      </c>
      <c r="H49" s="1">
        <f>'BRF harvest'!V220</f>
        <v>14750.918130976226</v>
      </c>
      <c r="I49" s="1">
        <f>'BRF harvest'!W220</f>
        <v>354131.24878091889</v>
      </c>
      <c r="J49" s="2">
        <f t="shared" si="8"/>
        <v>86498.18480420846</v>
      </c>
      <c r="K49" s="1">
        <f t="shared" si="9"/>
        <v>6245490.3154570926</v>
      </c>
      <c r="L49">
        <f t="shared" si="10"/>
        <v>2499.0979003346574</v>
      </c>
      <c r="M49" s="14">
        <f t="shared" si="11"/>
        <v>2.8891911500703155E-2</v>
      </c>
      <c r="N49" s="14"/>
      <c r="O49" s="101"/>
      <c r="P49">
        <v>2015</v>
      </c>
      <c r="Q49" s="1">
        <f t="shared" si="0"/>
        <v>4097.416587712285</v>
      </c>
      <c r="R49" s="102">
        <f t="shared" si="1"/>
        <v>0.13485449325450954</v>
      </c>
      <c r="S49" s="1">
        <f t="shared" si="2"/>
        <v>50441.674194269071</v>
      </c>
      <c r="T49" s="102">
        <f t="shared" si="3"/>
        <v>4.235232925856184E-2</v>
      </c>
      <c r="U49" s="1">
        <f t="shared" si="4"/>
        <v>17208.175891250874</v>
      </c>
      <c r="V49" s="102">
        <f t="shared" si="5"/>
        <v>5.8752511619277942E-2</v>
      </c>
      <c r="W49" s="1">
        <f t="shared" si="6"/>
        <v>14750.918130976226</v>
      </c>
      <c r="X49" s="102">
        <f t="shared" si="7"/>
        <v>4.0342524628500187E-2</v>
      </c>
      <c r="Y49" s="2">
        <f t="shared" si="12"/>
        <v>86498.18480420846</v>
      </c>
      <c r="Z49" s="102">
        <f t="shared" si="13"/>
        <v>2.8891911500703155E-2</v>
      </c>
    </row>
    <row r="50" spans="1:26" x14ac:dyDescent="0.3">
      <c r="A50">
        <v>2016</v>
      </c>
      <c r="B50" s="1">
        <f>'BRF harvest'!V96</f>
        <v>5660.4828550359216</v>
      </c>
      <c r="C50" s="1">
        <f>'BRF harvest'!W96</f>
        <v>413441.98591321171</v>
      </c>
      <c r="D50" s="1">
        <f>'BRF harvest'!V146</f>
        <v>55044.008117348872</v>
      </c>
      <c r="E50" s="1">
        <f>'BRF harvest'!W146</f>
        <v>2886054.4933671332</v>
      </c>
      <c r="F50" s="1">
        <f>'BRF harvest'!V196</f>
        <v>35768.927236487783</v>
      </c>
      <c r="G50" s="1">
        <f>'BRF harvest'!W196</f>
        <v>20953849.174634855</v>
      </c>
      <c r="H50" s="1">
        <f>'BRF harvest'!V221</f>
        <v>20499.475462710096</v>
      </c>
      <c r="I50" s="1">
        <f>'BRF harvest'!W221</f>
        <v>273024.93444649503</v>
      </c>
      <c r="J50" s="2">
        <f t="shared" si="8"/>
        <v>116972.89367158267</v>
      </c>
      <c r="K50" s="1">
        <f t="shared" si="9"/>
        <v>24526370.588361695</v>
      </c>
      <c r="L50">
        <f t="shared" si="10"/>
        <v>4952.4105835806558</v>
      </c>
      <c r="M50" s="14">
        <f t="shared" si="11"/>
        <v>4.2338104394384075E-2</v>
      </c>
      <c r="N50" s="14"/>
      <c r="O50" s="101"/>
      <c r="P50">
        <v>2016</v>
      </c>
      <c r="Q50" s="1">
        <f t="shared" si="0"/>
        <v>5660.4828550359216</v>
      </c>
      <c r="R50" s="102">
        <f t="shared" si="1"/>
        <v>0.1135935859634352</v>
      </c>
      <c r="S50" s="1">
        <f t="shared" si="2"/>
        <v>55044.008117348872</v>
      </c>
      <c r="T50" s="102">
        <f t="shared" si="3"/>
        <v>3.0863289550302903E-2</v>
      </c>
      <c r="U50" s="1">
        <f t="shared" si="4"/>
        <v>35768.927236487783</v>
      </c>
      <c r="V50" s="102">
        <f t="shared" si="5"/>
        <v>0.12797525145821897</v>
      </c>
      <c r="W50" s="1">
        <f t="shared" si="6"/>
        <v>20499.475462710096</v>
      </c>
      <c r="X50" s="102">
        <f t="shared" si="7"/>
        <v>2.5489329251262443E-2</v>
      </c>
      <c r="Y50" s="2">
        <f t="shared" si="12"/>
        <v>116972.89367158267</v>
      </c>
      <c r="Z50" s="102">
        <f t="shared" si="13"/>
        <v>4.2338104394384075E-2</v>
      </c>
    </row>
    <row r="51" spans="1:26" x14ac:dyDescent="0.3">
      <c r="A51">
        <v>2017</v>
      </c>
      <c r="B51" s="1">
        <f>'BRF harvest'!V97</f>
        <v>6473.9448151017532</v>
      </c>
      <c r="C51" s="1">
        <f>'BRF harvest'!W97</f>
        <v>397642.66634740343</v>
      </c>
      <c r="D51" s="1">
        <f>'BRF harvest'!V147</f>
        <v>36998.861344014433</v>
      </c>
      <c r="E51" s="1">
        <f>'BRF harvest'!W147</f>
        <v>2291697.5035546883</v>
      </c>
      <c r="F51" s="1">
        <f>'BRF harvest'!V197</f>
        <v>26515.434331874218</v>
      </c>
      <c r="G51" s="1">
        <f>'BRF harvest'!W197</f>
        <v>11329210.503883079</v>
      </c>
      <c r="H51" s="1">
        <f>'BRF harvest'!V222</f>
        <v>23211.677413459453</v>
      </c>
      <c r="I51" s="1">
        <f>'BRF harvest'!W222</f>
        <v>2985735.7358132112</v>
      </c>
      <c r="J51" s="2">
        <f t="shared" si="8"/>
        <v>93199.91790444986</v>
      </c>
      <c r="K51" s="1">
        <f t="shared" si="9"/>
        <v>17004286.40959838</v>
      </c>
      <c r="L51">
        <f t="shared" si="10"/>
        <v>4123.6253963713025</v>
      </c>
      <c r="M51" s="14">
        <f t="shared" si="11"/>
        <v>4.424494665970536E-2</v>
      </c>
      <c r="N51" s="14"/>
      <c r="O51" s="101"/>
      <c r="P51">
        <v>2017</v>
      </c>
      <c r="Q51" s="1">
        <f t="shared" si="0"/>
        <v>6473.9448151017532</v>
      </c>
      <c r="R51" s="102">
        <f t="shared" si="1"/>
        <v>9.7404157786131845E-2</v>
      </c>
      <c r="S51" s="1">
        <f t="shared" si="2"/>
        <v>36998.861344014433</v>
      </c>
      <c r="T51" s="102">
        <f t="shared" si="3"/>
        <v>4.0915728406552415E-2</v>
      </c>
      <c r="U51" s="1">
        <f t="shared" si="4"/>
        <v>26515.434331874218</v>
      </c>
      <c r="V51" s="102">
        <f t="shared" si="5"/>
        <v>0.1269407552173695</v>
      </c>
      <c r="W51" s="1">
        <f t="shared" si="6"/>
        <v>23211.677413459453</v>
      </c>
      <c r="X51" s="102">
        <f t="shared" si="7"/>
        <v>7.4442192695760495E-2</v>
      </c>
      <c r="Y51" s="2">
        <f t="shared" si="12"/>
        <v>93199.91790444986</v>
      </c>
      <c r="Z51" s="102">
        <f t="shared" si="13"/>
        <v>4.424494665970536E-2</v>
      </c>
    </row>
    <row r="52" spans="1:26" x14ac:dyDescent="0.3">
      <c r="A52">
        <v>2018</v>
      </c>
      <c r="B52" s="1">
        <f>'BRF harvest'!V98</f>
        <v>10351.34650619547</v>
      </c>
      <c r="C52" s="1">
        <f>'BRF harvest'!W98</f>
        <v>1314529.5542270041</v>
      </c>
      <c r="D52" s="1">
        <f>'BRF harvest'!V148</f>
        <v>45070.801381422149</v>
      </c>
      <c r="E52" s="1">
        <f>'BRF harvest'!W148</f>
        <v>2395766.0972050214</v>
      </c>
      <c r="F52" s="1">
        <f>'BRF harvest'!V198</f>
        <v>15299.694485694679</v>
      </c>
      <c r="G52" s="1">
        <f>'BRF harvest'!W198</f>
        <v>2533381.8945884216</v>
      </c>
      <c r="H52" s="1">
        <f>'BRF harvest'!V223</f>
        <v>22024.818525746632</v>
      </c>
      <c r="I52" s="1">
        <f>'BRF harvest'!W223</f>
        <v>1031155.2816088116</v>
      </c>
      <c r="J52" s="2">
        <f t="shared" si="8"/>
        <v>92746.660899058916</v>
      </c>
      <c r="K52" s="1">
        <f t="shared" si="9"/>
        <v>7274832.8276292579</v>
      </c>
      <c r="L52">
        <f t="shared" si="10"/>
        <v>2697.1898019288997</v>
      </c>
      <c r="M52" s="14">
        <f t="shared" si="11"/>
        <v>2.9081260454911616E-2</v>
      </c>
      <c r="N52" s="14"/>
      <c r="O52" s="101"/>
      <c r="P52">
        <v>2018</v>
      </c>
      <c r="Q52" s="1">
        <f t="shared" si="0"/>
        <v>10351.34650619547</v>
      </c>
      <c r="R52" s="102">
        <f t="shared" si="1"/>
        <v>0.11076137302308947</v>
      </c>
      <c r="S52" s="1">
        <f t="shared" si="2"/>
        <v>45070.801381422149</v>
      </c>
      <c r="T52" s="102">
        <f t="shared" si="3"/>
        <v>3.434210623275176E-2</v>
      </c>
      <c r="U52" s="1">
        <f t="shared" si="4"/>
        <v>15299.694485694679</v>
      </c>
      <c r="V52" s="102">
        <f t="shared" si="5"/>
        <v>0.10403214966005793</v>
      </c>
      <c r="W52" s="1">
        <f t="shared" si="6"/>
        <v>22024.818525746632</v>
      </c>
      <c r="X52" s="102">
        <f t="shared" si="7"/>
        <v>4.610517731211064E-2</v>
      </c>
      <c r="Y52" s="2">
        <f t="shared" si="12"/>
        <v>92746.660899058916</v>
      </c>
      <c r="Z52" s="102">
        <f t="shared" si="13"/>
        <v>2.9081260454911616E-2</v>
      </c>
    </row>
    <row r="53" spans="1:26" x14ac:dyDescent="0.3">
      <c r="A53">
        <v>2019</v>
      </c>
      <c r="B53" s="1">
        <f>'BRF harvest'!V99</f>
        <v>20951.001437090013</v>
      </c>
      <c r="C53" s="1">
        <f>'BRF harvest'!W99</f>
        <v>4597394.0414417489</v>
      </c>
      <c r="D53" s="1">
        <f>'BRF harvest'!V149</f>
        <v>58554.617143937008</v>
      </c>
      <c r="E53" s="1">
        <f>'BRF harvest'!W149</f>
        <v>5058551.7826525113</v>
      </c>
      <c r="F53" s="1">
        <f>'BRF harvest'!V199</f>
        <v>18830.028999863069</v>
      </c>
      <c r="G53" s="1">
        <f>'BRF harvest'!W199</f>
        <v>3263556.6208663043</v>
      </c>
      <c r="H53" s="1">
        <f>'BRF harvest'!V224</f>
        <v>24580.990618561074</v>
      </c>
      <c r="I53" s="1">
        <f>'BRF harvest'!W224</f>
        <v>1908033.3220547538</v>
      </c>
      <c r="J53" s="2">
        <f>H53+F53+D53+B53</f>
        <v>122916.63819945118</v>
      </c>
      <c r="K53" s="1">
        <f t="shared" si="9"/>
        <v>14827535.767015317</v>
      </c>
      <c r="L53">
        <f t="shared" si="10"/>
        <v>3850.6539401789037</v>
      </c>
      <c r="M53" s="14">
        <f t="shared" si="11"/>
        <v>3.1327361344935453E-2</v>
      </c>
      <c r="N53" s="14"/>
      <c r="O53" s="101"/>
      <c r="P53">
        <v>2019</v>
      </c>
      <c r="Q53" s="1">
        <f t="shared" si="0"/>
        <v>20951.001437090013</v>
      </c>
      <c r="R53" s="102">
        <f t="shared" si="1"/>
        <v>0.10234133495258745</v>
      </c>
      <c r="S53" s="1">
        <f t="shared" si="2"/>
        <v>58554.617143937008</v>
      </c>
      <c r="T53" s="102">
        <f t="shared" si="3"/>
        <v>3.841067633839066E-2</v>
      </c>
      <c r="U53" s="1">
        <f t="shared" si="4"/>
        <v>18830.028999863069</v>
      </c>
      <c r="V53" s="102">
        <f t="shared" si="5"/>
        <v>9.593886738622677E-2</v>
      </c>
      <c r="W53" s="1">
        <f t="shared" si="6"/>
        <v>24580.990618561074</v>
      </c>
      <c r="X53" s="102">
        <f t="shared" si="7"/>
        <v>5.619447219120273E-2</v>
      </c>
      <c r="Y53" s="2">
        <f t="shared" si="12"/>
        <v>122916.63819945118</v>
      </c>
      <c r="Z53" s="102">
        <f t="shared" si="13"/>
        <v>3.1327361344935453E-2</v>
      </c>
    </row>
    <row r="54" spans="1:26" x14ac:dyDescent="0.3">
      <c r="A54">
        <v>2020</v>
      </c>
      <c r="B54" s="1">
        <f>'BRF harvest'!V100</f>
        <v>15439.775004553248</v>
      </c>
      <c r="C54" s="1">
        <f>'BRF harvest'!W100</f>
        <v>4313335.54887826</v>
      </c>
      <c r="D54" s="1">
        <f>'BRF harvest'!V150</f>
        <v>38757.512733722113</v>
      </c>
      <c r="E54" s="1">
        <f>'BRF harvest'!W150</f>
        <v>1704662.3901296675</v>
      </c>
      <c r="F54" s="1">
        <f>'BRF harvest'!V200</f>
        <v>11747.352584602875</v>
      </c>
      <c r="G54" s="1">
        <f>'BRF harvest'!W200</f>
        <v>1588638.332458341</v>
      </c>
      <c r="H54" s="1">
        <f>'BRF harvest'!V225</f>
        <v>25049.538032354885</v>
      </c>
      <c r="I54" s="1">
        <f>'BRF harvest'!W225</f>
        <v>1010748.6738261967</v>
      </c>
      <c r="J54" s="2">
        <f t="shared" ref="J54:J55" si="14">H54+F54+D54+B54</f>
        <v>90994.178355233118</v>
      </c>
      <c r="K54" s="1">
        <f t="shared" ref="K54:K55" si="15">SUM(C54,E54,G54,I54)</f>
        <v>8617384.9452924654</v>
      </c>
      <c r="L54">
        <f t="shared" ref="L54:L55" si="16">SQRT(K54)</f>
        <v>2935.5382718153182</v>
      </c>
      <c r="M54" s="14">
        <f t="shared" ref="M54:M55" si="17">L54/J54</f>
        <v>3.2260726179154452E-2</v>
      </c>
      <c r="N54" s="14"/>
      <c r="O54" s="101"/>
      <c r="P54">
        <v>2020</v>
      </c>
      <c r="Q54" s="1">
        <f t="shared" si="0"/>
        <v>15439.775004553248</v>
      </c>
      <c r="R54" s="102">
        <f t="shared" si="1"/>
        <v>0.13451343247569908</v>
      </c>
      <c r="S54" s="1">
        <f t="shared" si="2"/>
        <v>38757.512733722113</v>
      </c>
      <c r="T54" s="102">
        <f t="shared" si="3"/>
        <v>3.368707405939865E-2</v>
      </c>
      <c r="U54" s="1">
        <f t="shared" si="4"/>
        <v>11747.352584602875</v>
      </c>
      <c r="V54" s="102">
        <f t="shared" si="5"/>
        <v>0.10729327823131149</v>
      </c>
      <c r="W54" s="1">
        <f t="shared" si="6"/>
        <v>25049.538032354885</v>
      </c>
      <c r="X54" s="102">
        <f t="shared" si="7"/>
        <v>4.0134870789362093E-2</v>
      </c>
      <c r="Y54" s="2">
        <f t="shared" si="12"/>
        <v>90994.178355233118</v>
      </c>
      <c r="Z54" s="102">
        <f t="shared" si="13"/>
        <v>3.2260726179154452E-2</v>
      </c>
    </row>
    <row r="55" spans="1:26" x14ac:dyDescent="0.3">
      <c r="A55">
        <v>2021</v>
      </c>
      <c r="B55" s="1">
        <f>'BRF harvest'!V101</f>
        <v>16783.41620100525</v>
      </c>
      <c r="C55" s="1">
        <f>'BRF harvest'!W101</f>
        <v>2310917.5254827244</v>
      </c>
      <c r="D55" s="1">
        <f>'BRF harvest'!V151</f>
        <v>81589.802407130323</v>
      </c>
      <c r="E55" s="1">
        <f>'BRF harvest'!W151</f>
        <v>6263680.5738764955</v>
      </c>
      <c r="F55" s="1">
        <f>'BRF harvest'!V201</f>
        <v>23129.416589528293</v>
      </c>
      <c r="G55" s="1">
        <f>'BRF harvest'!W201</f>
        <v>5699835.5241236929</v>
      </c>
      <c r="H55" s="1">
        <f>'BRF harvest'!V226</f>
        <v>32867.033801571837</v>
      </c>
      <c r="I55" s="1">
        <f>'BRF harvest'!W226</f>
        <v>2403187.0173338689</v>
      </c>
      <c r="J55" s="2">
        <f t="shared" si="14"/>
        <v>154369.6689992357</v>
      </c>
      <c r="K55" s="1">
        <f t="shared" si="15"/>
        <v>16677620.640816782</v>
      </c>
      <c r="L55">
        <f t="shared" si="16"/>
        <v>4083.8242666423321</v>
      </c>
      <c r="M55" s="14">
        <f t="shared" si="17"/>
        <v>2.6454835934529027E-2</v>
      </c>
      <c r="N55" s="14"/>
      <c r="O55" s="101"/>
      <c r="P55">
        <v>2021</v>
      </c>
      <c r="Q55" s="1">
        <f t="shared" si="0"/>
        <v>16783.41620100525</v>
      </c>
      <c r="R55" s="102">
        <f t="shared" si="1"/>
        <v>9.0575733265934322E-2</v>
      </c>
      <c r="S55" s="1">
        <f t="shared" si="2"/>
        <v>81589.802407130323</v>
      </c>
      <c r="T55" s="102">
        <f t="shared" si="3"/>
        <v>3.0674600811733347E-2</v>
      </c>
      <c r="U55" s="1">
        <f t="shared" si="4"/>
        <v>23129.416589528293</v>
      </c>
      <c r="V55" s="102">
        <f t="shared" si="5"/>
        <v>0.10322062478710618</v>
      </c>
      <c r="W55" s="1">
        <f t="shared" si="6"/>
        <v>32867.033801571837</v>
      </c>
      <c r="X55" s="102">
        <f t="shared" si="7"/>
        <v>4.7166459012174478E-2</v>
      </c>
      <c r="Y55" s="2">
        <f t="shared" si="12"/>
        <v>154369.6689992357</v>
      </c>
      <c r="Z55" s="102">
        <f t="shared" si="13"/>
        <v>2.6454835934529027E-2</v>
      </c>
    </row>
    <row r="56" spans="1:26" x14ac:dyDescent="0.3">
      <c r="A56">
        <v>2022</v>
      </c>
      <c r="B56" s="1">
        <f>'BRF harvest'!V102</f>
        <v>16316.715505147333</v>
      </c>
      <c r="C56" s="1">
        <f>'BRF harvest'!W102</f>
        <v>2460334.9895670293</v>
      </c>
      <c r="D56" s="1">
        <f>'BRF harvest'!V152</f>
        <v>80384.19053583128</v>
      </c>
      <c r="E56" s="1">
        <f>'BRF harvest'!W152</f>
        <v>6005497.7630218836</v>
      </c>
      <c r="F56" s="1">
        <f>'BRF harvest'!V202</f>
        <v>15393.651853710198</v>
      </c>
      <c r="G56" s="1">
        <f>'BRF harvest'!W202</f>
        <v>127916.75400010776</v>
      </c>
      <c r="H56" s="1">
        <f>'BRF harvest'!V227</f>
        <v>24914.449531200924</v>
      </c>
      <c r="I56" s="1">
        <f>'BRF harvest'!W227</f>
        <v>11392847.907505171</v>
      </c>
      <c r="J56" s="2">
        <f t="shared" ref="J56" si="18">H56+F56+D56+B56</f>
        <v>137009.00742588972</v>
      </c>
      <c r="K56" s="1">
        <f t="shared" ref="K56" si="19">SUM(C56,E56,G56,I56)</f>
        <v>19986597.414094195</v>
      </c>
      <c r="L56">
        <f t="shared" ref="L56" si="20">SQRT(K56)</f>
        <v>4470.6372492178552</v>
      </c>
      <c r="M56" s="14">
        <f t="shared" ref="M56" si="21">L56/J56</f>
        <v>3.2630243319119671E-2</v>
      </c>
      <c r="N56" s="14"/>
      <c r="O56" s="101"/>
      <c r="P56">
        <v>2022</v>
      </c>
      <c r="Q56" s="1">
        <f t="shared" si="0"/>
        <v>16316.715505147333</v>
      </c>
      <c r="R56" s="102">
        <f t="shared" si="1"/>
        <v>9.6131203659169065E-2</v>
      </c>
      <c r="S56" s="1">
        <f t="shared" si="2"/>
        <v>80384.19053583128</v>
      </c>
      <c r="T56" s="102">
        <f t="shared" si="3"/>
        <v>3.0486239839832983E-2</v>
      </c>
      <c r="U56" s="1">
        <f t="shared" si="4"/>
        <v>15393.651853710198</v>
      </c>
      <c r="V56" s="102">
        <f t="shared" si="5"/>
        <v>2.32338967423317E-2</v>
      </c>
      <c r="W56" s="1">
        <f t="shared" si="6"/>
        <v>24914.449531200924</v>
      </c>
      <c r="X56" s="102">
        <f t="shared" si="7"/>
        <v>0.13547677621125387</v>
      </c>
      <c r="Y56" s="2">
        <f t="shared" si="12"/>
        <v>137009.00742588972</v>
      </c>
      <c r="Z56" s="102">
        <f t="shared" si="13"/>
        <v>3.2630243319119671E-2</v>
      </c>
    </row>
    <row r="57" spans="1:26" x14ac:dyDescent="0.3">
      <c r="K57" s="1"/>
    </row>
    <row r="58" spans="1:26" x14ac:dyDescent="0.3">
      <c r="A58" s="109" t="s">
        <v>96</v>
      </c>
      <c r="B58" s="109"/>
      <c r="C58" s="109"/>
      <c r="D58" s="109"/>
      <c r="E58" s="109"/>
      <c r="F58" s="109"/>
      <c r="G58" s="109"/>
      <c r="H58" s="109"/>
      <c r="I58" s="9"/>
    </row>
    <row r="59" spans="1:26" x14ac:dyDescent="0.3">
      <c r="A59" t="s">
        <v>34</v>
      </c>
      <c r="B59" s="109" t="s">
        <v>47</v>
      </c>
      <c r="C59" s="109"/>
      <c r="D59" s="109" t="s">
        <v>49</v>
      </c>
      <c r="E59" s="109"/>
      <c r="F59" s="109" t="s">
        <v>51</v>
      </c>
      <c r="G59" s="109"/>
      <c r="H59" s="109" t="s">
        <v>52</v>
      </c>
      <c r="I59" s="109"/>
      <c r="J59" s="109" t="s">
        <v>153</v>
      </c>
      <c r="K59" s="109"/>
      <c r="L59" s="109"/>
      <c r="M59" s="109"/>
      <c r="N59" s="9"/>
      <c r="O59" s="100"/>
      <c r="P59" t="s">
        <v>34</v>
      </c>
      <c r="Q59" s="109" t="s">
        <v>47</v>
      </c>
      <c r="R59" s="109"/>
      <c r="S59" s="109" t="s">
        <v>49</v>
      </c>
      <c r="T59" s="109"/>
      <c r="U59" s="109" t="s">
        <v>51</v>
      </c>
      <c r="V59" s="109"/>
      <c r="W59" s="109" t="s">
        <v>52</v>
      </c>
      <c r="X59" s="109"/>
      <c r="Y59" s="109" t="s">
        <v>153</v>
      </c>
      <c r="Z59" s="109"/>
    </row>
    <row r="60" spans="1:26" x14ac:dyDescent="0.3">
      <c r="B60" s="9" t="s">
        <v>138</v>
      </c>
      <c r="C60" s="9" t="s">
        <v>139</v>
      </c>
      <c r="D60" s="9" t="s">
        <v>138</v>
      </c>
      <c r="E60" s="9" t="s">
        <v>139</v>
      </c>
      <c r="F60" s="9" t="s">
        <v>138</v>
      </c>
      <c r="G60" s="9" t="s">
        <v>139</v>
      </c>
      <c r="H60" s="9" t="s">
        <v>138</v>
      </c>
      <c r="I60" s="9" t="s">
        <v>139</v>
      </c>
      <c r="J60" s="9" t="s">
        <v>138</v>
      </c>
      <c r="K60" s="9" t="s">
        <v>154</v>
      </c>
      <c r="L60" s="9" t="s">
        <v>155</v>
      </c>
      <c r="M60" s="9" t="s">
        <v>156</v>
      </c>
      <c r="N60" s="9"/>
      <c r="O60" s="100"/>
      <c r="Q60" s="9" t="s">
        <v>138</v>
      </c>
      <c r="R60" s="9" t="s">
        <v>175</v>
      </c>
      <c r="S60" s="9" t="s">
        <v>138</v>
      </c>
      <c r="T60" s="9" t="s">
        <v>175</v>
      </c>
      <c r="U60" s="9" t="s">
        <v>138</v>
      </c>
      <c r="V60" s="9" t="s">
        <v>175</v>
      </c>
      <c r="W60" s="9" t="s">
        <v>138</v>
      </c>
      <c r="X60" s="9" t="s">
        <v>175</v>
      </c>
      <c r="Y60" s="9" t="s">
        <v>138</v>
      </c>
      <c r="Z60" s="9" t="s">
        <v>175</v>
      </c>
    </row>
    <row r="61" spans="1:26" x14ac:dyDescent="0.3">
      <c r="A61">
        <v>1998</v>
      </c>
      <c r="B61" s="1">
        <f>'YE harvest'!Y78</f>
        <v>114.63402784599876</v>
      </c>
      <c r="C61" s="1">
        <f>'YE harvest'!Z78</f>
        <v>1478.7341714203999</v>
      </c>
      <c r="D61" s="1">
        <f>'YE harvest'!Y128</f>
        <v>1010.8472744741673</v>
      </c>
      <c r="E61" s="1">
        <f>'YE harvest'!Z128</f>
        <v>44605.894820884881</v>
      </c>
      <c r="F61" s="1">
        <f>'YE harvest'!Y178</f>
        <v>4323.3091952068589</v>
      </c>
      <c r="G61" s="1">
        <f>'YE harvest'!Z178</f>
        <v>3985655.1190094971</v>
      </c>
      <c r="H61" s="1">
        <f>'YE harvest'!Y203</f>
        <v>1524.7131150898849</v>
      </c>
      <c r="I61" s="1">
        <f>'YE harvest'!Z203</f>
        <v>32506.187060316694</v>
      </c>
      <c r="J61" s="2">
        <f>H61+F61+D61+B61</f>
        <v>6973.5036126169098</v>
      </c>
      <c r="K61" s="1">
        <f>SUM(C61,E61,G61,I61)</f>
        <v>4064245.9350621188</v>
      </c>
      <c r="L61">
        <f>SQRT(K61)</f>
        <v>2015.9975037340992</v>
      </c>
      <c r="M61" s="14">
        <f>L61/J61</f>
        <v>0.28909392117996857</v>
      </c>
      <c r="N61" s="14"/>
      <c r="O61" s="101"/>
      <c r="P61">
        <v>1998</v>
      </c>
      <c r="Q61" s="1">
        <f t="shared" ref="Q61:Q85" si="22">B61</f>
        <v>114.63402784599876</v>
      </c>
      <c r="R61" s="102">
        <f t="shared" ref="R61:R85" si="23">SQRT(C61)/Q61</f>
        <v>0.3354528624969762</v>
      </c>
      <c r="S61" s="1">
        <f t="shared" ref="S61:S85" si="24">D61</f>
        <v>1010.8472744741673</v>
      </c>
      <c r="T61" s="102">
        <f t="shared" ref="T61:T85" si="25">SQRT(E61)/S61</f>
        <v>0.20893470466258984</v>
      </c>
      <c r="U61" s="1">
        <f t="shared" ref="U61:U85" si="26">F61</f>
        <v>4323.3091952068589</v>
      </c>
      <c r="V61" s="102">
        <f t="shared" ref="V61:V85" si="27">SQRT(G61)/U61</f>
        <v>0.46177834352990199</v>
      </c>
      <c r="W61" s="1">
        <f t="shared" ref="W61:W85" si="28">H61</f>
        <v>1524.7131150898849</v>
      </c>
      <c r="X61" s="102">
        <f t="shared" ref="X61:X85" si="29">SQRT(I61)/W61</f>
        <v>0.1182482927378924</v>
      </c>
      <c r="Y61" s="2">
        <f>W61+U61+S61+Q61</f>
        <v>6973.5036126169098</v>
      </c>
      <c r="Z61" s="102">
        <f>M61</f>
        <v>0.28909392117996857</v>
      </c>
    </row>
    <row r="62" spans="1:26" x14ac:dyDescent="0.3">
      <c r="A62">
        <v>1999</v>
      </c>
      <c r="B62" s="1">
        <f>'YE harvest'!Y79</f>
        <v>38.800047057367813</v>
      </c>
      <c r="C62" s="1">
        <f>'YE harvest'!Z79</f>
        <v>183.18625267931171</v>
      </c>
      <c r="D62" s="1">
        <f>'YE harvest'!Y129</f>
        <v>1972.8827593606434</v>
      </c>
      <c r="E62" s="1">
        <f>'YE harvest'!Z129</f>
        <v>83033.656148943148</v>
      </c>
      <c r="F62" s="1">
        <f>'YE harvest'!Y179</f>
        <v>6232.4939588887446</v>
      </c>
      <c r="G62" s="1">
        <f>'YE harvest'!Z179</f>
        <v>2379584.1732093524</v>
      </c>
      <c r="H62" s="1">
        <f>'YE harvest'!Y204</f>
        <v>1372.4240179057144</v>
      </c>
      <c r="I62" s="1">
        <f>'YE harvest'!Z204</f>
        <v>12701.778105845702</v>
      </c>
      <c r="J62" s="2">
        <f t="shared" ref="J62:J82" si="30">H62+F62+D62+B62</f>
        <v>9616.6007832124706</v>
      </c>
      <c r="K62" s="1">
        <f t="shared" ref="K62:K82" si="31">SUM(C62,E62,G62,I62)</f>
        <v>2475502.7937168204</v>
      </c>
      <c r="L62">
        <f t="shared" ref="L62:L82" si="32">SQRT(K62)</f>
        <v>1573.3730624733666</v>
      </c>
      <c r="M62" s="14">
        <f t="shared" ref="M62:M82" si="33">L62/J62</f>
        <v>0.16361010485326333</v>
      </c>
      <c r="N62" s="14"/>
      <c r="O62" s="101"/>
      <c r="P62">
        <v>1999</v>
      </c>
      <c r="Q62" s="1">
        <f t="shared" si="22"/>
        <v>38.800047057367813</v>
      </c>
      <c r="R62" s="102">
        <f t="shared" si="23"/>
        <v>0.34883028839758157</v>
      </c>
      <c r="S62" s="1">
        <f t="shared" si="24"/>
        <v>1972.8827593606434</v>
      </c>
      <c r="T62" s="102">
        <f t="shared" si="25"/>
        <v>0.14605815253319474</v>
      </c>
      <c r="U62" s="1">
        <f t="shared" si="26"/>
        <v>6232.4939588887446</v>
      </c>
      <c r="V62" s="102">
        <f t="shared" si="27"/>
        <v>0.24750767447273841</v>
      </c>
      <c r="W62" s="1">
        <f t="shared" si="28"/>
        <v>1372.4240179057144</v>
      </c>
      <c r="X62" s="102">
        <f t="shared" si="29"/>
        <v>8.211905651483406E-2</v>
      </c>
      <c r="Y62" s="2">
        <f t="shared" ref="Y62:Y85" si="34">W62+U62+S62+Q62</f>
        <v>9616.6007832124706</v>
      </c>
      <c r="Z62" s="102">
        <f t="shared" ref="Z62:Z85" si="35">M62</f>
        <v>0.16361010485326333</v>
      </c>
    </row>
    <row r="63" spans="1:26" x14ac:dyDescent="0.3">
      <c r="A63">
        <v>2000</v>
      </c>
      <c r="B63" s="1">
        <f>'YE harvest'!Y80</f>
        <v>82.832973413741342</v>
      </c>
      <c r="C63" s="1">
        <f>'YE harvest'!Z80</f>
        <v>907.4778577373562</v>
      </c>
      <c r="D63" s="1">
        <f>'YE harvest'!Y130</f>
        <v>2251.7961901175809</v>
      </c>
      <c r="E63" s="1">
        <f>'YE harvest'!Z130</f>
        <v>42696.134951332351</v>
      </c>
      <c r="F63" s="1">
        <f>'YE harvest'!Y180</f>
        <v>4193.5807750539725</v>
      </c>
      <c r="G63" s="1">
        <f>'YE harvest'!Z180</f>
        <v>1014547.9235301495</v>
      </c>
      <c r="H63" s="1">
        <f>'YE harvest'!Y205</f>
        <v>2233.1015129593766</v>
      </c>
      <c r="I63" s="1">
        <f>'YE harvest'!Z205</f>
        <v>49898.804431712451</v>
      </c>
      <c r="J63" s="2">
        <f t="shared" si="30"/>
        <v>8761.3114515446705</v>
      </c>
      <c r="K63" s="1">
        <f t="shared" si="31"/>
        <v>1108050.3407709317</v>
      </c>
      <c r="L63">
        <f t="shared" si="32"/>
        <v>1052.6397013085398</v>
      </c>
      <c r="M63" s="14">
        <f t="shared" si="33"/>
        <v>0.12014636246300241</v>
      </c>
      <c r="N63" s="14"/>
      <c r="O63" s="101"/>
      <c r="P63">
        <v>2000</v>
      </c>
      <c r="Q63" s="1">
        <f t="shared" si="22"/>
        <v>82.832973413741342</v>
      </c>
      <c r="R63" s="102">
        <f t="shared" si="23"/>
        <v>0.36367610517223414</v>
      </c>
      <c r="S63" s="1">
        <f t="shared" si="24"/>
        <v>2251.7961901175809</v>
      </c>
      <c r="T63" s="102">
        <f t="shared" si="25"/>
        <v>9.1762492428124301E-2</v>
      </c>
      <c r="U63" s="1">
        <f t="shared" si="26"/>
        <v>4193.5807750539725</v>
      </c>
      <c r="V63" s="102">
        <f t="shared" si="27"/>
        <v>0.24018798044845202</v>
      </c>
      <c r="W63" s="1">
        <f t="shared" si="28"/>
        <v>2233.1015129593766</v>
      </c>
      <c r="X63" s="102">
        <f t="shared" si="29"/>
        <v>0.10003145923960946</v>
      </c>
      <c r="Y63" s="2">
        <f t="shared" si="34"/>
        <v>8761.3114515446705</v>
      </c>
      <c r="Z63" s="102">
        <f t="shared" si="35"/>
        <v>0.12014636246300241</v>
      </c>
    </row>
    <row r="64" spans="1:26" x14ac:dyDescent="0.3">
      <c r="A64">
        <v>2001</v>
      </c>
      <c r="B64" s="1">
        <f>'YE harvest'!Y81</f>
        <v>26.247090656454695</v>
      </c>
      <c r="C64" s="1">
        <f>'YE harvest'!Z81</f>
        <v>83.8283111309307</v>
      </c>
      <c r="D64" s="1">
        <f>'YE harvest'!Y131</f>
        <v>3630.8895239532312</v>
      </c>
      <c r="E64" s="1">
        <f>'YE harvest'!Z131</f>
        <v>350535.4654668814</v>
      </c>
      <c r="F64" s="1">
        <f>'YE harvest'!Y181</f>
        <v>16006.251354019303</v>
      </c>
      <c r="G64" s="1">
        <f>'YE harvest'!Z181</f>
        <v>19632810.406517267</v>
      </c>
      <c r="H64" s="1">
        <f>'YE harvest'!Y206</f>
        <v>3273.5906180914117</v>
      </c>
      <c r="I64" s="1">
        <f>'YE harvest'!Z206</f>
        <v>185769.06290857727</v>
      </c>
      <c r="J64" s="2">
        <f t="shared" si="30"/>
        <v>22936.978586720401</v>
      </c>
      <c r="K64" s="1">
        <f t="shared" si="31"/>
        <v>20169198.763203859</v>
      </c>
      <c r="L64">
        <f t="shared" si="32"/>
        <v>4491.0131110033353</v>
      </c>
      <c r="M64" s="14">
        <f t="shared" si="33"/>
        <v>0.19579793799011755</v>
      </c>
      <c r="N64" s="14"/>
      <c r="O64" s="101"/>
      <c r="P64">
        <v>2001</v>
      </c>
      <c r="Q64" s="1">
        <f t="shared" si="22"/>
        <v>26.247090656454695</v>
      </c>
      <c r="R64" s="102">
        <f t="shared" si="23"/>
        <v>0.34883028839758157</v>
      </c>
      <c r="S64" s="1">
        <f t="shared" si="24"/>
        <v>3630.8895239532312</v>
      </c>
      <c r="T64" s="102">
        <f t="shared" si="25"/>
        <v>0.16306206849985619</v>
      </c>
      <c r="U64" s="1">
        <f t="shared" si="26"/>
        <v>16006.251354019303</v>
      </c>
      <c r="V64" s="102">
        <f t="shared" si="27"/>
        <v>0.27682263850878308</v>
      </c>
      <c r="W64" s="1">
        <f t="shared" si="28"/>
        <v>3273.5906180914117</v>
      </c>
      <c r="X64" s="102">
        <f t="shared" si="29"/>
        <v>0.13166256991292341</v>
      </c>
      <c r="Y64" s="2">
        <f t="shared" si="34"/>
        <v>22936.978586720401</v>
      </c>
      <c r="Z64" s="102">
        <f t="shared" si="35"/>
        <v>0.19579793799011755</v>
      </c>
    </row>
    <row r="65" spans="1:26" x14ac:dyDescent="0.3">
      <c r="A65">
        <v>2002</v>
      </c>
      <c r="B65" s="1">
        <f>'YE harvest'!Y82</f>
        <v>130.71241575619871</v>
      </c>
      <c r="C65" s="1">
        <f>'YE harvest'!Z82</f>
        <v>2355.5648587405494</v>
      </c>
      <c r="D65" s="1">
        <f>'YE harvest'!Y132</f>
        <v>2277.5040950429998</v>
      </c>
      <c r="E65" s="1">
        <f>'YE harvest'!Z132</f>
        <v>52670.575063468372</v>
      </c>
      <c r="F65" s="1">
        <f>'YE harvest'!Y182</f>
        <v>12764.663929567156</v>
      </c>
      <c r="G65" s="1">
        <f>'YE harvest'!Z182</f>
        <v>11680704.394592507</v>
      </c>
      <c r="H65" s="1">
        <f>'YE harvest'!Y207</f>
        <v>2405.0861038705875</v>
      </c>
      <c r="I65" s="1">
        <f>'YE harvest'!Z207</f>
        <v>47801.929667898461</v>
      </c>
      <c r="J65" s="2">
        <f t="shared" si="30"/>
        <v>17577.966544236944</v>
      </c>
      <c r="K65" s="1">
        <f t="shared" si="31"/>
        <v>11783532.464182615</v>
      </c>
      <c r="L65">
        <f t="shared" si="32"/>
        <v>3432.7150281056852</v>
      </c>
      <c r="M65" s="14">
        <f t="shared" si="33"/>
        <v>0.19528510419375694</v>
      </c>
      <c r="N65" s="14"/>
      <c r="O65" s="101"/>
      <c r="P65">
        <v>2002</v>
      </c>
      <c r="Q65" s="1">
        <f t="shared" si="22"/>
        <v>130.71241575619871</v>
      </c>
      <c r="R65" s="102">
        <f t="shared" si="23"/>
        <v>0.37130491001537352</v>
      </c>
      <c r="S65" s="1">
        <f t="shared" si="24"/>
        <v>2277.5040950429998</v>
      </c>
      <c r="T65" s="102">
        <f t="shared" si="25"/>
        <v>0.1007685161566534</v>
      </c>
      <c r="U65" s="1">
        <f t="shared" si="26"/>
        <v>12764.663929567156</v>
      </c>
      <c r="V65" s="102">
        <f t="shared" si="27"/>
        <v>0.26774731942576074</v>
      </c>
      <c r="W65" s="1">
        <f t="shared" si="28"/>
        <v>2405.0861038705875</v>
      </c>
      <c r="X65" s="102">
        <f t="shared" si="29"/>
        <v>9.090590301200567E-2</v>
      </c>
      <c r="Y65" s="2">
        <f t="shared" si="34"/>
        <v>17577.966544236944</v>
      </c>
      <c r="Z65" s="102">
        <f t="shared" si="35"/>
        <v>0.19528510419375694</v>
      </c>
    </row>
    <row r="66" spans="1:26" x14ac:dyDescent="0.3">
      <c r="A66">
        <v>2003</v>
      </c>
      <c r="B66" s="1">
        <f>'YE harvest'!Y83</f>
        <v>196.73455169304972</v>
      </c>
      <c r="C66" s="1">
        <f>'YE harvest'!Z83</f>
        <v>6504.7505652513883</v>
      </c>
      <c r="D66" s="1">
        <f>'YE harvest'!Y133</f>
        <v>3741.5840380937025</v>
      </c>
      <c r="E66" s="1">
        <f>'YE harvest'!Z133</f>
        <v>91358.264472703464</v>
      </c>
      <c r="F66" s="1">
        <f>'YE harvest'!Y183</f>
        <v>7553.370735548353</v>
      </c>
      <c r="G66" s="1">
        <f>'YE harvest'!Z183</f>
        <v>3037377.561652496</v>
      </c>
      <c r="H66" s="1">
        <f>'YE harvest'!Y208</f>
        <v>2217.1441774115324</v>
      </c>
      <c r="I66" s="1">
        <f>'YE harvest'!Z208</f>
        <v>12771.557421789723</v>
      </c>
      <c r="J66" s="2">
        <f t="shared" si="30"/>
        <v>13708.833502746636</v>
      </c>
      <c r="K66" s="1">
        <f t="shared" si="31"/>
        <v>3148012.1341122403</v>
      </c>
      <c r="L66">
        <f t="shared" si="32"/>
        <v>1774.2638287786403</v>
      </c>
      <c r="M66" s="14">
        <f t="shared" si="33"/>
        <v>0.1294248579518569</v>
      </c>
      <c r="N66" s="14"/>
      <c r="O66" s="101"/>
      <c r="P66">
        <v>2003</v>
      </c>
      <c r="Q66" s="1">
        <f t="shared" si="22"/>
        <v>196.73455169304972</v>
      </c>
      <c r="R66" s="102">
        <f t="shared" si="23"/>
        <v>0.40995358040978891</v>
      </c>
      <c r="S66" s="1">
        <f t="shared" si="24"/>
        <v>3741.5840380937025</v>
      </c>
      <c r="T66" s="102">
        <f t="shared" si="25"/>
        <v>8.0782709614628065E-2</v>
      </c>
      <c r="U66" s="1">
        <f t="shared" si="26"/>
        <v>7553.370735548353</v>
      </c>
      <c r="V66" s="102">
        <f t="shared" si="27"/>
        <v>0.23073240284456964</v>
      </c>
      <c r="W66" s="1">
        <f t="shared" si="28"/>
        <v>2217.1441774115324</v>
      </c>
      <c r="X66" s="102">
        <f t="shared" si="29"/>
        <v>5.0971568114713019E-2</v>
      </c>
      <c r="Y66" s="2">
        <f t="shared" si="34"/>
        <v>13708.833502746636</v>
      </c>
      <c r="Z66" s="102">
        <f t="shared" si="35"/>
        <v>0.1294248579518569</v>
      </c>
    </row>
    <row r="67" spans="1:26" x14ac:dyDescent="0.3">
      <c r="A67">
        <v>2004</v>
      </c>
      <c r="B67" s="1">
        <f>'YE harvest'!Y84</f>
        <v>156.20412224047752</v>
      </c>
      <c r="C67" s="1">
        <f>'YE harvest'!Z84</f>
        <v>5460.024659066753</v>
      </c>
      <c r="D67" s="1">
        <f>'YE harvest'!Y134</f>
        <v>4547.3562745164036</v>
      </c>
      <c r="E67" s="1">
        <f>'YE harvest'!Z134</f>
        <v>190285.9116902886</v>
      </c>
      <c r="F67" s="1">
        <f>'YE harvest'!Y184</f>
        <v>10754.231952603139</v>
      </c>
      <c r="G67" s="1">
        <f>'YE harvest'!Z184</f>
        <v>7788078.4670518143</v>
      </c>
      <c r="H67" s="1">
        <f>'YE harvest'!Y209</f>
        <v>2785.262202098957</v>
      </c>
      <c r="I67" s="1">
        <f>'YE harvest'!Z209</f>
        <v>22080.166847242486</v>
      </c>
      <c r="J67" s="2">
        <f t="shared" si="30"/>
        <v>18243.054551458976</v>
      </c>
      <c r="K67" s="1">
        <f t="shared" si="31"/>
        <v>8005904.570248412</v>
      </c>
      <c r="L67">
        <f t="shared" si="32"/>
        <v>2829.4707226349615</v>
      </c>
      <c r="M67" s="14">
        <f t="shared" si="33"/>
        <v>0.15509851788546433</v>
      </c>
      <c r="N67" s="14"/>
      <c r="O67" s="101"/>
      <c r="P67">
        <v>2004</v>
      </c>
      <c r="Q67" s="1">
        <f t="shared" si="22"/>
        <v>156.20412224047752</v>
      </c>
      <c r="R67" s="102">
        <f t="shared" si="23"/>
        <v>0.47304756498654549</v>
      </c>
      <c r="S67" s="1">
        <f t="shared" si="24"/>
        <v>4547.3562745164036</v>
      </c>
      <c r="T67" s="102">
        <f t="shared" si="25"/>
        <v>9.5927767242039372E-2</v>
      </c>
      <c r="U67" s="1">
        <f t="shared" si="26"/>
        <v>10754.231952603139</v>
      </c>
      <c r="V67" s="102">
        <f t="shared" si="27"/>
        <v>0.25949904262315965</v>
      </c>
      <c r="W67" s="1">
        <f t="shared" si="28"/>
        <v>2785.262202098957</v>
      </c>
      <c r="X67" s="102">
        <f t="shared" si="29"/>
        <v>5.3350081826088788E-2</v>
      </c>
      <c r="Y67" s="2">
        <f t="shared" si="34"/>
        <v>18243.054551458976</v>
      </c>
      <c r="Z67" s="102">
        <f t="shared" si="35"/>
        <v>0.15509851788546433</v>
      </c>
    </row>
    <row r="68" spans="1:26" x14ac:dyDescent="0.3">
      <c r="A68">
        <v>2005</v>
      </c>
      <c r="B68" s="1">
        <f>'YE harvest'!Y85</f>
        <v>100.95751210525455</v>
      </c>
      <c r="C68" s="1">
        <f>'YE harvest'!Z85</f>
        <v>2878.3384760800068</v>
      </c>
      <c r="D68" s="1">
        <f>'YE harvest'!Y135</f>
        <v>4442.565926288662</v>
      </c>
      <c r="E68" s="1">
        <f>'YE harvest'!Z135</f>
        <v>204203.86311433953</v>
      </c>
      <c r="F68" s="1">
        <f>'YE harvest'!Y185</f>
        <v>15412.96534265212</v>
      </c>
      <c r="G68" s="1">
        <f>'YE harvest'!Z185</f>
        <v>17413987.504054144</v>
      </c>
      <c r="H68" s="1">
        <f>'YE harvest'!Y210</f>
        <v>1719.0524302587439</v>
      </c>
      <c r="I68" s="1">
        <f>'YE harvest'!Z210</f>
        <v>20929.892824296956</v>
      </c>
      <c r="J68" s="2">
        <f t="shared" si="30"/>
        <v>21675.541211304782</v>
      </c>
      <c r="K68" s="1">
        <f t="shared" si="31"/>
        <v>17641999.598468859</v>
      </c>
      <c r="L68">
        <f t="shared" si="32"/>
        <v>4200.2380406911298</v>
      </c>
      <c r="M68" s="14">
        <f t="shared" si="33"/>
        <v>0.19377777005634877</v>
      </c>
      <c r="N68" s="14"/>
      <c r="O68" s="101"/>
      <c r="P68">
        <v>2005</v>
      </c>
      <c r="Q68" s="1">
        <f t="shared" si="22"/>
        <v>100.95751210525455</v>
      </c>
      <c r="R68" s="102">
        <f t="shared" si="23"/>
        <v>0.53141314373481496</v>
      </c>
      <c r="S68" s="1">
        <f t="shared" si="24"/>
        <v>4442.565926288662</v>
      </c>
      <c r="T68" s="102">
        <f t="shared" si="25"/>
        <v>0.10171806632248359</v>
      </c>
      <c r="U68" s="1">
        <f t="shared" si="26"/>
        <v>15412.96534265212</v>
      </c>
      <c r="V68" s="102">
        <f t="shared" si="27"/>
        <v>0.27074653819390299</v>
      </c>
      <c r="W68" s="1">
        <f t="shared" si="28"/>
        <v>1719.0524302587439</v>
      </c>
      <c r="X68" s="102">
        <f t="shared" si="29"/>
        <v>8.4157801097103996E-2</v>
      </c>
      <c r="Y68" s="2">
        <f t="shared" si="34"/>
        <v>21675.541211304782</v>
      </c>
      <c r="Z68" s="102">
        <f t="shared" si="35"/>
        <v>0.19377777005634877</v>
      </c>
    </row>
    <row r="69" spans="1:26" x14ac:dyDescent="0.3">
      <c r="A69">
        <v>2006</v>
      </c>
      <c r="B69" s="1">
        <f>'YE harvest'!Y86</f>
        <v>126.6134894673573</v>
      </c>
      <c r="C69" s="1">
        <f>'YE harvest'!Z86</f>
        <v>1139.7796756628134</v>
      </c>
      <c r="D69" s="1">
        <f>'YE harvest'!Y136</f>
        <v>4727.1493236848582</v>
      </c>
      <c r="E69" s="1">
        <f>'YE harvest'!Z136</f>
        <v>250362.4249653678</v>
      </c>
      <c r="F69" s="1">
        <f>'YE harvest'!Y186</f>
        <v>7057.6247000212579</v>
      </c>
      <c r="G69" s="1">
        <f>'YE harvest'!Z186</f>
        <v>2674464.5400223569</v>
      </c>
      <c r="H69" s="1">
        <f>'YE harvest'!Y211</f>
        <v>2735.8421010569841</v>
      </c>
      <c r="I69" s="1">
        <f>'YE harvest'!Z211</f>
        <v>46876.33874376602</v>
      </c>
      <c r="J69" s="2">
        <f t="shared" si="30"/>
        <v>14647.229614230459</v>
      </c>
      <c r="K69" s="1">
        <f t="shared" si="31"/>
        <v>2972843.0834071534</v>
      </c>
      <c r="L69">
        <f t="shared" si="32"/>
        <v>1724.193458811149</v>
      </c>
      <c r="M69" s="14">
        <f t="shared" si="33"/>
        <v>0.11771464667530135</v>
      </c>
      <c r="N69" s="14"/>
      <c r="O69" s="101"/>
      <c r="P69">
        <v>2006</v>
      </c>
      <c r="Q69" s="1">
        <f t="shared" si="22"/>
        <v>126.6134894673573</v>
      </c>
      <c r="R69" s="102">
        <f t="shared" si="23"/>
        <v>0.26664317755388939</v>
      </c>
      <c r="S69" s="1">
        <f t="shared" si="24"/>
        <v>4727.1493236848582</v>
      </c>
      <c r="T69" s="102">
        <f t="shared" si="25"/>
        <v>0.10584863295974735</v>
      </c>
      <c r="U69" s="1">
        <f t="shared" si="26"/>
        <v>7057.6247000212579</v>
      </c>
      <c r="V69" s="102">
        <f t="shared" si="27"/>
        <v>0.23171804818276587</v>
      </c>
      <c r="W69" s="1">
        <f t="shared" si="28"/>
        <v>2735.8421010569841</v>
      </c>
      <c r="X69" s="102">
        <f t="shared" si="29"/>
        <v>7.9138135397756451E-2</v>
      </c>
      <c r="Y69" s="2">
        <f t="shared" si="34"/>
        <v>14647.229614230459</v>
      </c>
      <c r="Z69" s="102">
        <f t="shared" si="35"/>
        <v>0.11771464667530135</v>
      </c>
    </row>
    <row r="70" spans="1:26" x14ac:dyDescent="0.3">
      <c r="A70">
        <v>2007</v>
      </c>
      <c r="B70" s="1">
        <f>'YE harvest'!Y87</f>
        <v>123.72875336864286</v>
      </c>
      <c r="C70" s="1">
        <f>'YE harvest'!Z87</f>
        <v>1230.3612837043206</v>
      </c>
      <c r="D70" s="1">
        <f>'YE harvest'!Y137</f>
        <v>4495.907789828324</v>
      </c>
      <c r="E70" s="1">
        <f>'YE harvest'!Z137</f>
        <v>199062.25640573041</v>
      </c>
      <c r="F70" s="1">
        <f>'YE harvest'!Y187</f>
        <v>6812.5266224150455</v>
      </c>
      <c r="G70" s="1">
        <f>'YE harvest'!Z187</f>
        <v>2625019.3514797394</v>
      </c>
      <c r="H70" s="1">
        <f>'YE harvest'!Y212</f>
        <v>3686.3072569496212</v>
      </c>
      <c r="I70" s="1">
        <f>'YE harvest'!Z212</f>
        <v>83692.112051560733</v>
      </c>
      <c r="J70" s="2">
        <f t="shared" si="30"/>
        <v>15118.470422561633</v>
      </c>
      <c r="K70" s="1">
        <f t="shared" si="31"/>
        <v>2909004.0812207349</v>
      </c>
      <c r="L70">
        <f t="shared" si="32"/>
        <v>1705.5802769792851</v>
      </c>
      <c r="M70" s="14">
        <f t="shared" si="33"/>
        <v>0.11281434095568355</v>
      </c>
      <c r="N70" s="14"/>
      <c r="O70" s="101"/>
      <c r="P70">
        <v>2007</v>
      </c>
      <c r="Q70" s="1">
        <f t="shared" si="22"/>
        <v>123.72875336864286</v>
      </c>
      <c r="R70" s="102">
        <f t="shared" si="23"/>
        <v>0.28349518761966008</v>
      </c>
      <c r="S70" s="1">
        <f t="shared" si="24"/>
        <v>4495.907789828324</v>
      </c>
      <c r="T70" s="102">
        <f t="shared" si="25"/>
        <v>9.9237785850826737E-2</v>
      </c>
      <c r="U70" s="1">
        <f t="shared" si="26"/>
        <v>6812.5266224150455</v>
      </c>
      <c r="V70" s="102">
        <f t="shared" si="27"/>
        <v>0.23782529396015789</v>
      </c>
      <c r="W70" s="1">
        <f t="shared" si="28"/>
        <v>3686.3072569496212</v>
      </c>
      <c r="X70" s="102">
        <f t="shared" si="29"/>
        <v>7.8478507073447668E-2</v>
      </c>
      <c r="Y70" s="2">
        <f t="shared" si="34"/>
        <v>15118.470422561633</v>
      </c>
      <c r="Z70" s="102">
        <f t="shared" si="35"/>
        <v>0.11281434095568355</v>
      </c>
    </row>
    <row r="71" spans="1:26" x14ac:dyDescent="0.3">
      <c r="A71">
        <v>2008</v>
      </c>
      <c r="B71" s="1">
        <f>'YE harvest'!Y88</f>
        <v>121.12828977583996</v>
      </c>
      <c r="C71" s="1">
        <f>'YE harvest'!Z88</f>
        <v>879.03288728168252</v>
      </c>
      <c r="D71" s="1">
        <f>'YE harvest'!Y138</f>
        <v>4994.3702105900184</v>
      </c>
      <c r="E71" s="1">
        <f>'YE harvest'!Z138</f>
        <v>239385.91287402436</v>
      </c>
      <c r="F71" s="1">
        <f>'YE harvest'!Y188</f>
        <v>6020.3625949699981</v>
      </c>
      <c r="G71" s="1">
        <f>'YE harvest'!Z188</f>
        <v>2063187.6250178725</v>
      </c>
      <c r="H71" s="1">
        <f>'YE harvest'!Y213</f>
        <v>3344.2297301840117</v>
      </c>
      <c r="I71" s="1">
        <f>'YE harvest'!Z213</f>
        <v>100803.07873647167</v>
      </c>
      <c r="J71" s="2">
        <f t="shared" si="30"/>
        <v>14480.090825519866</v>
      </c>
      <c r="K71" s="1">
        <f t="shared" si="31"/>
        <v>2404255.6495156502</v>
      </c>
      <c r="L71">
        <f t="shared" si="32"/>
        <v>1550.5662351269134</v>
      </c>
      <c r="M71" s="14">
        <f t="shared" si="33"/>
        <v>0.10708263185712751</v>
      </c>
      <c r="N71" s="14"/>
      <c r="O71" s="101"/>
      <c r="P71">
        <v>2008</v>
      </c>
      <c r="Q71" s="1">
        <f t="shared" si="22"/>
        <v>121.12828977583996</v>
      </c>
      <c r="R71" s="102">
        <f t="shared" si="23"/>
        <v>0.24476931723107018</v>
      </c>
      <c r="S71" s="1">
        <f t="shared" si="24"/>
        <v>4994.3702105900184</v>
      </c>
      <c r="T71" s="102">
        <f t="shared" si="25"/>
        <v>9.7964463275319963E-2</v>
      </c>
      <c r="U71" s="1">
        <f t="shared" si="26"/>
        <v>6020.3625949699981</v>
      </c>
      <c r="V71" s="102">
        <f t="shared" si="27"/>
        <v>0.23858696537428628</v>
      </c>
      <c r="W71" s="1">
        <f t="shared" si="28"/>
        <v>3344.2297301840117</v>
      </c>
      <c r="X71" s="102">
        <f t="shared" si="29"/>
        <v>9.4938156604289128E-2</v>
      </c>
      <c r="Y71" s="2">
        <f t="shared" si="34"/>
        <v>14480.090825519866</v>
      </c>
      <c r="Z71" s="102">
        <f t="shared" si="35"/>
        <v>0.10708263185712751</v>
      </c>
    </row>
    <row r="72" spans="1:26" x14ac:dyDescent="0.3">
      <c r="A72">
        <v>2009</v>
      </c>
      <c r="B72" s="1">
        <f>'YE harvest'!Y89</f>
        <v>142</v>
      </c>
      <c r="C72" s="1">
        <f>'YE harvest'!Z89</f>
        <v>0</v>
      </c>
      <c r="D72" s="1">
        <f>'YE harvest'!Y139</f>
        <v>3701.4340015587459</v>
      </c>
      <c r="E72" s="1">
        <f>'YE harvest'!Z139</f>
        <v>98912.159964646344</v>
      </c>
      <c r="F72" s="1">
        <f>'YE harvest'!Y189</f>
        <v>6656.4104345946271</v>
      </c>
      <c r="G72" s="1">
        <f>'YE harvest'!Z189</f>
        <v>2817505.4115609461</v>
      </c>
      <c r="H72" s="1">
        <f>'YE harvest'!Y214</f>
        <v>3440.3571153935532</v>
      </c>
      <c r="I72" s="1">
        <f>'YE harvest'!Z214</f>
        <v>85110.37950399227</v>
      </c>
      <c r="J72" s="2">
        <f t="shared" si="30"/>
        <v>13940.201551546927</v>
      </c>
      <c r="K72" s="1">
        <f t="shared" si="31"/>
        <v>3001527.9510295847</v>
      </c>
      <c r="L72">
        <f t="shared" si="32"/>
        <v>1732.4918328897209</v>
      </c>
      <c r="M72" s="14">
        <f t="shared" si="33"/>
        <v>0.12428025710270081</v>
      </c>
      <c r="N72" s="14"/>
      <c r="O72" s="101"/>
      <c r="P72">
        <v>2009</v>
      </c>
      <c r="Q72" s="1">
        <f t="shared" si="22"/>
        <v>142</v>
      </c>
      <c r="R72" s="102">
        <f t="shared" si="23"/>
        <v>0</v>
      </c>
      <c r="S72" s="1">
        <f t="shared" si="24"/>
        <v>3701.4340015587459</v>
      </c>
      <c r="T72" s="102">
        <f t="shared" si="25"/>
        <v>8.4967889840172645E-2</v>
      </c>
      <c r="U72" s="1">
        <f t="shared" si="26"/>
        <v>6656.4104345946271</v>
      </c>
      <c r="V72" s="102">
        <f t="shared" si="27"/>
        <v>0.2521693428666128</v>
      </c>
      <c r="W72" s="1">
        <f t="shared" si="28"/>
        <v>3440.3571153935532</v>
      </c>
      <c r="X72" s="102">
        <f t="shared" si="29"/>
        <v>8.4798415638085753E-2</v>
      </c>
      <c r="Y72" s="2">
        <f t="shared" si="34"/>
        <v>13940.201551546927</v>
      </c>
      <c r="Z72" s="102">
        <f t="shared" si="35"/>
        <v>0.12428025710270081</v>
      </c>
    </row>
    <row r="73" spans="1:26" x14ac:dyDescent="0.3">
      <c r="A73">
        <v>2010</v>
      </c>
      <c r="B73" s="1">
        <f>'YE harvest'!Y90</f>
        <v>185</v>
      </c>
      <c r="C73" s="1">
        <f>'YE harvest'!Z90</f>
        <v>0</v>
      </c>
      <c r="D73" s="1">
        <f>'YE harvest'!Y140</f>
        <v>4968.1559316658286</v>
      </c>
      <c r="E73" s="1">
        <f>'YE harvest'!Z140</f>
        <v>169457.0892937012</v>
      </c>
      <c r="F73" s="1">
        <f>'YE harvest'!Y190</f>
        <v>5890.5222992868257</v>
      </c>
      <c r="G73" s="1">
        <f>'YE harvest'!Z190</f>
        <v>1724809.0878952439</v>
      </c>
      <c r="H73" s="1">
        <f>'YE harvest'!Y215</f>
        <v>3859.3487313610804</v>
      </c>
      <c r="I73" s="1">
        <f>'YE harvest'!Z215</f>
        <v>32972.155489418699</v>
      </c>
      <c r="J73" s="2">
        <f t="shared" si="30"/>
        <v>14903.026962313736</v>
      </c>
      <c r="K73" s="1">
        <f t="shared" si="31"/>
        <v>1927238.3326783637</v>
      </c>
      <c r="L73">
        <f t="shared" si="32"/>
        <v>1388.2500973089695</v>
      </c>
      <c r="M73" s="14">
        <f t="shared" si="33"/>
        <v>9.3152223425451014E-2</v>
      </c>
      <c r="N73" s="14"/>
      <c r="O73" s="101"/>
      <c r="P73">
        <v>2010</v>
      </c>
      <c r="Q73" s="1">
        <f t="shared" si="22"/>
        <v>185</v>
      </c>
      <c r="R73" s="102">
        <f t="shared" si="23"/>
        <v>0</v>
      </c>
      <c r="S73" s="1">
        <f t="shared" si="24"/>
        <v>4968.1559316658286</v>
      </c>
      <c r="T73" s="102">
        <f t="shared" si="25"/>
        <v>8.2858039441438908E-2</v>
      </c>
      <c r="U73" s="1">
        <f t="shared" si="26"/>
        <v>5890.5222992868257</v>
      </c>
      <c r="V73" s="102">
        <f t="shared" si="27"/>
        <v>0.2229547408399048</v>
      </c>
      <c r="W73" s="1">
        <f t="shared" si="28"/>
        <v>3859.3487313610804</v>
      </c>
      <c r="X73" s="102">
        <f t="shared" si="29"/>
        <v>4.7050002013003557E-2</v>
      </c>
      <c r="Y73" s="2">
        <f t="shared" si="34"/>
        <v>14903.026962313736</v>
      </c>
      <c r="Z73" s="102">
        <f t="shared" si="35"/>
        <v>9.3152223425451014E-2</v>
      </c>
    </row>
    <row r="74" spans="1:26" x14ac:dyDescent="0.3">
      <c r="A74">
        <v>2011</v>
      </c>
      <c r="B74" s="1">
        <f>'YE harvest'!Y91</f>
        <v>217.90577346278317</v>
      </c>
      <c r="C74" s="1">
        <f>'YE harvest'!Z91</f>
        <v>818.522869261295</v>
      </c>
      <c r="D74" s="1">
        <f>'YE harvest'!Y141</f>
        <v>10669.006809314189</v>
      </c>
      <c r="E74" s="1">
        <f>'YE harvest'!Z141</f>
        <v>1136245.9157068026</v>
      </c>
      <c r="F74" s="1">
        <f>'YE harvest'!Y191</f>
        <v>10013.149281726068</v>
      </c>
      <c r="G74" s="1">
        <f>'YE harvest'!Z191</f>
        <v>3026327.0260543893</v>
      </c>
      <c r="H74" s="1">
        <f>'YE harvest'!Y216</f>
        <v>3631.4346867570644</v>
      </c>
      <c r="I74" s="1">
        <f>'YE harvest'!Z216</f>
        <v>30709.10988635035</v>
      </c>
      <c r="J74" s="2">
        <f t="shared" si="30"/>
        <v>24531.496551260101</v>
      </c>
      <c r="K74" s="1">
        <f t="shared" si="31"/>
        <v>4194100.5745168035</v>
      </c>
      <c r="L74">
        <f t="shared" si="32"/>
        <v>2047.9503349731906</v>
      </c>
      <c r="M74" s="14">
        <f t="shared" si="33"/>
        <v>8.3482486716367668E-2</v>
      </c>
      <c r="N74" s="14"/>
      <c r="O74" s="101"/>
      <c r="P74">
        <v>2011</v>
      </c>
      <c r="Q74" s="1">
        <f t="shared" si="22"/>
        <v>217.90577346278317</v>
      </c>
      <c r="R74" s="102">
        <f t="shared" si="23"/>
        <v>0.13129454178636718</v>
      </c>
      <c r="S74" s="1">
        <f t="shared" si="24"/>
        <v>10669.006809314189</v>
      </c>
      <c r="T74" s="102">
        <f t="shared" si="25"/>
        <v>9.9910739913950816E-2</v>
      </c>
      <c r="U74" s="1">
        <f t="shared" si="26"/>
        <v>10013.149281726068</v>
      </c>
      <c r="V74" s="102">
        <f t="shared" si="27"/>
        <v>0.17373496743981329</v>
      </c>
      <c r="W74" s="1">
        <f t="shared" si="28"/>
        <v>3631.4346867570644</v>
      </c>
      <c r="X74" s="102">
        <f t="shared" si="29"/>
        <v>4.8256450769710788E-2</v>
      </c>
      <c r="Y74" s="2">
        <f t="shared" si="34"/>
        <v>24531.496551260101</v>
      </c>
      <c r="Z74" s="102">
        <f t="shared" si="35"/>
        <v>8.3482486716367668E-2</v>
      </c>
    </row>
    <row r="75" spans="1:26" x14ac:dyDescent="0.3">
      <c r="A75">
        <v>2012</v>
      </c>
      <c r="B75" s="1">
        <f>'YE harvest'!Y92</f>
        <v>285.76097223449557</v>
      </c>
      <c r="C75" s="1">
        <f>'YE harvest'!Z92</f>
        <v>8055.8146938504788</v>
      </c>
      <c r="D75" s="1">
        <f>'YE harvest'!Y142</f>
        <v>7206.7994962189441</v>
      </c>
      <c r="E75" s="1">
        <f>'YE harvest'!Z142</f>
        <v>282279.64571210649</v>
      </c>
      <c r="F75" s="1">
        <f>'YE harvest'!Y192</f>
        <v>11293.970363139695</v>
      </c>
      <c r="G75" s="1">
        <f>'YE harvest'!Z192</f>
        <v>3249237.5211245115</v>
      </c>
      <c r="H75" s="1">
        <f>'YE harvest'!Y217</f>
        <v>3898.828160604784</v>
      </c>
      <c r="I75" s="1">
        <f>'YE harvest'!Z217</f>
        <v>18667.47452070914</v>
      </c>
      <c r="J75" s="2">
        <f t="shared" si="30"/>
        <v>22685.358992197918</v>
      </c>
      <c r="K75" s="1">
        <f t="shared" si="31"/>
        <v>3558240.4560511778</v>
      </c>
      <c r="L75">
        <f t="shared" si="32"/>
        <v>1886.3298905682373</v>
      </c>
      <c r="M75" s="14">
        <f t="shared" si="33"/>
        <v>8.3151864214138949E-2</v>
      </c>
      <c r="N75" s="14"/>
      <c r="O75" s="101"/>
      <c r="P75">
        <v>2012</v>
      </c>
      <c r="Q75" s="1">
        <f t="shared" si="22"/>
        <v>285.76097223449557</v>
      </c>
      <c r="R75" s="102">
        <f t="shared" si="23"/>
        <v>0.31408834346879355</v>
      </c>
      <c r="S75" s="1">
        <f t="shared" si="24"/>
        <v>7206.7994962189441</v>
      </c>
      <c r="T75" s="102">
        <f t="shared" si="25"/>
        <v>7.3722039665449962E-2</v>
      </c>
      <c r="U75" s="1">
        <f t="shared" si="26"/>
        <v>11293.970363139695</v>
      </c>
      <c r="V75" s="102">
        <f t="shared" si="27"/>
        <v>0.15960411562786408</v>
      </c>
      <c r="W75" s="1">
        <f t="shared" si="28"/>
        <v>3898.828160604784</v>
      </c>
      <c r="X75" s="102">
        <f t="shared" si="29"/>
        <v>3.504359797244451E-2</v>
      </c>
      <c r="Y75" s="2">
        <f t="shared" si="34"/>
        <v>22685.358992197918</v>
      </c>
      <c r="Z75" s="102">
        <f t="shared" si="35"/>
        <v>8.3151864214138949E-2</v>
      </c>
    </row>
    <row r="76" spans="1:26" x14ac:dyDescent="0.3">
      <c r="A76">
        <v>2013</v>
      </c>
      <c r="B76" s="1">
        <f>'YE harvest'!Y93</f>
        <v>340.58643347341899</v>
      </c>
      <c r="C76" s="1">
        <f>'YE harvest'!Z93</f>
        <v>10478.233209839733</v>
      </c>
      <c r="D76" s="1">
        <f>'YE harvest'!Y143</f>
        <v>5204.2948050256036</v>
      </c>
      <c r="E76" s="1">
        <f>'YE harvest'!Z143</f>
        <v>85673.858894821009</v>
      </c>
      <c r="F76" s="1">
        <f>'YE harvest'!Y193</f>
        <v>8547.6810594375947</v>
      </c>
      <c r="G76" s="1">
        <f>'YE harvest'!Z193</f>
        <v>1630832.1625935361</v>
      </c>
      <c r="H76" s="1">
        <f>'YE harvest'!Y218</f>
        <v>3983.719893661133</v>
      </c>
      <c r="I76" s="1">
        <f>'YE harvest'!Z218</f>
        <v>42402.853210425426</v>
      </c>
      <c r="J76" s="2">
        <f t="shared" si="30"/>
        <v>18076.282191597751</v>
      </c>
      <c r="K76" s="1">
        <f t="shared" si="31"/>
        <v>1769387.1079086224</v>
      </c>
      <c r="L76">
        <f t="shared" si="32"/>
        <v>1330.1831106688367</v>
      </c>
      <c r="M76" s="14">
        <f t="shared" si="33"/>
        <v>7.3587206515681347E-2</v>
      </c>
      <c r="N76" s="14"/>
      <c r="O76" s="101"/>
      <c r="P76">
        <v>2013</v>
      </c>
      <c r="Q76" s="1">
        <f t="shared" si="22"/>
        <v>340.58643347341899</v>
      </c>
      <c r="R76" s="102">
        <f t="shared" si="23"/>
        <v>0.30054996745874257</v>
      </c>
      <c r="S76" s="1">
        <f t="shared" si="24"/>
        <v>5204.2948050256036</v>
      </c>
      <c r="T76" s="102">
        <f t="shared" si="25"/>
        <v>5.6242196641326514E-2</v>
      </c>
      <c r="U76" s="1">
        <f t="shared" si="26"/>
        <v>8547.6810594375947</v>
      </c>
      <c r="V76" s="102">
        <f t="shared" si="27"/>
        <v>0.1494019703167748</v>
      </c>
      <c r="W76" s="1">
        <f t="shared" si="28"/>
        <v>3983.719893661133</v>
      </c>
      <c r="X76" s="102">
        <f t="shared" si="29"/>
        <v>5.1690263474151024E-2</v>
      </c>
      <c r="Y76" s="2">
        <f t="shared" si="34"/>
        <v>18076.282191597751</v>
      </c>
      <c r="Z76" s="102">
        <f t="shared" si="35"/>
        <v>7.3587206515681347E-2</v>
      </c>
    </row>
    <row r="77" spans="1:26" x14ac:dyDescent="0.3">
      <c r="A77">
        <v>2014</v>
      </c>
      <c r="B77" s="1">
        <f>'YE harvest'!Y94</f>
        <v>207.87273338704921</v>
      </c>
      <c r="C77" s="1">
        <f>'YE harvest'!Z94</f>
        <v>3989.566491730789</v>
      </c>
      <c r="D77" s="1">
        <f>'YE harvest'!Y144</f>
        <v>6051.9873365581861</v>
      </c>
      <c r="E77" s="1">
        <f>'YE harvest'!Z144</f>
        <v>252731.26237498879</v>
      </c>
      <c r="F77" s="1">
        <f>'YE harvest'!Y194</f>
        <v>14881.883454497516</v>
      </c>
      <c r="G77" s="1">
        <f>'YE harvest'!Z194</f>
        <v>6569385.2427642494</v>
      </c>
      <c r="H77" s="1">
        <f>'YE harvest'!Y219</f>
        <v>4750.0547256455111</v>
      </c>
      <c r="I77" s="1">
        <f>'YE harvest'!Z219</f>
        <v>147559.8370976728</v>
      </c>
      <c r="J77" s="2">
        <f t="shared" si="30"/>
        <v>25891.798250088264</v>
      </c>
      <c r="K77" s="1">
        <f t="shared" si="31"/>
        <v>6973665.9087286415</v>
      </c>
      <c r="L77">
        <f t="shared" si="32"/>
        <v>2640.7699461953594</v>
      </c>
      <c r="M77" s="14">
        <f t="shared" si="33"/>
        <v>0.10199252754436849</v>
      </c>
      <c r="N77" s="14"/>
      <c r="O77" s="101"/>
      <c r="P77">
        <v>2014</v>
      </c>
      <c r="Q77" s="1">
        <f t="shared" si="22"/>
        <v>207.87273338704921</v>
      </c>
      <c r="R77" s="102">
        <f t="shared" si="23"/>
        <v>0.3038542582820617</v>
      </c>
      <c r="S77" s="1">
        <f t="shared" si="24"/>
        <v>6051.9873365581861</v>
      </c>
      <c r="T77" s="102">
        <f t="shared" si="25"/>
        <v>8.3067563611246592E-2</v>
      </c>
      <c r="U77" s="1">
        <f t="shared" si="26"/>
        <v>14881.883454497516</v>
      </c>
      <c r="V77" s="102">
        <f t="shared" si="27"/>
        <v>0.17222828070159996</v>
      </c>
      <c r="W77" s="1">
        <f t="shared" si="28"/>
        <v>4750.0547256455111</v>
      </c>
      <c r="X77" s="102">
        <f t="shared" si="29"/>
        <v>8.086963265628469E-2</v>
      </c>
      <c r="Y77" s="2">
        <f t="shared" si="34"/>
        <v>25891.798250088264</v>
      </c>
      <c r="Z77" s="102">
        <f t="shared" si="35"/>
        <v>0.10199252754436849</v>
      </c>
    </row>
    <row r="78" spans="1:26" x14ac:dyDescent="0.3">
      <c r="A78">
        <v>2015</v>
      </c>
      <c r="B78" s="1">
        <f>'YE harvest'!Y95</f>
        <v>235.32596925154078</v>
      </c>
      <c r="C78" s="1">
        <f>'YE harvest'!Z95</f>
        <v>3165.2132145234846</v>
      </c>
      <c r="D78" s="1">
        <f>'YE harvest'!Y145</f>
        <v>6603.921463759305</v>
      </c>
      <c r="E78" s="1">
        <f>'YE harvest'!Z145</f>
        <v>272472.4147653791</v>
      </c>
      <c r="F78" s="1">
        <f>'YE harvest'!Y195</f>
        <v>23885.877389538386</v>
      </c>
      <c r="G78" s="1">
        <f>'YE harvest'!Z195</f>
        <v>12172962.286204793</v>
      </c>
      <c r="H78" s="1">
        <f>'YE harvest'!Y220</f>
        <v>4469.9577383771712</v>
      </c>
      <c r="I78" s="1">
        <f>'YE harvest'!Z220</f>
        <v>15553.233456034344</v>
      </c>
      <c r="J78" s="2">
        <f t="shared" si="30"/>
        <v>35195.082560926407</v>
      </c>
      <c r="K78" s="1">
        <f t="shared" si="31"/>
        <v>12464153.147640729</v>
      </c>
      <c r="L78">
        <f t="shared" si="32"/>
        <v>3530.460755714575</v>
      </c>
      <c r="M78" s="14">
        <f t="shared" si="33"/>
        <v>0.1003111940312393</v>
      </c>
      <c r="N78" s="14"/>
      <c r="O78" s="101"/>
      <c r="P78">
        <v>2015</v>
      </c>
      <c r="Q78" s="1">
        <f t="shared" si="22"/>
        <v>235.32596925154078</v>
      </c>
      <c r="R78" s="102">
        <f t="shared" si="23"/>
        <v>0.2390736042548105</v>
      </c>
      <c r="S78" s="1">
        <f t="shared" si="24"/>
        <v>6603.921463759305</v>
      </c>
      <c r="T78" s="102">
        <f t="shared" si="25"/>
        <v>7.9042263869817886E-2</v>
      </c>
      <c r="U78" s="1">
        <f t="shared" si="26"/>
        <v>23885.877389538386</v>
      </c>
      <c r="V78" s="102">
        <f t="shared" si="27"/>
        <v>0.14606862449066835</v>
      </c>
      <c r="W78" s="1">
        <f t="shared" si="28"/>
        <v>4469.9577383771712</v>
      </c>
      <c r="X78" s="102">
        <f t="shared" si="29"/>
        <v>2.7900175065699143E-2</v>
      </c>
      <c r="Y78" s="2">
        <f t="shared" si="34"/>
        <v>35195.082560926407</v>
      </c>
      <c r="Z78" s="102">
        <f t="shared" si="35"/>
        <v>0.1003111940312393</v>
      </c>
    </row>
    <row r="79" spans="1:26" x14ac:dyDescent="0.3">
      <c r="A79">
        <v>2016</v>
      </c>
      <c r="B79" s="1">
        <f>'YE harvest'!Y96</f>
        <v>185</v>
      </c>
      <c r="C79" s="1">
        <f>'YE harvest'!Z96</f>
        <v>0</v>
      </c>
      <c r="D79" s="1">
        <f>'YE harvest'!Y146</f>
        <v>7593.0449405866093</v>
      </c>
      <c r="E79" s="1">
        <f>'YE harvest'!Z146</f>
        <v>315691.11127034936</v>
      </c>
      <c r="F79" s="1">
        <f>'YE harvest'!Y196</f>
        <v>12059.125859241933</v>
      </c>
      <c r="G79" s="1">
        <f>'YE harvest'!Z196</f>
        <v>6803509.8675684854</v>
      </c>
      <c r="H79" s="1">
        <f>'YE harvest'!Y221</f>
        <v>6063.5322109110748</v>
      </c>
      <c r="I79" s="1">
        <f>'YE harvest'!Z221</f>
        <v>45639.421859531634</v>
      </c>
      <c r="J79" s="2">
        <f t="shared" si="30"/>
        <v>25900.703010739617</v>
      </c>
      <c r="K79" s="1">
        <f t="shared" si="31"/>
        <v>7164840.4006983666</v>
      </c>
      <c r="L79">
        <f t="shared" si="32"/>
        <v>2676.7219505765565</v>
      </c>
      <c r="M79" s="14">
        <f t="shared" si="33"/>
        <v>0.10334553272421468</v>
      </c>
      <c r="N79" s="14"/>
      <c r="O79" s="101"/>
      <c r="P79">
        <v>2016</v>
      </c>
      <c r="Q79" s="1">
        <f t="shared" si="22"/>
        <v>185</v>
      </c>
      <c r="R79" s="102">
        <f t="shared" si="23"/>
        <v>0</v>
      </c>
      <c r="S79" s="1">
        <f t="shared" si="24"/>
        <v>7593.0449405866093</v>
      </c>
      <c r="T79" s="102">
        <f t="shared" si="25"/>
        <v>7.3997186363327139E-2</v>
      </c>
      <c r="U79" s="1">
        <f t="shared" si="26"/>
        <v>12059.125859241933</v>
      </c>
      <c r="V79" s="102">
        <f t="shared" si="27"/>
        <v>0.21629709251669624</v>
      </c>
      <c r="W79" s="1">
        <f t="shared" si="28"/>
        <v>6063.5322109110748</v>
      </c>
      <c r="X79" s="102">
        <f t="shared" si="29"/>
        <v>3.5232574439177759E-2</v>
      </c>
      <c r="Y79" s="2">
        <f t="shared" si="34"/>
        <v>25900.703010739617</v>
      </c>
      <c r="Z79" s="102">
        <f t="shared" si="35"/>
        <v>0.10334553272421468</v>
      </c>
    </row>
    <row r="80" spans="1:26" x14ac:dyDescent="0.3">
      <c r="A80">
        <v>2017</v>
      </c>
      <c r="B80" s="1">
        <f>'YE harvest'!Y97</f>
        <v>514.05519472633296</v>
      </c>
      <c r="C80" s="1">
        <f>'YE harvest'!Z97</f>
        <v>5875.7724831279229</v>
      </c>
      <c r="D80" s="1">
        <f>'YE harvest'!Y147</f>
        <v>4799.5903715376362</v>
      </c>
      <c r="E80" s="1">
        <f>'YE harvest'!Z147</f>
        <v>124597.87321376504</v>
      </c>
      <c r="F80" s="1">
        <f>'YE harvest'!Y197</f>
        <v>10753.720765991142</v>
      </c>
      <c r="G80" s="1">
        <f>'YE harvest'!Z197</f>
        <v>4106204.5003393004</v>
      </c>
      <c r="H80" s="1">
        <f>'YE harvest'!Y222</f>
        <v>6412.5704511017502</v>
      </c>
      <c r="I80" s="1">
        <f>'YE harvest'!Z222</f>
        <v>209703.84333143715</v>
      </c>
      <c r="J80" s="2">
        <f t="shared" si="30"/>
        <v>22479.936783356861</v>
      </c>
      <c r="K80" s="1">
        <f t="shared" si="31"/>
        <v>4446381.9893676313</v>
      </c>
      <c r="L80">
        <f t="shared" si="32"/>
        <v>2108.6445858341399</v>
      </c>
      <c r="M80" s="14">
        <f t="shared" si="33"/>
        <v>9.3801179520899988E-2</v>
      </c>
      <c r="N80" s="14"/>
      <c r="O80" s="101"/>
      <c r="P80">
        <v>2017</v>
      </c>
      <c r="Q80" s="1">
        <f t="shared" si="22"/>
        <v>514.05519472633296</v>
      </c>
      <c r="R80" s="102">
        <f t="shared" si="23"/>
        <v>0.14911548084492598</v>
      </c>
      <c r="S80" s="1">
        <f t="shared" si="24"/>
        <v>4799.5903715376362</v>
      </c>
      <c r="T80" s="102">
        <f t="shared" si="25"/>
        <v>7.3544659440307469E-2</v>
      </c>
      <c r="U80" s="1">
        <f t="shared" si="26"/>
        <v>10753.720765991142</v>
      </c>
      <c r="V80" s="102">
        <f t="shared" si="27"/>
        <v>0.18843498266262118</v>
      </c>
      <c r="W80" s="1">
        <f t="shared" si="28"/>
        <v>6412.5704511017502</v>
      </c>
      <c r="X80" s="102">
        <f t="shared" si="29"/>
        <v>7.1411975207727671E-2</v>
      </c>
      <c r="Y80" s="2">
        <f t="shared" si="34"/>
        <v>22479.936783356861</v>
      </c>
      <c r="Z80" s="102">
        <f t="shared" si="35"/>
        <v>9.3801179520899988E-2</v>
      </c>
    </row>
    <row r="81" spans="1:26" x14ac:dyDescent="0.3">
      <c r="A81">
        <v>2018</v>
      </c>
      <c r="B81" s="1">
        <f>'YE harvest'!Y98</f>
        <v>551.95790333136938</v>
      </c>
      <c r="C81" s="1">
        <f>'YE harvest'!Z98</f>
        <v>12433.475368301828</v>
      </c>
      <c r="D81" s="1">
        <f>'YE harvest'!Y148</f>
        <v>7839.9500647929945</v>
      </c>
      <c r="E81" s="1">
        <f>'YE harvest'!Z148</f>
        <v>365954.65153756924</v>
      </c>
      <c r="F81" s="1">
        <f>'YE harvest'!Y198</f>
        <v>5220.3968911926113</v>
      </c>
      <c r="G81" s="1">
        <f>'YE harvest'!Z198</f>
        <v>874155.52639259642</v>
      </c>
      <c r="H81" s="1">
        <f>'YE harvest'!Y223</f>
        <v>4288.0212741982687</v>
      </c>
      <c r="I81" s="1">
        <f>'YE harvest'!Z223</f>
        <v>133105.80003044885</v>
      </c>
      <c r="J81" s="2">
        <f t="shared" si="30"/>
        <v>17900.326133515242</v>
      </c>
      <c r="K81" s="1">
        <f t="shared" si="31"/>
        <v>1385649.4533289163</v>
      </c>
      <c r="L81">
        <f t="shared" si="32"/>
        <v>1177.1361235341121</v>
      </c>
      <c r="M81" s="14">
        <f t="shared" si="33"/>
        <v>6.5760596469252586E-2</v>
      </c>
      <c r="N81" s="14"/>
      <c r="O81" s="101"/>
      <c r="P81">
        <v>2018</v>
      </c>
      <c r="Q81" s="1">
        <f t="shared" si="22"/>
        <v>551.95790333136938</v>
      </c>
      <c r="R81" s="102">
        <f t="shared" si="23"/>
        <v>0.20201811427416838</v>
      </c>
      <c r="S81" s="1">
        <f t="shared" si="24"/>
        <v>7839.9500647929945</v>
      </c>
      <c r="T81" s="102">
        <f t="shared" si="25"/>
        <v>7.7161442736437436E-2</v>
      </c>
      <c r="U81" s="1">
        <f t="shared" si="26"/>
        <v>5220.3968911926113</v>
      </c>
      <c r="V81" s="102">
        <f t="shared" si="27"/>
        <v>0.17909803930378246</v>
      </c>
      <c r="W81" s="1">
        <f t="shared" si="28"/>
        <v>4288.0212741982687</v>
      </c>
      <c r="X81" s="102">
        <f t="shared" si="29"/>
        <v>8.5082757873651313E-2</v>
      </c>
      <c r="Y81" s="2">
        <f t="shared" si="34"/>
        <v>17900.326133515242</v>
      </c>
      <c r="Z81" s="102">
        <f t="shared" si="35"/>
        <v>6.5760596469252586E-2</v>
      </c>
    </row>
    <row r="82" spans="1:26" x14ac:dyDescent="0.3">
      <c r="A82">
        <v>2019</v>
      </c>
      <c r="B82" s="1">
        <f>'YE harvest'!Y99</f>
        <v>546.45169971794257</v>
      </c>
      <c r="C82" s="1">
        <f>'YE harvest'!Z99</f>
        <v>5976.4278212540676</v>
      </c>
      <c r="D82" s="1">
        <f>'YE harvest'!Y149</f>
        <v>11737.347942109271</v>
      </c>
      <c r="E82" s="1">
        <f>'YE harvest'!Z149</f>
        <v>979508.987446649</v>
      </c>
      <c r="F82" s="1">
        <f>'YE harvest'!Y199</f>
        <v>12090.512924557934</v>
      </c>
      <c r="G82" s="1">
        <f>'YE harvest'!Z199</f>
        <v>3509261.6779471026</v>
      </c>
      <c r="H82" s="1">
        <f>'YE harvest'!Y224</f>
        <v>6165.5368305679594</v>
      </c>
      <c r="I82" s="1">
        <f>'YE harvest'!Z224</f>
        <v>154226.08246840123</v>
      </c>
      <c r="J82" s="2">
        <f t="shared" si="30"/>
        <v>30539.849396953105</v>
      </c>
      <c r="K82" s="1">
        <f t="shared" si="31"/>
        <v>4648973.1756834071</v>
      </c>
      <c r="L82">
        <f t="shared" si="32"/>
        <v>2156.1477629521141</v>
      </c>
      <c r="M82" s="14">
        <f t="shared" si="33"/>
        <v>7.0601126250715185E-2</v>
      </c>
      <c r="N82" s="14"/>
      <c r="O82" s="101"/>
      <c r="P82">
        <v>2019</v>
      </c>
      <c r="Q82" s="1">
        <f t="shared" si="22"/>
        <v>546.45169971794257</v>
      </c>
      <c r="R82" s="102">
        <f t="shared" si="23"/>
        <v>0.14147153255232811</v>
      </c>
      <c r="S82" s="1">
        <f t="shared" si="24"/>
        <v>11737.347942109271</v>
      </c>
      <c r="T82" s="102">
        <f t="shared" si="25"/>
        <v>8.4320705893765266E-2</v>
      </c>
      <c r="U82" s="1">
        <f t="shared" si="26"/>
        <v>12090.512924557934</v>
      </c>
      <c r="V82" s="102">
        <f t="shared" si="27"/>
        <v>0.15493985716459951</v>
      </c>
      <c r="W82" s="1">
        <f t="shared" si="28"/>
        <v>6165.5368305679594</v>
      </c>
      <c r="X82" s="102">
        <f t="shared" si="29"/>
        <v>6.3695392354766164E-2</v>
      </c>
      <c r="Y82" s="2">
        <f t="shared" si="34"/>
        <v>30539.849396953105</v>
      </c>
      <c r="Z82" s="102">
        <f t="shared" si="35"/>
        <v>7.0601126250715185E-2</v>
      </c>
    </row>
    <row r="83" spans="1:26" x14ac:dyDescent="0.3">
      <c r="A83">
        <v>2020</v>
      </c>
      <c r="B83" s="1">
        <f>'YE harvest'!Y100</f>
        <v>794.25331621737269</v>
      </c>
      <c r="C83" s="1">
        <f>'YE harvest'!Z100</f>
        <v>94642.344342430515</v>
      </c>
      <c r="D83" s="1">
        <f>'YE harvest'!Y150</f>
        <v>7241.3555109284898</v>
      </c>
      <c r="E83" s="1">
        <f>'YE harvest'!Z150</f>
        <v>385332.37749159755</v>
      </c>
      <c r="F83" s="1">
        <f>'YE harvest'!Y200</f>
        <v>5896.8659756685465</v>
      </c>
      <c r="G83" s="1">
        <f>'YE harvest'!Z200</f>
        <v>970571.92626239348</v>
      </c>
      <c r="H83" s="1">
        <f>'YE harvest'!Y225</f>
        <v>4173.7521858856489</v>
      </c>
      <c r="I83" s="1">
        <f>'YE harvest'!Z225</f>
        <v>90443.032206361735</v>
      </c>
      <c r="J83" s="2">
        <f t="shared" ref="J83:J84" si="36">H83+F83+D83+B83</f>
        <v>18106.226988700058</v>
      </c>
      <c r="K83" s="1">
        <f t="shared" ref="K83:K84" si="37">SUM(C83,E83,G83,I83)</f>
        <v>1540989.6803027831</v>
      </c>
      <c r="L83">
        <f t="shared" ref="L83:L84" si="38">SQRT(K83)</f>
        <v>1241.3660541124777</v>
      </c>
      <c r="M83" s="14">
        <f t="shared" ref="M83:M84" si="39">L83/J83</f>
        <v>6.8560172966306218E-2</v>
      </c>
      <c r="N83" s="14"/>
      <c r="O83" s="101"/>
      <c r="P83">
        <v>2020</v>
      </c>
      <c r="Q83" s="1">
        <f t="shared" si="22"/>
        <v>794.25331621737269</v>
      </c>
      <c r="R83" s="102">
        <f t="shared" si="23"/>
        <v>0.38733229395201269</v>
      </c>
      <c r="S83" s="1">
        <f t="shared" si="24"/>
        <v>7241.3555109284898</v>
      </c>
      <c r="T83" s="102">
        <f t="shared" si="25"/>
        <v>8.5723102669919546E-2</v>
      </c>
      <c r="U83" s="1">
        <f t="shared" si="26"/>
        <v>5896.8659756685465</v>
      </c>
      <c r="V83" s="102">
        <f t="shared" si="27"/>
        <v>0.16706774293785309</v>
      </c>
      <c r="W83" s="1">
        <f t="shared" si="28"/>
        <v>4173.7521858856489</v>
      </c>
      <c r="X83" s="102">
        <f t="shared" si="29"/>
        <v>7.2054464940445456E-2</v>
      </c>
      <c r="Y83" s="2">
        <f t="shared" si="34"/>
        <v>18106.226988700058</v>
      </c>
      <c r="Z83" s="102">
        <f t="shared" si="35"/>
        <v>6.8560172966306218E-2</v>
      </c>
    </row>
    <row r="84" spans="1:26" x14ac:dyDescent="0.3">
      <c r="A84">
        <v>2021</v>
      </c>
      <c r="B84" s="1">
        <f>'YE harvest'!Y101</f>
        <v>568.3968155886148</v>
      </c>
      <c r="C84" s="1">
        <f>'YE harvest'!Z101</f>
        <v>17397.158570698553</v>
      </c>
      <c r="D84" s="1">
        <f>'YE harvest'!Y151</f>
        <v>9648.7054447608243</v>
      </c>
      <c r="E84" s="1">
        <f>'YE harvest'!Z151</f>
        <v>832651.02878249565</v>
      </c>
      <c r="F84" s="1">
        <f>'YE harvest'!Y201</f>
        <v>8237.8394221007584</v>
      </c>
      <c r="G84" s="1">
        <f>'YE harvest'!Z201</f>
        <v>2004899.7042339367</v>
      </c>
      <c r="H84" s="1">
        <f>'YE harvest'!Y226</f>
        <v>5894.1105598690137</v>
      </c>
      <c r="I84" s="1">
        <f>'YE harvest'!Z226</f>
        <v>505446.42311316205</v>
      </c>
      <c r="J84" s="2">
        <f t="shared" si="36"/>
        <v>24349.052242319212</v>
      </c>
      <c r="K84" s="1">
        <f t="shared" si="37"/>
        <v>3360394.3147002929</v>
      </c>
      <c r="L84">
        <f t="shared" si="38"/>
        <v>1833.1378329793679</v>
      </c>
      <c r="M84" s="14">
        <f t="shared" si="39"/>
        <v>7.528579817958303E-2</v>
      </c>
      <c r="N84" s="14"/>
      <c r="O84" s="101"/>
      <c r="P84">
        <v>2021</v>
      </c>
      <c r="Q84" s="1">
        <f t="shared" si="22"/>
        <v>568.3968155886148</v>
      </c>
      <c r="R84" s="102">
        <f t="shared" si="23"/>
        <v>0.23205318030578331</v>
      </c>
      <c r="S84" s="1">
        <f t="shared" si="24"/>
        <v>9648.7054447608243</v>
      </c>
      <c r="T84" s="102">
        <f t="shared" si="25"/>
        <v>9.4571975927599292E-2</v>
      </c>
      <c r="U84" s="1">
        <f t="shared" si="26"/>
        <v>8237.8394221007584</v>
      </c>
      <c r="V84" s="102">
        <f t="shared" si="27"/>
        <v>0.17188303111890849</v>
      </c>
      <c r="W84" s="1">
        <f t="shared" si="28"/>
        <v>5894.1105598690137</v>
      </c>
      <c r="X84" s="102">
        <f t="shared" si="29"/>
        <v>0.12061998935651454</v>
      </c>
      <c r="Y84" s="2">
        <f t="shared" si="34"/>
        <v>24349.052242319212</v>
      </c>
      <c r="Z84" s="102">
        <f t="shared" si="35"/>
        <v>7.528579817958303E-2</v>
      </c>
    </row>
    <row r="85" spans="1:26" x14ac:dyDescent="0.3">
      <c r="A85">
        <v>2022</v>
      </c>
      <c r="B85" s="1">
        <f>'YE harvest'!Y102</f>
        <v>385.13026088796636</v>
      </c>
      <c r="C85" s="1">
        <f>'YE harvest'!Z102</f>
        <v>5702.4028115747469</v>
      </c>
      <c r="D85" s="1">
        <f>'YE harvest'!Y152</f>
        <v>8341.4622745929028</v>
      </c>
      <c r="E85" s="1">
        <f>'YE harvest'!Z152</f>
        <v>513485.66131618648</v>
      </c>
      <c r="F85" s="1">
        <f>'YE harvest'!Y202</f>
        <v>13495.71486790716</v>
      </c>
      <c r="G85" s="1">
        <f>'YE harvest'!Z202</f>
        <v>3976290.1674791127</v>
      </c>
      <c r="H85" s="1">
        <f>'YE harvest'!Y227</f>
        <v>3496.0839172063506</v>
      </c>
      <c r="I85" s="1">
        <f>'YE harvest'!Z227</f>
        <v>833246.48013120668</v>
      </c>
      <c r="J85" s="2">
        <f t="shared" ref="J85" si="40">H85+F85+D85+B85</f>
        <v>25718.391320594379</v>
      </c>
      <c r="K85" s="1">
        <f t="shared" ref="K85" si="41">SUM(C85,E85,G85,I85)</f>
        <v>5328724.7117380807</v>
      </c>
      <c r="L85">
        <f t="shared" ref="L85" si="42">SQRT(K85)</f>
        <v>2308.4030652678662</v>
      </c>
      <c r="M85" s="14">
        <f t="shared" ref="M85" si="43">L85/J85</f>
        <v>8.9756899507916682E-2</v>
      </c>
      <c r="N85" s="14"/>
      <c r="O85" s="101"/>
      <c r="P85">
        <v>2022</v>
      </c>
      <c r="Q85" s="1">
        <f t="shared" si="22"/>
        <v>385.13026088796636</v>
      </c>
      <c r="R85" s="102">
        <f t="shared" si="23"/>
        <v>0.1960745839870667</v>
      </c>
      <c r="S85" s="1">
        <f t="shared" si="24"/>
        <v>8341.4622745929028</v>
      </c>
      <c r="T85" s="102">
        <f t="shared" si="25"/>
        <v>8.5905697900414676E-2</v>
      </c>
      <c r="U85" s="1">
        <f t="shared" si="26"/>
        <v>13495.71486790716</v>
      </c>
      <c r="V85" s="102">
        <f t="shared" si="27"/>
        <v>0.14775532467660341</v>
      </c>
      <c r="W85" s="1">
        <f t="shared" si="28"/>
        <v>3496.0839172063506</v>
      </c>
      <c r="X85" s="102">
        <f t="shared" si="29"/>
        <v>0.26109881172621119</v>
      </c>
      <c r="Y85" s="2">
        <f t="shared" si="34"/>
        <v>25718.391320594379</v>
      </c>
      <c r="Z85" s="102">
        <f t="shared" si="35"/>
        <v>8.9756899507916682E-2</v>
      </c>
    </row>
  </sheetData>
  <mergeCells count="27">
    <mergeCell ref="J30:M30"/>
    <mergeCell ref="J59:M59"/>
    <mergeCell ref="B59:C59"/>
    <mergeCell ref="D59:E59"/>
    <mergeCell ref="F59:G59"/>
    <mergeCell ref="H59:I59"/>
    <mergeCell ref="A1:H1"/>
    <mergeCell ref="A29:H29"/>
    <mergeCell ref="A58:H58"/>
    <mergeCell ref="B2:C2"/>
    <mergeCell ref="D2:E2"/>
    <mergeCell ref="F2:G2"/>
    <mergeCell ref="H2:I2"/>
    <mergeCell ref="B30:C30"/>
    <mergeCell ref="D30:E30"/>
    <mergeCell ref="F30:G30"/>
    <mergeCell ref="H30:I30"/>
    <mergeCell ref="Y30:Z30"/>
    <mergeCell ref="Q59:R59"/>
    <mergeCell ref="S59:T59"/>
    <mergeCell ref="U59:V59"/>
    <mergeCell ref="W59:X59"/>
    <mergeCell ref="Y59:Z59"/>
    <mergeCell ref="Q30:R30"/>
    <mergeCell ref="S30:T30"/>
    <mergeCell ref="U30:V30"/>
    <mergeCell ref="W30:X30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1925B-D9E8-4CCE-B3D0-B0AED07BA70B}">
  <sheetPr>
    <tabColor theme="7"/>
  </sheetPr>
  <dimension ref="A1:Q84"/>
  <sheetViews>
    <sheetView topLeftCell="G58" workbookViewId="0">
      <selection activeCell="B83" sqref="B83:Q84"/>
    </sheetView>
  </sheetViews>
  <sheetFormatPr defaultRowHeight="14.4" x14ac:dyDescent="0.3"/>
  <cols>
    <col min="2" max="2" width="9.5546875" bestFit="1" customWidth="1"/>
    <col min="3" max="3" width="11" bestFit="1" customWidth="1"/>
    <col min="7" max="7" width="11" bestFit="1" customWidth="1"/>
    <col min="9" max="9" width="10" bestFit="1" customWidth="1"/>
    <col min="11" max="11" width="11" bestFit="1" customWidth="1"/>
    <col min="13" max="13" width="11" bestFit="1" customWidth="1"/>
  </cols>
  <sheetData>
    <row r="1" spans="1:17" x14ac:dyDescent="0.3">
      <c r="A1" s="109" t="s">
        <v>94</v>
      </c>
      <c r="B1" s="109"/>
      <c r="C1" s="109"/>
      <c r="D1" s="109"/>
      <c r="E1" s="109"/>
      <c r="F1" s="109"/>
      <c r="G1" s="109"/>
      <c r="H1" s="109"/>
      <c r="I1" s="109"/>
      <c r="J1" s="109"/>
      <c r="K1" s="9"/>
      <c r="L1" s="9"/>
    </row>
    <row r="2" spans="1:17" x14ac:dyDescent="0.3">
      <c r="A2" t="s">
        <v>34</v>
      </c>
      <c r="B2" s="109" t="s">
        <v>42</v>
      </c>
      <c r="C2" s="109"/>
      <c r="D2" s="109" t="s">
        <v>83</v>
      </c>
      <c r="E2" s="109"/>
      <c r="F2" s="109" t="s">
        <v>38</v>
      </c>
      <c r="G2" s="109"/>
      <c r="H2" s="109" t="s">
        <v>41</v>
      </c>
      <c r="I2" s="109"/>
      <c r="J2" s="109" t="s">
        <v>39</v>
      </c>
      <c r="K2" s="109"/>
      <c r="L2" s="109" t="s">
        <v>40</v>
      </c>
      <c r="M2" s="109"/>
      <c r="N2" s="109" t="s">
        <v>158</v>
      </c>
      <c r="O2" s="109"/>
      <c r="P2" s="109"/>
      <c r="Q2" s="109"/>
    </row>
    <row r="3" spans="1:17" x14ac:dyDescent="0.3">
      <c r="B3" s="9" t="s">
        <v>138</v>
      </c>
      <c r="C3" s="9" t="s">
        <v>139</v>
      </c>
      <c r="D3" s="9" t="s">
        <v>138</v>
      </c>
      <c r="E3" s="9" t="s">
        <v>139</v>
      </c>
      <c r="F3" s="9" t="s">
        <v>138</v>
      </c>
      <c r="G3" s="9" t="s">
        <v>139</v>
      </c>
      <c r="H3" s="9" t="s">
        <v>138</v>
      </c>
      <c r="I3" s="9" t="s">
        <v>139</v>
      </c>
      <c r="J3" s="9" t="s">
        <v>138</v>
      </c>
      <c r="K3" s="9" t="s">
        <v>139</v>
      </c>
      <c r="L3" s="9" t="s">
        <v>138</v>
      </c>
      <c r="M3" s="9" t="s">
        <v>139</v>
      </c>
      <c r="N3" s="9" t="s">
        <v>138</v>
      </c>
      <c r="O3" s="9" t="s">
        <v>154</v>
      </c>
      <c r="P3" s="9" t="s">
        <v>155</v>
      </c>
      <c r="Q3" s="9" t="s">
        <v>156</v>
      </c>
    </row>
    <row r="4" spans="1:17" x14ac:dyDescent="0.3">
      <c r="A4">
        <v>1998</v>
      </c>
      <c r="B4" s="1">
        <f>'rockfish harvests'!K227</f>
        <v>10785.556656147837</v>
      </c>
      <c r="C4" s="1">
        <f>'rockfish harvests'!L227</f>
        <v>224247.08472663842</v>
      </c>
      <c r="D4" s="1">
        <f>'rockfish harvests'!K252</f>
        <v>1645.0389532640204</v>
      </c>
      <c r="E4" s="1">
        <f>'rockfish harvests'!L252</f>
        <v>27091.93854220381</v>
      </c>
      <c r="F4" s="1">
        <f>'rockfish harvests'!K277</f>
        <v>8429.4015142904627</v>
      </c>
      <c r="G4" s="1">
        <f>'rockfish harvests'!L277</f>
        <v>781648.06612226402</v>
      </c>
      <c r="H4" s="1">
        <f>'rockfish harvests'!K302</f>
        <v>1718.6553389715536</v>
      </c>
      <c r="I4" s="1">
        <f>'rockfish harvests'!L302</f>
        <v>93360.34279041113</v>
      </c>
      <c r="J4" s="1">
        <f>'rockfish harvests'!K327</f>
        <v>13683.476763338715</v>
      </c>
      <c r="K4" s="1">
        <f>'rockfish harvests'!L327</f>
        <v>2528282.455604976</v>
      </c>
      <c r="L4" s="1">
        <f>'rockfish harvests'!K352</f>
        <v>4728.4215757484271</v>
      </c>
      <c r="M4" s="2">
        <f>'rockfish harvests'!L352</f>
        <v>277633.92962977174</v>
      </c>
      <c r="N4" s="2">
        <f>L4+J4+H4+F4+D4+B4</f>
        <v>40990.550801761019</v>
      </c>
      <c r="O4" s="1">
        <f>SUM(G4,I4,K4,M4,E4,C4)</f>
        <v>3932263.8174162651</v>
      </c>
      <c r="P4">
        <f>SQRT(O4)</f>
        <v>1982.9936503721501</v>
      </c>
      <c r="Q4" s="14">
        <f>P4/N4</f>
        <v>4.8376848117077695E-2</v>
      </c>
    </row>
    <row r="5" spans="1:17" x14ac:dyDescent="0.3">
      <c r="A5">
        <v>1999</v>
      </c>
      <c r="B5" s="1">
        <f>'rockfish harvests'!K228</f>
        <v>11096.479173461516</v>
      </c>
      <c r="C5" s="1">
        <f>'rockfish harvests'!L228</f>
        <v>237362.48582500662</v>
      </c>
      <c r="D5" s="1">
        <f>'rockfish harvests'!K253</f>
        <v>835.7554222329851</v>
      </c>
      <c r="E5" s="1">
        <f>'rockfish harvests'!L253</f>
        <v>6992.7196212962144</v>
      </c>
      <c r="F5" s="1">
        <f>'rockfish harvests'!K278</f>
        <v>10148.776127801366</v>
      </c>
      <c r="G5" s="1">
        <f>'rockfish harvests'!L278</f>
        <v>1133039.6837394333</v>
      </c>
      <c r="H5" s="1">
        <f>'rockfish harvests'!K303</f>
        <v>1639.073791663877</v>
      </c>
      <c r="I5" s="1">
        <f>'rockfish harvests'!L303</f>
        <v>84914.501969787365</v>
      </c>
      <c r="J5" s="1">
        <f>'rockfish harvests'!K328</f>
        <v>16107.207114806952</v>
      </c>
      <c r="K5" s="1">
        <f>'rockfish harvests'!L328</f>
        <v>3503266.3626943887</v>
      </c>
      <c r="L5" s="1">
        <f>'rockfish harvests'!K353</f>
        <v>6852.8709556215817</v>
      </c>
      <c r="M5" s="2">
        <f>'rockfish harvests'!L353</f>
        <v>583156.69651387446</v>
      </c>
      <c r="N5" s="2">
        <f t="shared" ref="N5:N27" si="0">L5+J5+H5+F5+D5+B5</f>
        <v>46680.162585588274</v>
      </c>
      <c r="O5" s="1">
        <f t="shared" ref="O5:O27" si="1">SUM(G5,I5,K5,M5,E5,C5)</f>
        <v>5548732.4503637869</v>
      </c>
      <c r="P5">
        <f t="shared" ref="P5:P27" si="2">SQRT(O5)</f>
        <v>2355.5747600880313</v>
      </c>
      <c r="Q5" s="14">
        <f t="shared" ref="Q5:Q27" si="3">P5/N5</f>
        <v>5.0462008476707322E-2</v>
      </c>
    </row>
    <row r="6" spans="1:17" x14ac:dyDescent="0.3">
      <c r="A6">
        <v>2000</v>
      </c>
      <c r="B6" s="1">
        <f>'rockfish harvests'!K229</f>
        <v>19409.626034526136</v>
      </c>
      <c r="C6" s="1">
        <f>'rockfish harvests'!L229</f>
        <v>726233.05564746587</v>
      </c>
      <c r="D6" s="1">
        <f>'rockfish harvests'!K254</f>
        <v>1511.4189310065597</v>
      </c>
      <c r="E6" s="1">
        <f>'rockfish harvests'!L254</f>
        <v>22869.539754384543</v>
      </c>
      <c r="F6" s="1">
        <f>'rockfish harvests'!K279</f>
        <v>15544.550077251628</v>
      </c>
      <c r="G6" s="1">
        <f>'rockfish harvests'!L279</f>
        <v>2658116.9727772144</v>
      </c>
      <c r="H6" s="1">
        <f>'rockfish harvests'!K304</f>
        <v>4412.1846324621447</v>
      </c>
      <c r="I6" s="1">
        <f>'rockfish harvests'!L304</f>
        <v>615307.50161743129</v>
      </c>
      <c r="J6" s="1">
        <f>'rockfish harvests'!K329</f>
        <v>26202.076811318933</v>
      </c>
      <c r="K6" s="1">
        <f>'rockfish harvests'!L329</f>
        <v>9270520.1843895838</v>
      </c>
      <c r="L6" s="1">
        <f>'rockfish harvests'!K354</f>
        <v>10258.522162769743</v>
      </c>
      <c r="M6" s="2">
        <f>'rockfish harvests'!L354</f>
        <v>1306801.9129460659</v>
      </c>
      <c r="N6" s="2">
        <f t="shared" si="0"/>
        <v>77338.378649335136</v>
      </c>
      <c r="O6" s="1">
        <f t="shared" si="1"/>
        <v>14599849.167132147</v>
      </c>
      <c r="P6">
        <f t="shared" si="2"/>
        <v>3820.9748974747463</v>
      </c>
      <c r="Q6" s="14">
        <f t="shared" si="3"/>
        <v>4.940593485673745E-2</v>
      </c>
    </row>
    <row r="7" spans="1:17" x14ac:dyDescent="0.3">
      <c r="A7">
        <v>2001</v>
      </c>
      <c r="B7" s="1">
        <f>'rockfish harvests'!K230</f>
        <v>17369.053069045251</v>
      </c>
      <c r="C7" s="1">
        <f>'rockfish harvests'!L230</f>
        <v>581559.24091147329</v>
      </c>
      <c r="D7" s="1">
        <f>'rockfish harvests'!K255</f>
        <v>1314.7705963635044</v>
      </c>
      <c r="E7" s="1">
        <f>'rockfish harvests'!L255</f>
        <v>17305.640405277591</v>
      </c>
      <c r="F7" s="1">
        <f>'rockfish harvests'!K280</f>
        <v>11550.752273697548</v>
      </c>
      <c r="G7" s="1">
        <f>'rockfish harvests'!L280</f>
        <v>1467703.4510787677</v>
      </c>
      <c r="H7" s="1">
        <f>'rockfish harvests'!K305</f>
        <v>4344.8464001248803</v>
      </c>
      <c r="I7" s="1">
        <f>'rockfish harvests'!L305</f>
        <v>596669.32361688081</v>
      </c>
      <c r="J7" s="1">
        <f>'rockfish harvests'!K330</f>
        <v>20430.145469364368</v>
      </c>
      <c r="K7" s="1">
        <f>'rockfish harvests'!L330</f>
        <v>5636059.7796220118</v>
      </c>
      <c r="L7" s="1">
        <f>'rockfish harvests'!K355</f>
        <v>8545.304423864347</v>
      </c>
      <c r="M7" s="2">
        <f>'rockfish harvests'!L355</f>
        <v>906766.02050430153</v>
      </c>
      <c r="N7" s="2">
        <f t="shared" si="0"/>
        <v>63554.872232459893</v>
      </c>
      <c r="O7" s="1">
        <f t="shared" si="1"/>
        <v>9206063.4561387114</v>
      </c>
      <c r="P7">
        <f t="shared" si="2"/>
        <v>3034.1495441290813</v>
      </c>
      <c r="Q7" s="14">
        <f t="shared" si="3"/>
        <v>4.7740628492356968E-2</v>
      </c>
    </row>
    <row r="8" spans="1:17" x14ac:dyDescent="0.3">
      <c r="A8">
        <v>2002</v>
      </c>
      <c r="B8" s="1">
        <f>'rockfish harvests'!K231</f>
        <v>16126.514564669476</v>
      </c>
      <c r="C8" s="1">
        <f>'rockfish harvests'!L231</f>
        <v>501328.85623143055</v>
      </c>
      <c r="D8" s="1">
        <f>'rockfish harvests'!K256</f>
        <v>1125.6856592067204</v>
      </c>
      <c r="E8" s="1">
        <f>'rockfish harvests'!L256</f>
        <v>12685.920229322461</v>
      </c>
      <c r="F8" s="1">
        <f>'rockfish harvests'!K281</f>
        <v>7907.8472484109971</v>
      </c>
      <c r="G8" s="1">
        <f>'rockfish harvests'!L281</f>
        <v>687914.27130295534</v>
      </c>
      <c r="H8" s="1">
        <f>'rockfish harvests'!K306</f>
        <v>3105.2107593706878</v>
      </c>
      <c r="I8" s="1">
        <f>'rockfish harvests'!L306</f>
        <v>304766.3537779394</v>
      </c>
      <c r="J8" s="1">
        <f>'rockfish harvests'!K331</f>
        <v>17556.200102204104</v>
      </c>
      <c r="K8" s="1">
        <f>'rockfish harvests'!L331</f>
        <v>4161919.8980246014</v>
      </c>
      <c r="L8" s="1">
        <f>'rockfish harvests'!K356</f>
        <v>11308.127831232579</v>
      </c>
      <c r="M8" s="2">
        <f>'rockfish harvests'!L356</f>
        <v>1587894.256982432</v>
      </c>
      <c r="N8" s="2">
        <f t="shared" si="0"/>
        <v>57129.586165094559</v>
      </c>
      <c r="O8" s="1">
        <f t="shared" si="1"/>
        <v>7256509.5565486811</v>
      </c>
      <c r="P8">
        <f t="shared" si="2"/>
        <v>2693.7909266586894</v>
      </c>
      <c r="Q8" s="14">
        <f t="shared" si="3"/>
        <v>4.7152291964344055E-2</v>
      </c>
    </row>
    <row r="9" spans="1:17" x14ac:dyDescent="0.3">
      <c r="A9">
        <v>2003</v>
      </c>
      <c r="B9" s="1">
        <f>'rockfish harvests'!K232</f>
        <v>17586.698831164827</v>
      </c>
      <c r="C9" s="1">
        <f>'rockfish harvests'!L232</f>
        <v>596225.20240177307</v>
      </c>
      <c r="D9" s="1">
        <f>'rockfish harvests'!K257</f>
        <v>2050.9412850272502</v>
      </c>
      <c r="E9" s="1">
        <f>'rockfish harvests'!L257</f>
        <v>42110.865184765593</v>
      </c>
      <c r="F9" s="1">
        <f>'rockfish harvests'!K282</f>
        <v>9679.8557786620295</v>
      </c>
      <c r="G9" s="1">
        <f>'rockfish harvests'!L282</f>
        <v>1030755.2356043656</v>
      </c>
      <c r="H9" s="1">
        <f>'rockfish harvests'!K307</f>
        <v>4718.26750672244</v>
      </c>
      <c r="I9" s="1">
        <f>'rockfish harvests'!L307</f>
        <v>703639.11639872531</v>
      </c>
      <c r="J9" s="1">
        <f>'rockfish harvests'!K332</f>
        <v>24615.396707472279</v>
      </c>
      <c r="K9" s="1">
        <f>'rockfish harvests'!L332</f>
        <v>8181752.760036231</v>
      </c>
      <c r="L9" s="1">
        <f>'rockfish harvests'!K357</f>
        <v>10237.737892107112</v>
      </c>
      <c r="M9" s="2">
        <f>'rockfish harvests'!L357</f>
        <v>1301511.9872539048</v>
      </c>
      <c r="N9" s="2">
        <f t="shared" si="0"/>
        <v>68888.898001155932</v>
      </c>
      <c r="O9" s="1">
        <f t="shared" si="1"/>
        <v>11855995.166879766</v>
      </c>
      <c r="P9">
        <f t="shared" si="2"/>
        <v>3443.2535728406301</v>
      </c>
      <c r="Q9" s="14">
        <f t="shared" si="3"/>
        <v>4.9982706542683462E-2</v>
      </c>
    </row>
    <row r="10" spans="1:17" x14ac:dyDescent="0.3">
      <c r="A10">
        <v>2004</v>
      </c>
      <c r="B10" s="1">
        <f>'rockfish harvests'!K233</f>
        <v>25099.50810136646</v>
      </c>
      <c r="C10" s="1">
        <f>'rockfish harvests'!L233</f>
        <v>1214428.9103843591</v>
      </c>
      <c r="D10" s="1">
        <f>'rockfish harvests'!K258</f>
        <v>1892.1099378155513</v>
      </c>
      <c r="E10" s="1">
        <f>'rockfish harvests'!L258</f>
        <v>35841.026777365994</v>
      </c>
      <c r="F10" s="1">
        <f>'rockfish harvests'!K283</f>
        <v>9652.7413367049921</v>
      </c>
      <c r="G10" s="1">
        <f>'rockfish harvests'!L283</f>
        <v>1024988.7840591522</v>
      </c>
      <c r="H10" s="1">
        <f>'rockfish harvests'!K308</f>
        <v>4473.4012073142039</v>
      </c>
      <c r="I10" s="1">
        <f>'rockfish harvests'!L308</f>
        <v>632500.03783668019</v>
      </c>
      <c r="J10" s="1">
        <f>'rockfish harvests'!K333</f>
        <v>28837.801611923707</v>
      </c>
      <c r="K10" s="1">
        <f>'rockfish harvests'!L333</f>
        <v>11229410.873184105</v>
      </c>
      <c r="L10" s="1">
        <f>'rockfish harvests'!K358</f>
        <v>14936.467652623209</v>
      </c>
      <c r="M10" s="2">
        <f>'rockfish harvests'!L358</f>
        <v>2770358.4485732173</v>
      </c>
      <c r="N10" s="2">
        <f t="shared" si="0"/>
        <v>84892.029847748112</v>
      </c>
      <c r="O10" s="1">
        <f t="shared" si="1"/>
        <v>16907528.080814879</v>
      </c>
      <c r="P10">
        <f t="shared" si="2"/>
        <v>4111.8764671150902</v>
      </c>
      <c r="Q10" s="14">
        <f t="shared" si="3"/>
        <v>4.8436543153575727E-2</v>
      </c>
    </row>
    <row r="11" spans="1:17" x14ac:dyDescent="0.3">
      <c r="A11">
        <v>2005</v>
      </c>
      <c r="B11" s="1">
        <f>'rockfish harvests'!K234</f>
        <v>31442.327454565508</v>
      </c>
      <c r="C11" s="1">
        <f>'rockfish harvests'!L234</f>
        <v>1905772.4719131205</v>
      </c>
      <c r="D11" s="1">
        <f>'rockfish harvests'!K259</f>
        <v>2112.7090311651327</v>
      </c>
      <c r="E11" s="1">
        <f>'rockfish harvests'!L259</f>
        <v>44685.54786836687</v>
      </c>
      <c r="F11" s="1">
        <f>'rockfish harvests'!K284</f>
        <v>12246.157961536836</v>
      </c>
      <c r="G11" s="1">
        <f>'rockfish harvests'!L284</f>
        <v>1649747.5421593867</v>
      </c>
      <c r="H11" s="1">
        <f>'rockfish harvests'!K309</f>
        <v>4279.0385821589171</v>
      </c>
      <c r="I11" s="1">
        <f>'rockfish harvests'!L309</f>
        <v>578731.68372450606</v>
      </c>
      <c r="J11" s="1">
        <f>'rockfish harvests'!K334</f>
        <v>33501.679492927513</v>
      </c>
      <c r="K11" s="1">
        <f>'rockfish harvests'!L334</f>
        <v>15155345.162562583</v>
      </c>
      <c r="L11" s="1">
        <f>'rockfish harvests'!K359</f>
        <v>18803.826586634088</v>
      </c>
      <c r="M11" s="2">
        <f>'rockfish harvests'!L359</f>
        <v>4390688.5733686173</v>
      </c>
      <c r="N11" s="2">
        <f t="shared" si="0"/>
        <v>102385.739108988</v>
      </c>
      <c r="O11" s="1">
        <f t="shared" si="1"/>
        <v>23724970.981596582</v>
      </c>
      <c r="P11">
        <f t="shared" si="2"/>
        <v>4870.8285723885401</v>
      </c>
      <c r="Q11" s="14">
        <f t="shared" si="3"/>
        <v>4.7573310646354963E-2</v>
      </c>
    </row>
    <row r="12" spans="1:17" x14ac:dyDescent="0.3">
      <c r="A12">
        <v>2006</v>
      </c>
      <c r="B12" s="1">
        <f>'rockfish harvests'!K235</f>
        <v>38863.01153445198</v>
      </c>
      <c r="C12" s="1">
        <f>'rockfish harvests'!L235</f>
        <v>2911485.1530098896</v>
      </c>
      <c r="D12" s="1">
        <f>'rockfish harvests'!K260</f>
        <v>3187.9720404633777</v>
      </c>
      <c r="E12" s="1">
        <f>'rockfish harvests'!L260</f>
        <v>101745.85299552699</v>
      </c>
      <c r="F12" s="1">
        <f>'rockfish harvests'!K285</f>
        <v>10266.803698673171</v>
      </c>
      <c r="G12" s="1">
        <f>'rockfish harvests'!L285</f>
        <v>1159546.8293526676</v>
      </c>
      <c r="H12" s="1">
        <f>'rockfish harvests'!K310</f>
        <v>4680.0071474399028</v>
      </c>
      <c r="I12" s="1">
        <f>'rockfish harvests'!L310</f>
        <v>692273.78689881065</v>
      </c>
      <c r="J12" s="1">
        <f>'rockfish harvests'!K335</f>
        <v>38714.120329944417</v>
      </c>
      <c r="K12" s="1">
        <f>'rockfish harvests'!L335</f>
        <v>20238180.459821593</v>
      </c>
      <c r="L12" s="1">
        <f>'rockfish harvests'!K360</f>
        <v>17825.481274728842</v>
      </c>
      <c r="M12" s="2">
        <f>'rockfish harvests'!L360</f>
        <v>3945687.5188521035</v>
      </c>
      <c r="N12" s="2">
        <f t="shared" si="0"/>
        <v>113537.39602570169</v>
      </c>
      <c r="O12" s="1">
        <f t="shared" si="1"/>
        <v>29048919.600930594</v>
      </c>
      <c r="P12">
        <f t="shared" si="2"/>
        <v>5389.7049641822323</v>
      </c>
      <c r="Q12" s="14">
        <f t="shared" si="3"/>
        <v>4.7470746668896245E-2</v>
      </c>
    </row>
    <row r="13" spans="1:17" x14ac:dyDescent="0.3">
      <c r="A13">
        <v>2007</v>
      </c>
      <c r="B13" s="1">
        <f>'rockfish harvests'!K236</f>
        <v>44269.608641073173</v>
      </c>
      <c r="C13" s="1">
        <f>'rockfish harvests'!L236</f>
        <v>3777922.4788372577</v>
      </c>
      <c r="D13" s="1">
        <f>'rockfish harvests'!K261</f>
        <v>2886.6967072602351</v>
      </c>
      <c r="E13" s="1">
        <f>'rockfish harvests'!L261</f>
        <v>83423.810519029968</v>
      </c>
      <c r="F13" s="1">
        <f>'rockfish harvests'!K286</f>
        <v>11960.658837400981</v>
      </c>
      <c r="G13" s="1">
        <f>'rockfish harvests'!L286</f>
        <v>1573721.8750711286</v>
      </c>
      <c r="H13" s="1">
        <f>'rockfish harvests'!K311</f>
        <v>6528.7477079720811</v>
      </c>
      <c r="I13" s="1">
        <f>'rockfish harvests'!L311</f>
        <v>1347238.9410750614</v>
      </c>
      <c r="J13" s="1">
        <f>'rockfish harvests'!K336</f>
        <v>44514.463299102848</v>
      </c>
      <c r="K13" s="1">
        <f>'rockfish harvests'!L336</f>
        <v>26756848.278906163</v>
      </c>
      <c r="L13" s="1">
        <f>'rockfish harvests'!K361</f>
        <v>17841.811773106623</v>
      </c>
      <c r="M13" s="2">
        <f>'rockfish harvests'!L361</f>
        <v>3952920.3736786586</v>
      </c>
      <c r="N13" s="2">
        <f t="shared" si="0"/>
        <v>128001.98696591594</v>
      </c>
      <c r="O13" s="1">
        <f t="shared" si="1"/>
        <v>37492075.758087307</v>
      </c>
      <c r="P13">
        <f t="shared" si="2"/>
        <v>6123.0773111310054</v>
      </c>
      <c r="Q13" s="14">
        <f t="shared" si="3"/>
        <v>4.7835798929913825E-2</v>
      </c>
    </row>
    <row r="14" spans="1:17" x14ac:dyDescent="0.3">
      <c r="A14">
        <v>2008</v>
      </c>
      <c r="B14" s="1">
        <f>'rockfish harvests'!K237</f>
        <v>60918.9336607812</v>
      </c>
      <c r="C14" s="1">
        <f>'rockfish harvests'!L237</f>
        <v>7153955.9598475369</v>
      </c>
      <c r="D14" s="1">
        <f>'rockfish harvests'!K262</f>
        <v>3601.4377697128784</v>
      </c>
      <c r="E14" s="1">
        <f>'rockfish harvests'!L262</f>
        <v>129849.277997606</v>
      </c>
      <c r="F14" s="1">
        <f>'rockfish harvests'!K287</f>
        <v>17421.826440982921</v>
      </c>
      <c r="G14" s="1">
        <f>'rockfish harvests'!L287</f>
        <v>3338913.2975072474</v>
      </c>
      <c r="H14" s="1">
        <f>'rockfish harvests'!K312</f>
        <v>7667.3760002203771</v>
      </c>
      <c r="I14" s="1">
        <f>'rockfish harvests'!L312</f>
        <v>1858139.7621286947</v>
      </c>
      <c r="J14" s="1">
        <f>'rockfish harvests'!K337</f>
        <v>40991.421525823498</v>
      </c>
      <c r="K14" s="1">
        <f>'rockfish harvests'!L337</f>
        <v>22689171.172948774</v>
      </c>
      <c r="L14" s="1">
        <f>'rockfish harvests'!K362</f>
        <v>26357.424381738641</v>
      </c>
      <c r="M14" s="2">
        <f>'rockfish harvests'!L362</f>
        <v>8626727.8588684946</v>
      </c>
      <c r="N14" s="2">
        <f t="shared" si="0"/>
        <v>156958.41977925954</v>
      </c>
      <c r="O14" s="1">
        <f t="shared" si="1"/>
        <v>43796757.329298355</v>
      </c>
      <c r="P14">
        <f t="shared" si="2"/>
        <v>6617.9118556609947</v>
      </c>
      <c r="Q14" s="14">
        <f t="shared" si="3"/>
        <v>4.2163471478421984E-2</v>
      </c>
    </row>
    <row r="15" spans="1:17" x14ac:dyDescent="0.3">
      <c r="A15">
        <v>2009</v>
      </c>
      <c r="B15" s="1">
        <f>'rockfish harvests'!K238</f>
        <v>36524.183265325752</v>
      </c>
      <c r="C15" s="1">
        <f>'rockfish harvests'!L238</f>
        <v>2571595.7734261826</v>
      </c>
      <c r="D15" s="1">
        <f>'rockfish harvests'!K263</f>
        <v>3143.852221793461</v>
      </c>
      <c r="E15" s="1">
        <f>'rockfish harvests'!L263</f>
        <v>98949.124670686113</v>
      </c>
      <c r="F15" s="1">
        <f>'rockfish harvests'!K288</f>
        <v>14873.068897021491</v>
      </c>
      <c r="G15" s="1">
        <f>'rockfish harvests'!L288</f>
        <v>2433430.5466266801</v>
      </c>
      <c r="H15" s="1">
        <f>'rockfish harvests'!K313</f>
        <v>4312.7076983275492</v>
      </c>
      <c r="I15" s="1">
        <f>'rockfish harvests'!L313</f>
        <v>587874.87939866644</v>
      </c>
      <c r="J15" s="1">
        <f>'rockfish harvests'!K338</f>
        <v>32426.408678750442</v>
      </c>
      <c r="K15" s="1">
        <f>'rockfish harvests'!L338</f>
        <v>14198104.777272861</v>
      </c>
      <c r="L15" s="1">
        <f>'rockfish harvests'!K363</f>
        <v>14318.877895790762</v>
      </c>
      <c r="M15" s="2">
        <f>'rockfish harvests'!L363</f>
        <v>2545998.4255660125</v>
      </c>
      <c r="N15" s="2">
        <f t="shared" si="0"/>
        <v>105599.09865700945</v>
      </c>
      <c r="O15" s="1">
        <f t="shared" si="1"/>
        <v>22435953.526961088</v>
      </c>
      <c r="P15">
        <f t="shared" si="2"/>
        <v>4736.660588110688</v>
      </c>
      <c r="Q15" s="14">
        <f t="shared" si="3"/>
        <v>4.4855123276151924E-2</v>
      </c>
    </row>
    <row r="16" spans="1:17" x14ac:dyDescent="0.3">
      <c r="A16">
        <v>2010</v>
      </c>
      <c r="B16" s="1">
        <f>'rockfish harvests'!K239</f>
        <v>50453.51204097856</v>
      </c>
      <c r="C16" s="1">
        <f>'rockfish harvests'!L239</f>
        <v>4907095.1826566225</v>
      </c>
      <c r="D16" s="1">
        <f>'rockfish harvests'!K264</f>
        <v>3069.4788131784594</v>
      </c>
      <c r="E16" s="1">
        <f>'rockfish harvests'!L264</f>
        <v>94322.866254399312</v>
      </c>
      <c r="F16" s="1">
        <f>'rockfish harvests'!K289</f>
        <v>19047.097991231167</v>
      </c>
      <c r="G16" s="1">
        <f>'rockfish harvests'!L289</f>
        <v>3990941.9253061144</v>
      </c>
      <c r="H16" s="1">
        <f>'rockfish harvests'!K314</f>
        <v>7059.8014948136924</v>
      </c>
      <c r="I16" s="1">
        <f>'rockfish harvests'!L314</f>
        <v>1575323.7998180711</v>
      </c>
      <c r="J16" s="1">
        <f>'rockfish harvests'!K339</f>
        <v>43742.978345028649</v>
      </c>
      <c r="K16" s="1">
        <f>'rockfish harvests'!L339</f>
        <v>25837433.526771665</v>
      </c>
      <c r="L16" s="1">
        <f>'rockfish harvests'!K364</f>
        <v>18431.194305468358</v>
      </c>
      <c r="M16" s="2">
        <f>'rockfish harvests'!L364</f>
        <v>4218393.7471152442</v>
      </c>
      <c r="N16" s="2">
        <f t="shared" si="0"/>
        <v>141804.06299069888</v>
      </c>
      <c r="O16" s="1">
        <f t="shared" si="1"/>
        <v>40623511.047922119</v>
      </c>
      <c r="P16">
        <f t="shared" si="2"/>
        <v>6373.6575879099528</v>
      </c>
      <c r="Q16" s="14">
        <f t="shared" si="3"/>
        <v>4.494693207999273E-2</v>
      </c>
    </row>
    <row r="17" spans="1:17" x14ac:dyDescent="0.3">
      <c r="A17">
        <v>2011</v>
      </c>
      <c r="B17" s="1">
        <f>'rockfish harvests'!K240</f>
        <v>68480.968038392311</v>
      </c>
      <c r="C17" s="1">
        <f>'rockfish harvests'!L240</f>
        <v>7141508.8030922944</v>
      </c>
      <c r="D17" s="1">
        <f>'rockfish harvests'!K265</f>
        <v>4284.4366812227072</v>
      </c>
      <c r="E17" s="1">
        <f>'rockfish harvests'!L265</f>
        <v>404683.38862902793</v>
      </c>
      <c r="F17" s="1">
        <f>'rockfish harvests'!K290</f>
        <v>21134.144125958821</v>
      </c>
      <c r="G17" s="1">
        <f>'rockfish harvests'!L290</f>
        <v>2883554.5471730651</v>
      </c>
      <c r="H17" s="1">
        <f>'rockfish harvests'!K315</f>
        <v>11059.863872082973</v>
      </c>
      <c r="I17" s="1">
        <f>'rockfish harvests'!L315</f>
        <v>736850.51155388099</v>
      </c>
      <c r="J17" s="1">
        <f>'rockfish harvests'!K340</f>
        <v>43385.656259472569</v>
      </c>
      <c r="K17" s="1">
        <f>'rockfish harvests'!L340</f>
        <v>22721971.694568597</v>
      </c>
      <c r="L17" s="1">
        <f>'rockfish harvests'!K365</f>
        <v>17425.832645403378</v>
      </c>
      <c r="M17" s="2">
        <f>'rockfish harvests'!L365</f>
        <v>3434887.6393615259</v>
      </c>
      <c r="N17" s="2">
        <f t="shared" si="0"/>
        <v>165770.90162253275</v>
      </c>
      <c r="O17" s="1">
        <f t="shared" si="1"/>
        <v>37323456.584378392</v>
      </c>
      <c r="P17">
        <f t="shared" si="2"/>
        <v>6109.2926419004016</v>
      </c>
      <c r="Q17" s="14">
        <f t="shared" si="3"/>
        <v>3.6853830087813094E-2</v>
      </c>
    </row>
    <row r="18" spans="1:17" x14ac:dyDescent="0.3">
      <c r="A18">
        <v>2012</v>
      </c>
      <c r="B18" s="1">
        <f>'rockfish harvests'!K241</f>
        <v>63827.587639698155</v>
      </c>
      <c r="C18" s="1">
        <f>'rockfish harvests'!L241</f>
        <v>1027468.7062518544</v>
      </c>
      <c r="D18" s="1">
        <f>'rockfish harvests'!K266</f>
        <v>3776.1442770118629</v>
      </c>
      <c r="E18" s="1">
        <f>'rockfish harvests'!L266</f>
        <v>48300.340637739224</v>
      </c>
      <c r="F18" s="1">
        <f>'rockfish harvests'!K291</f>
        <v>30331.837840909095</v>
      </c>
      <c r="G18" s="1">
        <f>'rockfish harvests'!L291</f>
        <v>11116596.990618348</v>
      </c>
      <c r="H18" s="1">
        <f>'rockfish harvests'!K316</f>
        <v>12656.140350877193</v>
      </c>
      <c r="I18" s="1">
        <f>'rockfish harvests'!L316</f>
        <v>2425591.2838210762</v>
      </c>
      <c r="J18" s="1">
        <f>'rockfish harvests'!K341</f>
        <v>51250.239687848378</v>
      </c>
      <c r="K18" s="1">
        <f>'rockfish harvests'!L341</f>
        <v>23087012.957423236</v>
      </c>
      <c r="L18" s="1">
        <f>'rockfish harvests'!K366</f>
        <v>21501.484048613747</v>
      </c>
      <c r="M18" s="2">
        <f>'rockfish harvests'!L366</f>
        <v>3512142.9566568048</v>
      </c>
      <c r="N18" s="2">
        <f t="shared" si="0"/>
        <v>183343.43384495843</v>
      </c>
      <c r="O18" s="1">
        <f t="shared" si="1"/>
        <v>41217113.235409059</v>
      </c>
      <c r="P18">
        <f t="shared" si="2"/>
        <v>6420.0555476887475</v>
      </c>
      <c r="Q18" s="14">
        <f t="shared" si="3"/>
        <v>3.5016555613972898E-2</v>
      </c>
    </row>
    <row r="19" spans="1:17" x14ac:dyDescent="0.3">
      <c r="A19">
        <v>2013</v>
      </c>
      <c r="B19" s="1">
        <f>'rockfish harvests'!K242</f>
        <v>70364.987163814178</v>
      </c>
      <c r="C19" s="1">
        <f>'rockfish harvests'!L242</f>
        <v>3833914.1323344847</v>
      </c>
      <c r="D19" s="1">
        <f>'rockfish harvests'!K267</f>
        <v>4475.3664881407803</v>
      </c>
      <c r="E19" s="1">
        <f>'rockfish harvests'!L267</f>
        <v>87012.297802534755</v>
      </c>
      <c r="F19" s="1">
        <f>'rockfish harvests'!K292</f>
        <v>22942.238805970148</v>
      </c>
      <c r="G19" s="1">
        <f>'rockfish harvests'!L292</f>
        <v>2814788.8573717903</v>
      </c>
      <c r="H19" s="1">
        <f>'rockfish harvests'!K317</f>
        <v>10533.463803255974</v>
      </c>
      <c r="I19" s="1">
        <f>'rockfish harvests'!L317</f>
        <v>1983952.159720307</v>
      </c>
      <c r="J19" s="1">
        <f>'rockfish harvests'!K342</f>
        <v>59046.842065821518</v>
      </c>
      <c r="K19" s="1">
        <f>'rockfish harvests'!L342</f>
        <v>37595985.131994449</v>
      </c>
      <c r="L19" s="1">
        <f>'rockfish harvests'!K367</f>
        <v>22683.680191645457</v>
      </c>
      <c r="M19" s="2">
        <f>'rockfish harvests'!L367</f>
        <v>3429125.8906986257</v>
      </c>
      <c r="N19" s="2">
        <f t="shared" si="0"/>
        <v>190046.57851864805</v>
      </c>
      <c r="O19" s="1">
        <f t="shared" si="1"/>
        <v>49744778.4699222</v>
      </c>
      <c r="P19">
        <f t="shared" si="2"/>
        <v>7052.9978356669162</v>
      </c>
      <c r="Q19" s="14">
        <f t="shared" si="3"/>
        <v>3.7111943243823518E-2</v>
      </c>
    </row>
    <row r="20" spans="1:17" x14ac:dyDescent="0.3">
      <c r="A20">
        <v>2014</v>
      </c>
      <c r="B20" s="1">
        <f>'rockfish harvests'!K243</f>
        <v>86708.052896462119</v>
      </c>
      <c r="C20" s="1">
        <f>'rockfish harvests'!L243</f>
        <v>10006306.818414057</v>
      </c>
      <c r="D20" s="1">
        <f>'rockfish harvests'!K268</f>
        <v>5718.1397849462364</v>
      </c>
      <c r="E20" s="1">
        <f>'rockfish harvests'!L268</f>
        <v>234030.60206548884</v>
      </c>
      <c r="F20" s="1">
        <f>'rockfish harvests'!K293</f>
        <v>32276.119924151324</v>
      </c>
      <c r="G20" s="1">
        <f>'rockfish harvests'!L293</f>
        <v>9528568.3691134229</v>
      </c>
      <c r="H20" s="1">
        <f>'rockfish harvests'!K318</f>
        <v>18410.250883987203</v>
      </c>
      <c r="I20" s="1">
        <f>'rockfish harvests'!L318</f>
        <v>9687106.4801495951</v>
      </c>
      <c r="J20" s="1">
        <f>'rockfish harvests'!K343</f>
        <v>58838.073336968373</v>
      </c>
      <c r="K20" s="1">
        <f>'rockfish harvests'!L343</f>
        <v>19566076.633357268</v>
      </c>
      <c r="L20" s="1">
        <f>'rockfish harvests'!K368</f>
        <v>24422.057259158752</v>
      </c>
      <c r="M20" s="2">
        <f>'rockfish harvests'!L368</f>
        <v>5648205.4842977012</v>
      </c>
      <c r="N20" s="2">
        <f t="shared" si="0"/>
        <v>226372.69408567398</v>
      </c>
      <c r="O20" s="1">
        <f t="shared" si="1"/>
        <v>54670294.387397528</v>
      </c>
      <c r="P20">
        <f t="shared" si="2"/>
        <v>7393.9363256250408</v>
      </c>
      <c r="Q20" s="14">
        <f t="shared" si="3"/>
        <v>3.26626687705837E-2</v>
      </c>
    </row>
    <row r="21" spans="1:17" x14ac:dyDescent="0.3">
      <c r="A21">
        <v>2015</v>
      </c>
      <c r="B21" s="1">
        <f>'rockfish harvests'!K244</f>
        <v>88259.545990311773</v>
      </c>
      <c r="C21" s="1">
        <f>'rockfish harvests'!L244</f>
        <v>3137762.110543259</v>
      </c>
      <c r="D21" s="1">
        <f>'rockfish harvests'!K269</f>
        <v>8126.5678935972783</v>
      </c>
      <c r="E21" s="1">
        <f>'rockfish harvests'!L269</f>
        <v>1115072.9274274483</v>
      </c>
      <c r="F21" s="1">
        <f>'rockfish harvests'!K294</f>
        <v>31763.885700148439</v>
      </c>
      <c r="G21" s="1">
        <f>'rockfish harvests'!L294</f>
        <v>4304414.6066964231</v>
      </c>
      <c r="H21" s="1">
        <f>'rockfish harvests'!K319</f>
        <v>13685.480355422331</v>
      </c>
      <c r="I21" s="1">
        <f>'rockfish harvests'!L319</f>
        <v>3708908.4909766819</v>
      </c>
      <c r="J21" s="1">
        <f>'rockfish harvests'!K344</f>
        <v>60956.645359656926</v>
      </c>
      <c r="K21" s="1">
        <f>'rockfish harvests'!L344</f>
        <v>18451721.940392502</v>
      </c>
      <c r="L21" s="1">
        <f>'rockfish harvests'!K369</f>
        <v>33215.524335519505</v>
      </c>
      <c r="M21" s="2">
        <f>'rockfish harvests'!L369</f>
        <v>23591989.047447968</v>
      </c>
      <c r="N21" s="2">
        <f t="shared" si="0"/>
        <v>236007.64963465623</v>
      </c>
      <c r="O21" s="1">
        <f t="shared" si="1"/>
        <v>54309869.123484284</v>
      </c>
      <c r="P21">
        <f t="shared" si="2"/>
        <v>7369.5229915839382</v>
      </c>
      <c r="Q21" s="14">
        <f t="shared" si="3"/>
        <v>3.1225780193955926E-2</v>
      </c>
    </row>
    <row r="22" spans="1:17" x14ac:dyDescent="0.3">
      <c r="A22">
        <v>2016</v>
      </c>
      <c r="B22" s="1">
        <f>'rockfish harvests'!K245</f>
        <v>63347.772142219961</v>
      </c>
      <c r="C22" s="1">
        <f>'rockfish harvests'!L245</f>
        <v>2423165.6191606135</v>
      </c>
      <c r="D22" s="1">
        <f>'rockfish harvests'!K270</f>
        <v>9606.8674308497375</v>
      </c>
      <c r="E22" s="1">
        <f>'rockfish harvests'!L270</f>
        <v>521828.91183042602</v>
      </c>
      <c r="F22" s="1">
        <f>'rockfish harvests'!K295</f>
        <v>40066.291818701371</v>
      </c>
      <c r="G22" s="1">
        <f>'rockfish harvests'!L295</f>
        <v>6762576.6255513411</v>
      </c>
      <c r="H22" s="1">
        <f>'rockfish harvests'!K320</f>
        <v>7499.6278507924235</v>
      </c>
      <c r="I22" s="1">
        <f>'rockfish harvests'!L320</f>
        <v>405106.18509878113</v>
      </c>
      <c r="J22" s="1">
        <f>'rockfish harvests'!K345</f>
        <v>66405.532446281708</v>
      </c>
      <c r="K22" s="1">
        <f>'rockfish harvests'!L345</f>
        <v>23923054.468410891</v>
      </c>
      <c r="L22" s="1">
        <f>'rockfish harvests'!K370</f>
        <v>27237.761702821725</v>
      </c>
      <c r="M22" s="2">
        <f>'rockfish harvests'!L370</f>
        <v>11849070.145310419</v>
      </c>
      <c r="N22" s="2">
        <f t="shared" si="0"/>
        <v>214163.85339166693</v>
      </c>
      <c r="O22" s="1">
        <f t="shared" si="1"/>
        <v>45884801.955362469</v>
      </c>
      <c r="P22">
        <f t="shared" si="2"/>
        <v>6773.8321469728244</v>
      </c>
      <c r="Q22" s="14">
        <f t="shared" si="3"/>
        <v>3.1629203713404948E-2</v>
      </c>
    </row>
    <row r="23" spans="1:17" x14ac:dyDescent="0.3">
      <c r="A23">
        <v>2017</v>
      </c>
      <c r="B23" s="1">
        <f>'rockfish harvests'!K246</f>
        <v>71940.082903438393</v>
      </c>
      <c r="C23" s="1">
        <f>'rockfish harvests'!L246</f>
        <v>13249322.287968032</v>
      </c>
      <c r="D23" s="1">
        <f>'rockfish harvests'!K271</f>
        <v>7580.0488400488402</v>
      </c>
      <c r="E23" s="1">
        <f>'rockfish harvests'!L271</f>
        <v>191271.46761998921</v>
      </c>
      <c r="F23" s="1">
        <f>'rockfish harvests'!K296</f>
        <v>41111.228360636691</v>
      </c>
      <c r="G23" s="1">
        <f>'rockfish harvests'!L296</f>
        <v>14540377.874931889</v>
      </c>
      <c r="H23" s="1">
        <f>'rockfish harvests'!K321</f>
        <v>16078.017147192715</v>
      </c>
      <c r="I23" s="1">
        <f>'rockfish harvests'!L321</f>
        <v>4662505.6656814301</v>
      </c>
      <c r="J23" s="1">
        <f>'rockfish harvests'!K346</f>
        <v>62909.834871736792</v>
      </c>
      <c r="K23" s="1">
        <f>'rockfish harvests'!L346</f>
        <v>21220862.426665116</v>
      </c>
      <c r="L23" s="1">
        <f>'rockfish harvests'!K371</f>
        <v>28180.221332705438</v>
      </c>
      <c r="M23" s="2">
        <f>'rockfish harvests'!L371</f>
        <v>9465736.8938175309</v>
      </c>
      <c r="N23" s="2">
        <f t="shared" si="0"/>
        <v>227799.43345575887</v>
      </c>
      <c r="O23" s="1">
        <f t="shared" si="1"/>
        <v>63330076.61668399</v>
      </c>
      <c r="P23">
        <f t="shared" si="2"/>
        <v>7958.0196416372328</v>
      </c>
      <c r="Q23" s="14">
        <f t="shared" si="3"/>
        <v>3.4934325871283464E-2</v>
      </c>
    </row>
    <row r="24" spans="1:17" x14ac:dyDescent="0.3">
      <c r="A24">
        <v>2018</v>
      </c>
      <c r="B24" s="1">
        <f>'rockfish harvests'!K247</f>
        <v>61699.047320720041</v>
      </c>
      <c r="C24" s="1">
        <f>'rockfish harvests'!L247</f>
        <v>1305580.4963851175</v>
      </c>
      <c r="D24" s="1">
        <f>'rockfish harvests'!K272</f>
        <v>10630.379506304387</v>
      </c>
      <c r="E24" s="1">
        <f>'rockfish harvests'!L272</f>
        <v>502872.73387700756</v>
      </c>
      <c r="F24" s="1">
        <f>'rockfish harvests'!K297</f>
        <v>50022.26901059274</v>
      </c>
      <c r="G24" s="1">
        <f>'rockfish harvests'!L297</f>
        <v>8197994.4604236083</v>
      </c>
      <c r="H24" s="1">
        <f>'rockfish harvests'!K322</f>
        <v>18860.883640705848</v>
      </c>
      <c r="I24" s="1">
        <f>'rockfish harvests'!L322</f>
        <v>7422148.5356027149</v>
      </c>
      <c r="J24" s="1">
        <f>'rockfish harvests'!K347</f>
        <v>76774.8595505618</v>
      </c>
      <c r="K24" s="1">
        <f>'rockfish harvests'!L347</f>
        <v>18537755.684375577</v>
      </c>
      <c r="L24" s="1">
        <f>'rockfish harvests'!K372</f>
        <v>39816.635899450121</v>
      </c>
      <c r="M24" s="2">
        <f>'rockfish harvests'!L372</f>
        <v>12734528.822682161</v>
      </c>
      <c r="N24" s="2">
        <f t="shared" si="0"/>
        <v>257804.07492833494</v>
      </c>
      <c r="O24" s="1">
        <f t="shared" si="1"/>
        <v>48700880.733346194</v>
      </c>
      <c r="P24">
        <f t="shared" si="2"/>
        <v>6978.6016316555997</v>
      </c>
      <c r="Q24" s="14">
        <f t="shared" si="3"/>
        <v>2.7069400022460971E-2</v>
      </c>
    </row>
    <row r="25" spans="1:17" x14ac:dyDescent="0.3">
      <c r="A25">
        <v>2019</v>
      </c>
      <c r="B25" s="1">
        <f>'rockfish harvests'!K248</f>
        <v>69676.250304369401</v>
      </c>
      <c r="C25" s="1">
        <f>'rockfish harvests'!L248</f>
        <v>3923387.5515685715</v>
      </c>
      <c r="D25" s="1">
        <f>'rockfish harvests'!K273</f>
        <v>10910.494473531124</v>
      </c>
      <c r="E25" s="1">
        <f>'rockfish harvests'!L273</f>
        <v>1226769.4446075337</v>
      </c>
      <c r="F25" s="1">
        <f>'rockfish harvests'!K298</f>
        <v>59476.361216730038</v>
      </c>
      <c r="G25" s="1">
        <f>'rockfish harvests'!L298</f>
        <v>24125308.819017805</v>
      </c>
      <c r="H25" s="1">
        <f>'rockfish harvests'!K323</f>
        <v>18193.663451672481</v>
      </c>
      <c r="I25" s="1">
        <f>'rockfish harvests'!L323</f>
        <v>4892127.8553123055</v>
      </c>
      <c r="J25" s="1">
        <f>'rockfish harvests'!K348</f>
        <v>105817.34860446323</v>
      </c>
      <c r="K25" s="1">
        <f>'rockfish harvests'!L348</f>
        <v>111154603.32156514</v>
      </c>
      <c r="L25" s="1">
        <f>'rockfish harvests'!K373</f>
        <v>39271.985999299963</v>
      </c>
      <c r="M25" s="2">
        <f>'rockfish harvests'!L373</f>
        <v>28189042.115738388</v>
      </c>
      <c r="N25" s="2">
        <f t="shared" si="0"/>
        <v>303346.10405006621</v>
      </c>
      <c r="O25" s="1">
        <f t="shared" si="1"/>
        <v>173511239.10780972</v>
      </c>
      <c r="P25">
        <f t="shared" si="2"/>
        <v>13172.366496108803</v>
      </c>
      <c r="Q25" s="14">
        <f t="shared" si="3"/>
        <v>4.3423555866518568E-2</v>
      </c>
    </row>
    <row r="26" spans="1:17" x14ac:dyDescent="0.3">
      <c r="A26">
        <v>2020</v>
      </c>
      <c r="B26" s="1">
        <f>'rockfish harvests'!K249</f>
        <v>30307.582512931756</v>
      </c>
      <c r="C26" s="1">
        <f>'rockfish harvests'!L249</f>
        <v>3148769.5238355137</v>
      </c>
      <c r="D26" s="1">
        <f>'rockfish harvests'!K274</f>
        <v>4973.6383877159315</v>
      </c>
      <c r="E26" s="1">
        <f>'rockfish harvests'!L274</f>
        <v>109543.02664472036</v>
      </c>
      <c r="F26" s="1">
        <f>'rockfish harvests'!K299</f>
        <v>22443.397890444958</v>
      </c>
      <c r="G26" s="1">
        <f>'rockfish harvests'!L299</f>
        <v>1472700.4379098967</v>
      </c>
      <c r="H26" s="1">
        <f>'rockfish harvests'!K324</f>
        <v>4399.5719163465646</v>
      </c>
      <c r="I26" s="1">
        <f>'rockfish harvests'!L324</f>
        <v>110201.41937596143</v>
      </c>
      <c r="J26" s="1">
        <f>'rockfish harvests'!K349</f>
        <v>26303.649154865238</v>
      </c>
      <c r="K26" s="1">
        <f>'rockfish harvests'!L349</f>
        <v>6640608.2621304234</v>
      </c>
      <c r="L26" s="1">
        <f>'rockfish harvests'!K374</f>
        <v>15388.622535579058</v>
      </c>
      <c r="M26" s="2">
        <f>'rockfish harvests'!L374</f>
        <v>1279455.8924929332</v>
      </c>
      <c r="N26" s="2">
        <f t="shared" si="0"/>
        <v>103816.4623978835</v>
      </c>
      <c r="O26" s="1">
        <f t="shared" si="1"/>
        <v>12761278.562389448</v>
      </c>
      <c r="P26">
        <f t="shared" si="2"/>
        <v>3572.2931797921415</v>
      </c>
      <c r="Q26" s="14">
        <f t="shared" si="3"/>
        <v>3.4409698590008683E-2</v>
      </c>
    </row>
    <row r="27" spans="1:17" x14ac:dyDescent="0.3">
      <c r="A27">
        <v>2021</v>
      </c>
      <c r="B27" s="1">
        <f>'rockfish harvests'!K250</f>
        <v>62821.383245691672</v>
      </c>
      <c r="C27" s="1">
        <f>'rockfish harvests'!L250</f>
        <v>1468791.0672018982</v>
      </c>
      <c r="D27" s="1">
        <f>'rockfish harvests'!K275</f>
        <v>8856.750779741571</v>
      </c>
      <c r="E27" s="1">
        <f>'rockfish harvests'!L275</f>
        <v>303380.23971291271</v>
      </c>
      <c r="F27" s="1">
        <f>'rockfish harvests'!K300</f>
        <v>41077.489980580918</v>
      </c>
      <c r="G27" s="1">
        <f>'rockfish harvests'!L300</f>
        <v>3864104.3574178377</v>
      </c>
      <c r="H27" s="1">
        <f>'rockfish harvests'!K325</f>
        <v>15994.894678355353</v>
      </c>
      <c r="I27" s="1">
        <f>'rockfish harvests'!L325</f>
        <v>3588518.0359388059</v>
      </c>
      <c r="J27" s="1">
        <f>'rockfish harvests'!K350</f>
        <v>42574.636497865038</v>
      </c>
      <c r="K27" s="1">
        <f>'rockfish harvests'!L350</f>
        <v>6428956.9149598647</v>
      </c>
      <c r="L27" s="1">
        <f>'rockfish harvests'!K375</f>
        <v>31069.087000071548</v>
      </c>
      <c r="M27" s="2">
        <f>'rockfish harvests'!L375</f>
        <v>492653.23167840909</v>
      </c>
      <c r="N27" s="2">
        <f t="shared" si="0"/>
        <v>202394.24218230607</v>
      </c>
      <c r="O27" s="1">
        <f t="shared" si="1"/>
        <v>16146403.846909728</v>
      </c>
      <c r="P27">
        <f t="shared" si="2"/>
        <v>4018.2588078556773</v>
      </c>
      <c r="Q27" s="14">
        <f t="shared" si="3"/>
        <v>1.9853622141267444E-2</v>
      </c>
    </row>
    <row r="28" spans="1:17" x14ac:dyDescent="0.3">
      <c r="A28">
        <v>2022</v>
      </c>
      <c r="B28" s="1">
        <f>'rockfish harvests'!K251</f>
        <v>78954.939425595861</v>
      </c>
      <c r="C28" s="1">
        <f>'rockfish harvests'!L251</f>
        <v>5307635.0491281012</v>
      </c>
      <c r="D28" s="1">
        <f>'rockfish harvests'!K276</f>
        <v>9419.4706368899915</v>
      </c>
      <c r="E28" s="1">
        <f>'rockfish harvests'!L276</f>
        <v>966290.79621620791</v>
      </c>
      <c r="F28" s="1">
        <f>'rockfish harvests'!K301</f>
        <v>58127.726273535314</v>
      </c>
      <c r="G28" s="1">
        <f>'rockfish harvests'!L301</f>
        <v>56312393.20575878</v>
      </c>
      <c r="H28" s="1">
        <f>'rockfish harvests'!K326</f>
        <v>15542.015808541002</v>
      </c>
      <c r="I28" s="1">
        <f>'rockfish harvests'!L326</f>
        <v>3116937.6581412847</v>
      </c>
      <c r="J28" s="1">
        <f>'rockfish harvests'!K351</f>
        <v>59142.766593391003</v>
      </c>
      <c r="K28" s="1">
        <f>'rockfish harvests'!L351</f>
        <v>17493065.751002964</v>
      </c>
      <c r="L28" s="1">
        <f>'rockfish harvests'!K376</f>
        <v>44515.512102515429</v>
      </c>
      <c r="M28" s="2">
        <f>'rockfish harvests'!L376</f>
        <v>7024339.3858510992</v>
      </c>
      <c r="N28" s="2">
        <f t="shared" ref="N28" si="4">L28+J28+H28+F28+D28+B28</f>
        <v>265702.43084046862</v>
      </c>
      <c r="O28" s="1">
        <f t="shared" ref="O28" si="5">SUM(G28,I28,K28,M28,E28,C28)</f>
        <v>90220661.846098438</v>
      </c>
      <c r="P28">
        <f t="shared" ref="P28" si="6">SQRT(O28)</f>
        <v>9498.4557611276177</v>
      </c>
      <c r="Q28" s="14">
        <f t="shared" ref="Q28" si="7">P28/N28</f>
        <v>3.5748471442591433E-2</v>
      </c>
    </row>
    <row r="29" spans="1:17" x14ac:dyDescent="0.3">
      <c r="A29" s="109" t="s">
        <v>95</v>
      </c>
      <c r="B29" s="109"/>
      <c r="C29" s="109"/>
      <c r="D29" s="109"/>
      <c r="E29" s="109"/>
      <c r="F29" s="109"/>
      <c r="G29" s="109"/>
      <c r="H29" s="109"/>
      <c r="I29" s="109"/>
      <c r="J29" s="109"/>
      <c r="K29" s="9"/>
      <c r="L29" s="9"/>
    </row>
    <row r="30" spans="1:17" x14ac:dyDescent="0.3">
      <c r="A30" t="s">
        <v>34</v>
      </c>
      <c r="B30" s="109" t="s">
        <v>42</v>
      </c>
      <c r="C30" s="109"/>
      <c r="D30" s="109" t="s">
        <v>83</v>
      </c>
      <c r="E30" s="109"/>
      <c r="F30" s="109" t="s">
        <v>38</v>
      </c>
      <c r="G30" s="109"/>
      <c r="H30" s="109" t="s">
        <v>41</v>
      </c>
      <c r="I30" s="109"/>
      <c r="J30" s="109" t="s">
        <v>39</v>
      </c>
      <c r="K30" s="109"/>
      <c r="L30" s="109" t="s">
        <v>40</v>
      </c>
      <c r="M30" s="109"/>
      <c r="N30" s="109" t="s">
        <v>158</v>
      </c>
      <c r="O30" s="109"/>
      <c r="P30" s="109"/>
      <c r="Q30" s="109"/>
    </row>
    <row r="31" spans="1:17" x14ac:dyDescent="0.3">
      <c r="B31" s="9" t="s">
        <v>138</v>
      </c>
      <c r="C31" s="9" t="s">
        <v>139</v>
      </c>
      <c r="D31" s="9" t="s">
        <v>138</v>
      </c>
      <c r="E31" s="9" t="s">
        <v>139</v>
      </c>
      <c r="F31" s="9" t="s">
        <v>138</v>
      </c>
      <c r="G31" s="9" t="s">
        <v>139</v>
      </c>
      <c r="H31" s="9" t="s">
        <v>138</v>
      </c>
      <c r="I31" s="9" t="s">
        <v>139</v>
      </c>
      <c r="J31" s="9" t="s">
        <v>138</v>
      </c>
      <c r="K31" s="9" t="s">
        <v>139</v>
      </c>
      <c r="L31" s="9" t="s">
        <v>138</v>
      </c>
      <c r="M31" s="9" t="s">
        <v>139</v>
      </c>
      <c r="N31" s="9" t="s">
        <v>138</v>
      </c>
      <c r="O31" s="9" t="s">
        <v>154</v>
      </c>
      <c r="P31" s="9" t="s">
        <v>155</v>
      </c>
      <c r="Q31" s="9" t="s">
        <v>156</v>
      </c>
    </row>
    <row r="32" spans="1:17" x14ac:dyDescent="0.3">
      <c r="A32">
        <v>1998</v>
      </c>
      <c r="B32" s="1">
        <f>'BRF harvest'!V228</f>
        <v>5109.2861107933395</v>
      </c>
      <c r="C32" s="1">
        <f>'BRF harvest'!W228</f>
        <v>82291.462756209265</v>
      </c>
      <c r="D32" s="1">
        <f>'BRF harvest'!V253</f>
        <v>985.83253862133824</v>
      </c>
      <c r="E32" s="1">
        <f>'BRF harvest'!W253</f>
        <v>21294.988987143406</v>
      </c>
      <c r="F32" s="1">
        <f>'BRF harvest'!V278</f>
        <v>2545.6840087219839</v>
      </c>
      <c r="G32" s="1">
        <f>'BRF harvest'!W278</f>
        <v>532150.16161697614</v>
      </c>
      <c r="H32" s="1">
        <f>'BRF harvest'!V303</f>
        <v>927.74164204660451</v>
      </c>
      <c r="I32" s="1">
        <f>'BRF harvest'!W303</f>
        <v>44754.47244525815</v>
      </c>
      <c r="J32" s="1">
        <f>'BRF harvest'!V328</f>
        <v>3052.2856988832837</v>
      </c>
      <c r="K32" s="1">
        <f>'BRF harvest'!W328</f>
        <v>160559.45093617451</v>
      </c>
      <c r="L32" s="1">
        <f>'BRF harvest'!V353</f>
        <v>2390.8323813353122</v>
      </c>
      <c r="M32" s="2">
        <f>'BRF harvest'!W353</f>
        <v>120509.16018893734</v>
      </c>
      <c r="N32" s="2">
        <f>L32+J32+H32+F32+D32+B32</f>
        <v>15011.66238040186</v>
      </c>
      <c r="O32" s="1">
        <f>SUM(G32,I32,K32,M32,E32,C32)</f>
        <v>961559.69693069882</v>
      </c>
      <c r="P32">
        <f>SQRT(O32)</f>
        <v>980.5915035990771</v>
      </c>
      <c r="Q32" s="14">
        <f>P32/N32</f>
        <v>6.5321979588301049E-2</v>
      </c>
    </row>
    <row r="33" spans="1:17" x14ac:dyDescent="0.3">
      <c r="A33">
        <v>1999</v>
      </c>
      <c r="B33" s="1">
        <f>'BRF harvest'!V229</f>
        <v>4526.4484377305489</v>
      </c>
      <c r="C33" s="1">
        <f>'BRF harvest'!W229</f>
        <v>84404.548860197363</v>
      </c>
      <c r="D33" s="1">
        <f>'BRF harvest'!V254</f>
        <v>690.38285707176499</v>
      </c>
      <c r="E33" s="1">
        <f>'BRF harvest'!W254</f>
        <v>5532.7727206377831</v>
      </c>
      <c r="F33" s="1">
        <f>'BRF harvest'!V279</f>
        <v>3630.5040680794018</v>
      </c>
      <c r="G33" s="1">
        <f>'BRF harvest'!W279</f>
        <v>1131631.1576646767</v>
      </c>
      <c r="H33" s="1">
        <f>'BRF harvest'!V304</f>
        <v>800.5190215331063</v>
      </c>
      <c r="I33" s="1">
        <f>'BRF harvest'!W304</f>
        <v>40606.391047581354</v>
      </c>
      <c r="J33" s="1">
        <f>'BRF harvest'!V329</f>
        <v>4066.8585562044118</v>
      </c>
      <c r="K33" s="1">
        <f>'BRF harvest'!W329</f>
        <v>240385.63062358557</v>
      </c>
      <c r="L33" s="1">
        <f>'BRF harvest'!V354</f>
        <v>2923.2446881694618</v>
      </c>
      <c r="M33" s="2">
        <f>'BRF harvest'!W354</f>
        <v>252942.6385215364</v>
      </c>
      <c r="N33" s="2">
        <f t="shared" ref="N33:N53" si="8">L33+J33+H33+F33+D33+B33</f>
        <v>16637.957628788696</v>
      </c>
      <c r="O33" s="1">
        <f t="shared" ref="O33:O53" si="9">SUM(G33,I33,K33,M33,E33,C33)</f>
        <v>1755503.1394382152</v>
      </c>
      <c r="P33">
        <f t="shared" ref="P33:P53" si="10">SQRT(O33)</f>
        <v>1324.9540140843437</v>
      </c>
      <c r="Q33" s="14">
        <f t="shared" ref="Q33:Q53" si="11">P33/N33</f>
        <v>7.9634414490380279E-2</v>
      </c>
    </row>
    <row r="34" spans="1:17" x14ac:dyDescent="0.3">
      <c r="A34">
        <v>2000</v>
      </c>
      <c r="B34" s="1">
        <f>'BRF harvest'!V230</f>
        <v>7017.4540045510321</v>
      </c>
      <c r="C34" s="1">
        <f>'BRF harvest'!W230</f>
        <v>253313.01308261824</v>
      </c>
      <c r="D34" s="1">
        <f>'BRF harvest'!V255</f>
        <v>1315.4731738538947</v>
      </c>
      <c r="E34" s="1">
        <f>'BRF harvest'!W255</f>
        <v>18123.906241861703</v>
      </c>
      <c r="F34" s="1">
        <f>'BRF harvest'!V280</f>
        <v>5328.7965482081872</v>
      </c>
      <c r="G34" s="1">
        <f>'BRF harvest'!W280</f>
        <v>2409521.7704456635</v>
      </c>
      <c r="H34" s="1">
        <f>'BRF harvest'!V305</f>
        <v>2300.548463697311</v>
      </c>
      <c r="I34" s="1">
        <f>'BRF harvest'!W305</f>
        <v>294690.44670990121</v>
      </c>
      <c r="J34" s="1">
        <f>'BRF harvest'!V330</f>
        <v>5687.2255205154252</v>
      </c>
      <c r="K34" s="1">
        <f>'BRF harvest'!W330</f>
        <v>579986.66769282427</v>
      </c>
      <c r="L34" s="1">
        <f>'BRF harvest'!V355</f>
        <v>4182.0128461283412</v>
      </c>
      <c r="M34" s="2">
        <f>'BRF harvest'!W355</f>
        <v>566742.71705998818</v>
      </c>
      <c r="N34" s="2">
        <f t="shared" si="8"/>
        <v>25831.510556954192</v>
      </c>
      <c r="O34" s="1">
        <f t="shared" si="9"/>
        <v>4122378.5212328569</v>
      </c>
      <c r="P34">
        <f t="shared" si="10"/>
        <v>2030.3641351326262</v>
      </c>
      <c r="Q34" s="14">
        <f t="shared" si="11"/>
        <v>7.8600286679170794E-2</v>
      </c>
    </row>
    <row r="35" spans="1:17" x14ac:dyDescent="0.3">
      <c r="A35">
        <v>2001</v>
      </c>
      <c r="B35" s="1">
        <f>'BRF harvest'!V231</f>
        <v>5186.799467588633</v>
      </c>
      <c r="C35" s="1">
        <f>'BRF harvest'!W231</f>
        <v>198435.91250977703</v>
      </c>
      <c r="D35" s="1">
        <f>'BRF harvest'!V256</f>
        <v>1116.1910920841854</v>
      </c>
      <c r="E35" s="1">
        <f>'BRF harvest'!W256</f>
        <v>13703.751880165126</v>
      </c>
      <c r="F35" s="1">
        <f>'BRF harvest'!V281</f>
        <v>3789.5842596457151</v>
      </c>
      <c r="G35" s="1">
        <f>'BRF harvest'!W281</f>
        <v>1204283.8705619627</v>
      </c>
      <c r="H35" s="1">
        <f>'BRF harvest'!V306</f>
        <v>2076.6671376370437</v>
      </c>
      <c r="I35" s="1">
        <f>'BRF harvest'!W306</f>
        <v>285201.85107731528</v>
      </c>
      <c r="J35" s="1">
        <f>'BRF harvest'!V331</f>
        <v>4871.5594080472574</v>
      </c>
      <c r="K35" s="1">
        <f>'BRF harvest'!W331</f>
        <v>372406.33158516453</v>
      </c>
      <c r="L35" s="1">
        <f>'BRF harvest'!V356</f>
        <v>3570.2041663979758</v>
      </c>
      <c r="M35" s="2">
        <f>'BRF harvest'!W356</f>
        <v>393281.24665939179</v>
      </c>
      <c r="N35" s="2">
        <f t="shared" si="8"/>
        <v>20611.00553140081</v>
      </c>
      <c r="O35" s="1">
        <f t="shared" si="9"/>
        <v>2467312.9642737764</v>
      </c>
      <c r="P35">
        <f t="shared" si="10"/>
        <v>1570.7682719846923</v>
      </c>
      <c r="Q35" s="14">
        <f t="shared" si="11"/>
        <v>7.6210171774085997E-2</v>
      </c>
    </row>
    <row r="36" spans="1:17" x14ac:dyDescent="0.3">
      <c r="A36">
        <v>2002</v>
      </c>
      <c r="B36" s="1">
        <f>'BRF harvest'!V232</f>
        <v>6222.3760168044737</v>
      </c>
      <c r="C36" s="1">
        <f>'BRF harvest'!W232</f>
        <v>176585.90632401462</v>
      </c>
      <c r="D36" s="1">
        <f>'BRF harvest'!V257</f>
        <v>983.46166626138779</v>
      </c>
      <c r="E36" s="1">
        <f>'BRF harvest'!W257</f>
        <v>10054.723278049336</v>
      </c>
      <c r="F36" s="1">
        <f>'BRF harvest'!V282</f>
        <v>2910.5205549053699</v>
      </c>
      <c r="G36" s="1">
        <f>'BRF harvest'!W282</f>
        <v>733101.84607674985</v>
      </c>
      <c r="H36" s="1">
        <f>'BRF harvest'!V307</f>
        <v>1299.295531696207</v>
      </c>
      <c r="I36" s="1">
        <f>'BRF harvest'!W307</f>
        <v>145351.50981274905</v>
      </c>
      <c r="J36" s="1">
        <f>'BRF harvest'!V332</f>
        <v>4260.7618047507349</v>
      </c>
      <c r="K36" s="1">
        <f>'BRF harvest'!W332</f>
        <v>278116.97138125345</v>
      </c>
      <c r="L36" s="1">
        <f>'BRF harvest'!V357</f>
        <v>5713.3965232358623</v>
      </c>
      <c r="M36" s="2">
        <f>'BRF harvest'!W357</f>
        <v>689235.07127909409</v>
      </c>
      <c r="N36" s="2">
        <f t="shared" si="8"/>
        <v>21389.812097654038</v>
      </c>
      <c r="O36" s="1">
        <f t="shared" si="9"/>
        <v>2032446.0281519103</v>
      </c>
      <c r="P36">
        <f t="shared" si="10"/>
        <v>1425.6388140591257</v>
      </c>
      <c r="Q36" s="14">
        <f t="shared" si="11"/>
        <v>6.6650366424466395E-2</v>
      </c>
    </row>
    <row r="37" spans="1:17" x14ac:dyDescent="0.3">
      <c r="A37">
        <v>2003</v>
      </c>
      <c r="B37" s="1">
        <f>'BRF harvest'!V233</f>
        <v>7783.1235787198812</v>
      </c>
      <c r="C37" s="1">
        <f>'BRF harvest'!W233</f>
        <v>215432.26753477391</v>
      </c>
      <c r="D37" s="1">
        <f>'BRF harvest'!V258</f>
        <v>1537.7931114266105</v>
      </c>
      <c r="E37" s="1">
        <f>'BRF harvest'!W258</f>
        <v>33235.012528912965</v>
      </c>
      <c r="F37" s="1">
        <f>'BRF harvest'!V283</f>
        <v>3371.7442514051063</v>
      </c>
      <c r="G37" s="1">
        <f>'BRF harvest'!W283</f>
        <v>968904.42614443135</v>
      </c>
      <c r="H37" s="1">
        <f>'BRF harvest'!V308</f>
        <v>2333.4453071080738</v>
      </c>
      <c r="I37" s="1">
        <f>'BRF harvest'!W308</f>
        <v>336573.82828637696</v>
      </c>
      <c r="J37" s="1">
        <f>'BRF harvest'!V333</f>
        <v>6042.764817621307</v>
      </c>
      <c r="K37" s="1">
        <f>'BRF harvest'!W333</f>
        <v>550849.29003758298</v>
      </c>
      <c r="L37" s="1">
        <f>'BRF harvest'!V358</f>
        <v>4822.9945145784895</v>
      </c>
      <c r="M37" s="2">
        <f>'BRF harvest'!W358</f>
        <v>564740.03156144999</v>
      </c>
      <c r="N37" s="2">
        <f t="shared" si="8"/>
        <v>25891.865580859467</v>
      </c>
      <c r="O37" s="1">
        <f t="shared" si="9"/>
        <v>2669734.8560935282</v>
      </c>
      <c r="P37">
        <f t="shared" si="10"/>
        <v>1633.9323291047058</v>
      </c>
      <c r="Q37" s="14">
        <f t="shared" si="11"/>
        <v>6.3106010032455459E-2</v>
      </c>
    </row>
    <row r="38" spans="1:17" x14ac:dyDescent="0.3">
      <c r="A38">
        <v>2004</v>
      </c>
      <c r="B38" s="1">
        <f>'BRF harvest'!V234</f>
        <v>11311.709402952769</v>
      </c>
      <c r="C38" s="1">
        <f>'BRF harvest'!W234</f>
        <v>440537.00867606403</v>
      </c>
      <c r="D38" s="1">
        <f>'BRF harvest'!V259</f>
        <v>1449.0197488164604</v>
      </c>
      <c r="E38" s="1">
        <f>'BRF harvest'!W259</f>
        <v>28300.951734155256</v>
      </c>
      <c r="F38" s="1">
        <f>'BRF harvest'!V284</f>
        <v>3210.5587743028509</v>
      </c>
      <c r="G38" s="1">
        <f>'BRF harvest'!W284</f>
        <v>867539.46790141449</v>
      </c>
      <c r="H38" s="1">
        <f>'BRF harvest'!V309</f>
        <v>1880.5679839184638</v>
      </c>
      <c r="I38" s="1">
        <f>'BRF harvest'!W309</f>
        <v>301676.27102139377</v>
      </c>
      <c r="J38" s="1">
        <f>'BRF harvest'!V334</f>
        <v>5961.1293542103658</v>
      </c>
      <c r="K38" s="1">
        <f>'BRF harvest'!W334</f>
        <v>685231.95555593609</v>
      </c>
      <c r="L38" s="1">
        <f>'BRF harvest'!V359</f>
        <v>7084.9063392254411</v>
      </c>
      <c r="M38" s="2">
        <f>'BRF harvest'!W359</f>
        <v>1202124.3802729838</v>
      </c>
      <c r="N38" s="2">
        <f t="shared" si="8"/>
        <v>30897.891603426349</v>
      </c>
      <c r="O38" s="1">
        <f t="shared" si="9"/>
        <v>3525410.0351619478</v>
      </c>
      <c r="P38">
        <f t="shared" si="10"/>
        <v>1877.6075295870401</v>
      </c>
      <c r="Q38" s="14">
        <f t="shared" si="11"/>
        <v>6.0768144107892046E-2</v>
      </c>
    </row>
    <row r="39" spans="1:17" x14ac:dyDescent="0.3">
      <c r="A39">
        <v>2005</v>
      </c>
      <c r="B39" s="1">
        <f>'BRF harvest'!V235</f>
        <v>14771.632028089245</v>
      </c>
      <c r="C39" s="1">
        <f>'BRF harvest'!W235</f>
        <v>697958.57524294371</v>
      </c>
      <c r="D39" s="1">
        <f>'BRF harvest'!V260</f>
        <v>1754.3453147693908</v>
      </c>
      <c r="E39" s="1">
        <f>'BRF harvest'!W260</f>
        <v>35361.431136922787</v>
      </c>
      <c r="F39" s="1">
        <f>'BRF harvest'!V285</f>
        <v>4246.1151225412013</v>
      </c>
      <c r="G39" s="1">
        <f>'BRF harvest'!W285</f>
        <v>1534643.8165233159</v>
      </c>
      <c r="H39" s="1">
        <f>'BRF harvest'!V310</f>
        <v>2018.4761173615548</v>
      </c>
      <c r="I39" s="1">
        <f>'BRF harvest'!W310</f>
        <v>276556.1333229646</v>
      </c>
      <c r="J39" s="1">
        <f>'BRF harvest'!V335</f>
        <v>6616.7329098112286</v>
      </c>
      <c r="K39" s="1">
        <f>'BRF harvest'!W335</f>
        <v>905296.8134727343</v>
      </c>
      <c r="L39" s="1">
        <f>'BRF harvest'!V360</f>
        <v>9123.2044032943159</v>
      </c>
      <c r="M39" s="2">
        <f>'BRF harvest'!W360</f>
        <v>1905420.7251651611</v>
      </c>
      <c r="N39" s="2">
        <f t="shared" si="8"/>
        <v>38530.505895866932</v>
      </c>
      <c r="O39" s="1">
        <f t="shared" si="9"/>
        <v>5355237.4948640428</v>
      </c>
      <c r="P39">
        <f t="shared" si="10"/>
        <v>2314.1386075306818</v>
      </c>
      <c r="Q39" s="14">
        <f t="shared" si="11"/>
        <v>6.0059907175496328E-2</v>
      </c>
    </row>
    <row r="40" spans="1:17" x14ac:dyDescent="0.3">
      <c r="A40">
        <v>2006</v>
      </c>
      <c r="B40" s="1">
        <f>'BRF harvest'!V236</f>
        <v>22682.73202205935</v>
      </c>
      <c r="C40" s="1">
        <f>'BRF harvest'!W236</f>
        <v>853863.36230238434</v>
      </c>
      <c r="D40" s="1">
        <f>'BRF harvest'!V261</f>
        <v>2688.8985904128322</v>
      </c>
      <c r="E40" s="1">
        <f>'BRF harvest'!W261</f>
        <v>84990.471909819345</v>
      </c>
      <c r="F40" s="1">
        <f>'BRF harvest'!V286</f>
        <v>4438.9726879623568</v>
      </c>
      <c r="G40" s="1">
        <f>'BRF harvest'!W286</f>
        <v>140305.0069635399</v>
      </c>
      <c r="H40" s="1">
        <f>'BRF harvest'!V311</f>
        <v>1962.5133875616009</v>
      </c>
      <c r="I40" s="1">
        <f>'BRF harvest'!W311</f>
        <v>111533.16014998226</v>
      </c>
      <c r="J40" s="1">
        <f>'BRF harvest'!V336</f>
        <v>7642.4116841430741</v>
      </c>
      <c r="K40" s="1">
        <f>'BRF harvest'!W336</f>
        <v>244220.34599216245</v>
      </c>
      <c r="L40" s="1">
        <f>'BRF harvest'!V361</f>
        <v>7054.3156164025404</v>
      </c>
      <c r="M40" s="2">
        <f>'BRF harvest'!W361</f>
        <v>713407.79089068423</v>
      </c>
      <c r="N40" s="2">
        <f t="shared" si="8"/>
        <v>46469.843988541754</v>
      </c>
      <c r="O40" s="1">
        <f t="shared" si="9"/>
        <v>2148320.1382085728</v>
      </c>
      <c r="P40">
        <f t="shared" si="10"/>
        <v>1465.7148898092605</v>
      </c>
      <c r="Q40" s="14">
        <f t="shared" si="11"/>
        <v>3.1541205306621377E-2</v>
      </c>
    </row>
    <row r="41" spans="1:17" x14ac:dyDescent="0.3">
      <c r="A41">
        <v>2007</v>
      </c>
      <c r="B41" s="1">
        <f>'BRF harvest'!V237</f>
        <v>27069.196654343843</v>
      </c>
      <c r="C41" s="1">
        <f>'BRF harvest'!W237</f>
        <v>1244432.5866701382</v>
      </c>
      <c r="D41" s="1">
        <f>'BRF harvest'!V262</f>
        <v>2522.2917795093531</v>
      </c>
      <c r="E41" s="1">
        <f>'BRF harvest'!W262</f>
        <v>75274.85988135665</v>
      </c>
      <c r="F41" s="1">
        <f>'BRF harvest'!V287</f>
        <v>4775.7531153372838</v>
      </c>
      <c r="G41" s="1">
        <f>'BRF harvest'!W287</f>
        <v>60014.102232360929</v>
      </c>
      <c r="H41" s="1">
        <f>'BRF harvest'!V312</f>
        <v>3195.8458360784375</v>
      </c>
      <c r="I41" s="1">
        <f>'BRF harvest'!W312</f>
        <v>168738.7849009503</v>
      </c>
      <c r="J41" s="1">
        <f>'BRF harvest'!V337</f>
        <v>8023.8485794306507</v>
      </c>
      <c r="K41" s="1">
        <f>'BRF harvest'!W337</f>
        <v>256991.52921731098</v>
      </c>
      <c r="L41" s="1">
        <f>'BRF harvest'!V362</f>
        <v>9451.4036474529166</v>
      </c>
      <c r="M41" s="2">
        <f>'BRF harvest'!W362</f>
        <v>1570510.9275420539</v>
      </c>
      <c r="N41" s="2">
        <f t="shared" si="8"/>
        <v>55038.339612152486</v>
      </c>
      <c r="O41" s="1">
        <f t="shared" si="9"/>
        <v>3375962.7904441711</v>
      </c>
      <c r="P41">
        <f t="shared" si="10"/>
        <v>1837.379326770651</v>
      </c>
      <c r="Q41" s="14">
        <f t="shared" si="11"/>
        <v>3.3383625663826473E-2</v>
      </c>
    </row>
    <row r="42" spans="1:17" x14ac:dyDescent="0.3">
      <c r="A42">
        <v>2008</v>
      </c>
      <c r="B42" s="1">
        <f>'BRF harvest'!V238</f>
        <v>41752.648530161903</v>
      </c>
      <c r="C42" s="1">
        <f>'BRF harvest'!W238</f>
        <v>2426239.6430353522</v>
      </c>
      <c r="D42" s="1">
        <f>'BRF harvest'!V263</f>
        <v>3043.2162623164641</v>
      </c>
      <c r="E42" s="1">
        <f>'BRF harvest'!W263</f>
        <v>82969.332296777691</v>
      </c>
      <c r="F42" s="1">
        <f>'BRF harvest'!V288</f>
        <v>7353.6442227897951</v>
      </c>
      <c r="G42" s="1">
        <f>'BRF harvest'!W288</f>
        <v>86906.058103955889</v>
      </c>
      <c r="H42" s="1">
        <f>'BRF harvest'!V313</f>
        <v>4710.1009184342602</v>
      </c>
      <c r="I42" s="1">
        <f>'BRF harvest'!W313</f>
        <v>766857.01185101876</v>
      </c>
      <c r="J42" s="1">
        <f>'BRF harvest'!V338</f>
        <v>10189.302581632935</v>
      </c>
      <c r="K42" s="1">
        <f>'BRF harvest'!W338</f>
        <v>428310.66681691917</v>
      </c>
      <c r="L42" s="1">
        <f>'BRF harvest'!V363</f>
        <v>16216.445896090258</v>
      </c>
      <c r="M42" s="2">
        <f>'BRF harvest'!W363</f>
        <v>3664443.4445284768</v>
      </c>
      <c r="N42" s="2">
        <f t="shared" si="8"/>
        <v>83265.358411425608</v>
      </c>
      <c r="O42" s="1">
        <f t="shared" si="9"/>
        <v>7455726.1566325007</v>
      </c>
      <c r="P42">
        <f t="shared" si="10"/>
        <v>2730.5175620443279</v>
      </c>
      <c r="Q42" s="14">
        <f t="shared" si="11"/>
        <v>3.2792959931217308E-2</v>
      </c>
    </row>
    <row r="43" spans="1:17" x14ac:dyDescent="0.3">
      <c r="A43">
        <v>2009</v>
      </c>
      <c r="B43" s="1">
        <f>'BRF harvest'!V239</f>
        <v>24307.666775303973</v>
      </c>
      <c r="C43" s="1">
        <f>'BRF harvest'!W239</f>
        <v>901528.70164244657</v>
      </c>
      <c r="D43" s="1">
        <f>'BRF harvest'!V264</f>
        <v>2800.3494704252598</v>
      </c>
      <c r="E43" s="1">
        <f>'BRF harvest'!W264</f>
        <v>88092.633150787311</v>
      </c>
      <c r="F43" s="1">
        <f>'BRF harvest'!V289</f>
        <v>5802.7027354693046</v>
      </c>
      <c r="G43" s="1">
        <f>'BRF harvest'!W289</f>
        <v>80595.441105177859</v>
      </c>
      <c r="H43" s="1">
        <f>'BRF harvest'!V314</f>
        <v>2449.2800469054973</v>
      </c>
      <c r="I43" s="1">
        <f>'BRF harvest'!W314</f>
        <v>84299.974015377607</v>
      </c>
      <c r="J43" s="1">
        <f>'BRF harvest'!V339</f>
        <v>7132.9300841933937</v>
      </c>
      <c r="K43" s="1">
        <f>'BRF harvest'!W339</f>
        <v>155755.48141037262</v>
      </c>
      <c r="L43" s="1">
        <f>'BRF harvest'!V364</f>
        <v>8820.912730723081</v>
      </c>
      <c r="M43" s="2">
        <f>'BRF harvest'!W364</f>
        <v>1064678.1943470144</v>
      </c>
      <c r="N43" s="2">
        <f t="shared" si="8"/>
        <v>51313.841843020506</v>
      </c>
      <c r="O43" s="1">
        <f t="shared" si="9"/>
        <v>2374950.4256711765</v>
      </c>
      <c r="P43">
        <f t="shared" si="10"/>
        <v>1541.0874166221645</v>
      </c>
      <c r="Q43" s="14">
        <f t="shared" si="11"/>
        <v>3.0032586944798732E-2</v>
      </c>
    </row>
    <row r="44" spans="1:17" x14ac:dyDescent="0.3">
      <c r="A44">
        <v>2010</v>
      </c>
      <c r="B44" s="1">
        <f>'BRF harvest'!V240</f>
        <v>33554.270625346166</v>
      </c>
      <c r="C44" s="1">
        <f>'BRF harvest'!W240</f>
        <v>1713262.7275419552</v>
      </c>
      <c r="D44" s="1">
        <f>'BRF harvest'!V265</f>
        <v>2457.5723339449796</v>
      </c>
      <c r="E44" s="1">
        <f>'BRF harvest'!W265</f>
        <v>75994.234641615592</v>
      </c>
      <c r="F44" s="1">
        <f>'BRF harvest'!V290</f>
        <v>7658.6840301610364</v>
      </c>
      <c r="G44" s="1">
        <f>'BRF harvest'!W290</f>
        <v>199370.07347347954</v>
      </c>
      <c r="H44" s="1">
        <f>'BRF harvest'!V315</f>
        <v>4214.0900257706062</v>
      </c>
      <c r="I44" s="1">
        <f>'BRF harvest'!W315</f>
        <v>487403.44268360944</v>
      </c>
      <c r="J44" s="1">
        <f>'BRF harvest'!V340</f>
        <v>10378.466905572745</v>
      </c>
      <c r="K44" s="1">
        <f>'BRF harvest'!W340</f>
        <v>305762.30654013215</v>
      </c>
      <c r="L44" s="1">
        <f>'BRF harvest'!V365</f>
        <v>10594.470819155009</v>
      </c>
      <c r="M44" s="2">
        <f>'BRF harvest'!W365</f>
        <v>1256236.6343936911</v>
      </c>
      <c r="N44" s="2">
        <f t="shared" si="8"/>
        <v>68857.554739950545</v>
      </c>
      <c r="O44" s="1">
        <f t="shared" si="9"/>
        <v>4038029.4192744833</v>
      </c>
      <c r="P44">
        <f t="shared" si="10"/>
        <v>2009.4848641566036</v>
      </c>
      <c r="Q44" s="14">
        <f t="shared" si="11"/>
        <v>2.9183215578097173E-2</v>
      </c>
    </row>
    <row r="45" spans="1:17" x14ac:dyDescent="0.3">
      <c r="A45">
        <v>2011</v>
      </c>
      <c r="B45" s="1">
        <f>'BRF harvest'!V241</f>
        <v>50769.780446855933</v>
      </c>
      <c r="C45" s="1">
        <f>'BRF harvest'!W241</f>
        <v>2106590.9061655235</v>
      </c>
      <c r="D45" s="1">
        <f>'BRF harvest'!V266</f>
        <v>3516.3919194144455</v>
      </c>
      <c r="E45" s="1">
        <f>'BRF harvest'!W266</f>
        <v>277513.79787593771</v>
      </c>
      <c r="F45" s="1">
        <f>'BRF harvest'!V291</f>
        <v>9376.7482891199343</v>
      </c>
      <c r="G45" s="1">
        <f>'BRF harvest'!W291</f>
        <v>162471.02746648237</v>
      </c>
      <c r="H45" s="1">
        <f>'BRF harvest'!V316</f>
        <v>7835.2318261751498</v>
      </c>
      <c r="I45" s="1">
        <f>'BRF harvest'!W316</f>
        <v>232435.51982628281</v>
      </c>
      <c r="J45" s="1">
        <f>'BRF harvest'!V341</f>
        <v>10330.75373913351</v>
      </c>
      <c r="K45" s="1">
        <f>'BRF harvest'!W341</f>
        <v>271554.50875570765</v>
      </c>
      <c r="L45" s="1">
        <f>'BRF harvest'!V366</f>
        <v>11432.008772355892</v>
      </c>
      <c r="M45" s="2">
        <f>'BRF harvest'!W366</f>
        <v>1288375.1170313063</v>
      </c>
      <c r="N45" s="2">
        <f t="shared" si="8"/>
        <v>93260.914993054874</v>
      </c>
      <c r="O45" s="1">
        <f t="shared" si="9"/>
        <v>4338940.8771212399</v>
      </c>
      <c r="P45">
        <f t="shared" si="10"/>
        <v>2083.0124524642765</v>
      </c>
      <c r="Q45" s="14">
        <f t="shared" si="11"/>
        <v>2.2335320778478295E-2</v>
      </c>
    </row>
    <row r="46" spans="1:17" x14ac:dyDescent="0.3">
      <c r="A46">
        <v>2012</v>
      </c>
      <c r="B46" s="1">
        <f>'BRF harvest'!V242</f>
        <v>45759.208903555111</v>
      </c>
      <c r="C46" s="1">
        <f>'BRF harvest'!W242</f>
        <v>376956.85018016049</v>
      </c>
      <c r="D46" s="1">
        <f>'BRF harvest'!V267</f>
        <v>3087.2658493389422</v>
      </c>
      <c r="E46" s="1">
        <f>'BRF harvest'!W267</f>
        <v>30866.956007848319</v>
      </c>
      <c r="F46" s="1">
        <f>'BRF harvest'!V292</f>
        <v>13142.249323951939</v>
      </c>
      <c r="G46" s="1">
        <f>'BRF harvest'!W292</f>
        <v>1456067.0397408074</v>
      </c>
      <c r="H46" s="1">
        <f>'BRF harvest'!V317</f>
        <v>8951.0314088624382</v>
      </c>
      <c r="I46" s="1">
        <f>'BRF harvest'!W317</f>
        <v>1141599.4582361924</v>
      </c>
      <c r="J46" s="1">
        <f>'BRF harvest'!V342</f>
        <v>9132.7127243967952</v>
      </c>
      <c r="K46" s="1">
        <f>'BRF harvest'!W342</f>
        <v>71939.022215446646</v>
      </c>
      <c r="L46" s="1">
        <f>'BRF harvest'!V367</f>
        <v>14048.918638176565</v>
      </c>
      <c r="M46" s="2">
        <f>'BRF harvest'!W367</f>
        <v>1560559.5750738389</v>
      </c>
      <c r="N46" s="2">
        <f t="shared" si="8"/>
        <v>94121.386848281778</v>
      </c>
      <c r="O46" s="1">
        <f t="shared" si="9"/>
        <v>4637988.9014542941</v>
      </c>
      <c r="P46">
        <f t="shared" si="10"/>
        <v>2153.5990577297098</v>
      </c>
      <c r="Q46" s="14">
        <f t="shared" si="11"/>
        <v>2.2881080802614889E-2</v>
      </c>
    </row>
    <row r="47" spans="1:17" x14ac:dyDescent="0.3">
      <c r="A47">
        <v>2013</v>
      </c>
      <c r="B47" s="1">
        <f>'BRF harvest'!V243</f>
        <v>53329.116116007412</v>
      </c>
      <c r="C47" s="1">
        <f>'BRF harvest'!W243</f>
        <v>1420100.4028622282</v>
      </c>
      <c r="D47" s="1">
        <f>'BRF harvest'!V268</f>
        <v>3930.506975198984</v>
      </c>
      <c r="E47" s="1">
        <f>'BRF harvest'!W268</f>
        <v>67979.384240686792</v>
      </c>
      <c r="F47" s="1">
        <f>'BRF harvest'!V293</f>
        <v>10262.346287632536</v>
      </c>
      <c r="G47" s="1">
        <f>'BRF harvest'!W293</f>
        <v>425477.20561066095</v>
      </c>
      <c r="H47" s="1">
        <f>'BRF harvest'!V318</f>
        <v>7334.2180377142668</v>
      </c>
      <c r="I47" s="1">
        <f>'BRF harvest'!W318</f>
        <v>927922.80511026736</v>
      </c>
      <c r="J47" s="1">
        <f>'BRF harvest'!V343</f>
        <v>13438.762813164891</v>
      </c>
      <c r="K47" s="1">
        <f>'BRF harvest'!W343</f>
        <v>730716.50141613698</v>
      </c>
      <c r="L47" s="1">
        <f>'BRF harvest'!V368</f>
        <v>15766.799257114304</v>
      </c>
      <c r="M47" s="2">
        <f>'BRF harvest'!W368</f>
        <v>1591372.8709149261</v>
      </c>
      <c r="N47" s="2">
        <f t="shared" si="8"/>
        <v>104061.74948683238</v>
      </c>
      <c r="O47" s="1">
        <f t="shared" si="9"/>
        <v>5163569.1701549068</v>
      </c>
      <c r="P47">
        <f t="shared" si="10"/>
        <v>2272.3488222882743</v>
      </c>
      <c r="Q47" s="14">
        <f t="shared" si="11"/>
        <v>2.1836542567216875E-2</v>
      </c>
    </row>
    <row r="48" spans="1:17" x14ac:dyDescent="0.3">
      <c r="A48">
        <v>2014</v>
      </c>
      <c r="B48" s="1">
        <f>'BRF harvest'!V244</f>
        <v>65132.033713635894</v>
      </c>
      <c r="C48" s="1">
        <f>'BRF harvest'!W244</f>
        <v>3340729.1566578518</v>
      </c>
      <c r="D48" s="1">
        <f>'BRF harvest'!V269</f>
        <v>4904.2041329687736</v>
      </c>
      <c r="E48" s="1">
        <f>'BRF harvest'!W269</f>
        <v>183332.01203084909</v>
      </c>
      <c r="F48" s="1">
        <f>'BRF harvest'!V294</f>
        <v>13291.577311781086</v>
      </c>
      <c r="G48" s="1">
        <f>'BRF harvest'!W294</f>
        <v>928602.44413002196</v>
      </c>
      <c r="H48" s="1">
        <f>'BRF harvest'!V319</f>
        <v>13519.430448069656</v>
      </c>
      <c r="I48" s="1">
        <f>'BRF harvest'!W319</f>
        <v>5841470.3998061791</v>
      </c>
      <c r="J48" s="1">
        <f>'BRF harvest'!V344</f>
        <v>11516.913987580756</v>
      </c>
      <c r="K48" s="1">
        <f>'BRF harvest'!W344</f>
        <v>177011.06314822193</v>
      </c>
      <c r="L48" s="1">
        <f>'BRF harvest'!V369</f>
        <v>16445.401669606108</v>
      </c>
      <c r="M48" s="2">
        <f>'BRF harvest'!W369</f>
        <v>2064769.6183345141</v>
      </c>
      <c r="N48" s="2">
        <f t="shared" si="8"/>
        <v>124809.56126364227</v>
      </c>
      <c r="O48" s="1">
        <f t="shared" si="9"/>
        <v>12535914.694107639</v>
      </c>
      <c r="P48">
        <f t="shared" si="10"/>
        <v>3540.6093676241153</v>
      </c>
      <c r="Q48" s="14">
        <f t="shared" si="11"/>
        <v>2.8368094012806329E-2</v>
      </c>
    </row>
    <row r="49" spans="1:17" x14ac:dyDescent="0.3">
      <c r="A49">
        <v>2015</v>
      </c>
      <c r="B49" s="1">
        <f>'BRF harvest'!V245</f>
        <v>66092.534663024664</v>
      </c>
      <c r="C49" s="1">
        <f>'BRF harvest'!W245</f>
        <v>1084037.2626474672</v>
      </c>
      <c r="D49" s="1">
        <f>'BRF harvest'!V270</f>
        <v>7054.4903416582492</v>
      </c>
      <c r="E49" s="1">
        <f>'BRF harvest'!W270</f>
        <v>1077197.2196773323</v>
      </c>
      <c r="F49" s="1">
        <f>'BRF harvest'!V295</f>
        <v>13707.06742366379</v>
      </c>
      <c r="G49" s="1">
        <f>'BRF harvest'!W295</f>
        <v>330237.09453439066</v>
      </c>
      <c r="H49" s="1">
        <f>'BRF harvest'!V320</f>
        <v>9065.0575213470729</v>
      </c>
      <c r="I49" s="1">
        <f>'BRF harvest'!W320</f>
        <v>1443956.4409595111</v>
      </c>
      <c r="J49" s="1">
        <f>'BRF harvest'!V345</f>
        <v>11916.402701481784</v>
      </c>
      <c r="K49" s="1">
        <f>'BRF harvest'!W345</f>
        <v>114186.86771162576</v>
      </c>
      <c r="L49" s="1">
        <f>'BRF harvest'!V370</f>
        <v>22605.065662922541</v>
      </c>
      <c r="M49" s="2">
        <f>'BRF harvest'!W370</f>
        <v>9833704.7311136406</v>
      </c>
      <c r="N49" s="2">
        <f t="shared" si="8"/>
        <v>130440.6183140981</v>
      </c>
      <c r="O49" s="1">
        <f t="shared" si="9"/>
        <v>13883319.616643967</v>
      </c>
      <c r="P49">
        <f t="shared" si="10"/>
        <v>3726.0326913010258</v>
      </c>
      <c r="Q49" s="14">
        <f t="shared" si="11"/>
        <v>2.8564972624775684E-2</v>
      </c>
    </row>
    <row r="50" spans="1:17" x14ac:dyDescent="0.3">
      <c r="A50">
        <v>2016</v>
      </c>
      <c r="B50" s="1">
        <f>'BRF harvest'!V246</f>
        <v>44433.393824987477</v>
      </c>
      <c r="C50" s="1">
        <f>'BRF harvest'!W246</f>
        <v>662769.35613604065</v>
      </c>
      <c r="D50" s="1">
        <f>'BRF harvest'!V271</f>
        <v>8025.2509537542774</v>
      </c>
      <c r="E50" s="1">
        <f>'BRF harvest'!W271</f>
        <v>385046.22358043748</v>
      </c>
      <c r="F50" s="1">
        <f>'BRF harvest'!V296</f>
        <v>10696.551293926825</v>
      </c>
      <c r="G50" s="1">
        <f>'BRF harvest'!W296</f>
        <v>269495.71176983032</v>
      </c>
      <c r="H50" s="1">
        <f>'BRF harvest'!V321</f>
        <v>5047.2935321359719</v>
      </c>
      <c r="I50" s="1">
        <f>'BRF harvest'!W321</f>
        <v>185837.59976697707</v>
      </c>
      <c r="J50" s="1">
        <f>'BRF harvest'!V346</f>
        <v>13195.704225544891</v>
      </c>
      <c r="K50" s="1">
        <f>'BRF harvest'!W346</f>
        <v>217095.55176669461</v>
      </c>
      <c r="L50" s="1">
        <f>'BRF harvest'!V371</f>
        <v>19470.20343475249</v>
      </c>
      <c r="M50" s="2">
        <f>'BRF harvest'!W371</f>
        <v>4767092.5978669031</v>
      </c>
      <c r="N50" s="2">
        <f t="shared" si="8"/>
        <v>100868.39726510193</v>
      </c>
      <c r="O50" s="1">
        <f t="shared" si="9"/>
        <v>6487337.0408868836</v>
      </c>
      <c r="P50">
        <f t="shared" si="10"/>
        <v>2547.0251355035512</v>
      </c>
      <c r="Q50" s="14">
        <f t="shared" si="11"/>
        <v>2.5250972599569214E-2</v>
      </c>
    </row>
    <row r="51" spans="1:17" x14ac:dyDescent="0.3">
      <c r="A51">
        <v>2017</v>
      </c>
      <c r="B51" s="1">
        <f>'BRF harvest'!V247</f>
        <v>50392.762800125296</v>
      </c>
      <c r="C51" s="1">
        <f>'BRF harvest'!W247</f>
        <v>3455590.9368268829</v>
      </c>
      <c r="D51" s="1">
        <f>'BRF harvest'!V272</f>
        <v>6490.8694410252392</v>
      </c>
      <c r="E51" s="1">
        <f>'BRF harvest'!W272</f>
        <v>157635.2234129165</v>
      </c>
      <c r="F51" s="1">
        <f>'BRF harvest'!V297</f>
        <v>12258.097150997084</v>
      </c>
      <c r="G51" s="1">
        <f>'BRF harvest'!W297</f>
        <v>1219938.6628040811</v>
      </c>
      <c r="H51" s="1">
        <f>'BRF harvest'!V322</f>
        <v>11868.906769601883</v>
      </c>
      <c r="I51" s="1">
        <f>'BRF harvest'!W322</f>
        <v>2606444.078812602</v>
      </c>
      <c r="J51" s="1">
        <f>'BRF harvest'!V347</f>
        <v>15084.5663312591</v>
      </c>
      <c r="K51" s="1">
        <f>'BRF harvest'!W347</f>
        <v>365927.49980879796</v>
      </c>
      <c r="L51" s="1">
        <f>'BRF harvest'!V372</f>
        <v>21141.518353635885</v>
      </c>
      <c r="M51" s="2">
        <f>'BRF harvest'!W372</f>
        <v>4258161.5449764989</v>
      </c>
      <c r="N51" s="2">
        <f t="shared" si="8"/>
        <v>117236.72084664449</v>
      </c>
      <c r="O51" s="1">
        <f t="shared" si="9"/>
        <v>12063697.946641779</v>
      </c>
      <c r="P51">
        <f t="shared" si="10"/>
        <v>3473.2834532531001</v>
      </c>
      <c r="Q51" s="14">
        <f t="shared" si="11"/>
        <v>2.9626241916101078E-2</v>
      </c>
    </row>
    <row r="52" spans="1:17" x14ac:dyDescent="0.3">
      <c r="A52">
        <v>2018</v>
      </c>
      <c r="B52" s="1">
        <f>'BRF harvest'!V248</f>
        <v>45639.668896178824</v>
      </c>
      <c r="C52" s="1">
        <f>'BRF harvest'!W248</f>
        <v>497247.86669045914</v>
      </c>
      <c r="D52" s="1">
        <f>'BRF harvest'!V273</f>
        <v>9020.7627217825593</v>
      </c>
      <c r="E52" s="1">
        <f>'BRF harvest'!W273</f>
        <v>295298.5050011712</v>
      </c>
      <c r="F52" s="1">
        <f>'BRF harvest'!V298</f>
        <v>10279.09612061026</v>
      </c>
      <c r="G52" s="1">
        <f>'BRF harvest'!W298</f>
        <v>379907.42363068403</v>
      </c>
      <c r="H52" s="1">
        <f>'BRF harvest'!V323</f>
        <v>14177.892546843908</v>
      </c>
      <c r="I52" s="1">
        <f>'BRF harvest'!W323</f>
        <v>4082146.6331760492</v>
      </c>
      <c r="J52" s="1">
        <f>'BRF harvest'!V348</f>
        <v>24352.02165571817</v>
      </c>
      <c r="K52" s="1">
        <f>'BRF harvest'!W348</f>
        <v>738557.18716798397</v>
      </c>
      <c r="L52" s="1">
        <f>'BRF harvest'!V373</f>
        <v>31373.066871077182</v>
      </c>
      <c r="M52" s="2">
        <f>'BRF harvest'!W373</f>
        <v>6385987.2975352826</v>
      </c>
      <c r="N52" s="2">
        <f t="shared" si="8"/>
        <v>134842.50881221093</v>
      </c>
      <c r="O52" s="1">
        <f t="shared" si="9"/>
        <v>12379144.91320163</v>
      </c>
      <c r="P52">
        <f t="shared" si="10"/>
        <v>3518.4009028536857</v>
      </c>
      <c r="Q52" s="14">
        <f t="shared" si="11"/>
        <v>2.609266865357425E-2</v>
      </c>
    </row>
    <row r="53" spans="1:17" x14ac:dyDescent="0.3">
      <c r="A53">
        <v>2019</v>
      </c>
      <c r="B53" s="1">
        <f>'BRF harvest'!V249</f>
        <v>53287.147799392013</v>
      </c>
      <c r="C53" s="1">
        <f>'BRF harvest'!W249</f>
        <v>1384294.3968864253</v>
      </c>
      <c r="D53" s="1">
        <f>'BRF harvest'!V274</f>
        <v>9465.8571552228022</v>
      </c>
      <c r="E53" s="1">
        <f>'BRF harvest'!W274</f>
        <v>908072.94710489153</v>
      </c>
      <c r="F53" s="1">
        <f>'BRF harvest'!V299</f>
        <v>12931.933964741216</v>
      </c>
      <c r="G53" s="1">
        <f>'BRF harvest'!W299</f>
        <v>1265289.9096965822</v>
      </c>
      <c r="H53" s="1">
        <f>'BRF harvest'!V324</f>
        <v>13947.828265085333</v>
      </c>
      <c r="I53" s="1">
        <f>'BRF harvest'!W324</f>
        <v>2943480.9039439559</v>
      </c>
      <c r="J53" s="1">
        <f>'BRF harvest'!V349</f>
        <v>31064.06631338712</v>
      </c>
      <c r="K53" s="1">
        <f>'BRF harvest'!W349</f>
        <v>5970103.7720874771</v>
      </c>
      <c r="L53" s="1">
        <f>'BRF harvest'!V374</f>
        <v>28436.467670498958</v>
      </c>
      <c r="M53" s="2">
        <f>'BRF harvest'!W374</f>
        <v>9575008.5902195834</v>
      </c>
      <c r="N53" s="2">
        <f t="shared" si="8"/>
        <v>149133.30116832745</v>
      </c>
      <c r="O53" s="1">
        <f t="shared" si="9"/>
        <v>22046250.519938916</v>
      </c>
      <c r="P53">
        <f t="shared" si="10"/>
        <v>4695.3434932855462</v>
      </c>
      <c r="Q53" s="14">
        <f t="shared" si="11"/>
        <v>3.1484205449096109E-2</v>
      </c>
    </row>
    <row r="54" spans="1:17" x14ac:dyDescent="0.3">
      <c r="A54">
        <v>2020</v>
      </c>
      <c r="B54" s="1">
        <f>'BRF harvest'!V250</f>
        <v>27429.026898153828</v>
      </c>
      <c r="C54" s="1">
        <f>'BRF harvest'!W250</f>
        <v>2478864.4821724528</v>
      </c>
      <c r="D54" s="1">
        <f>'BRF harvest'!V275</f>
        <v>4818.0518071193155</v>
      </c>
      <c r="E54" s="1">
        <f>'BRF harvest'!W275</f>
        <v>107529.70647179452</v>
      </c>
      <c r="F54" s="1">
        <f>'BRF harvest'!V300</f>
        <v>9519.8411725382866</v>
      </c>
      <c r="G54" s="1">
        <f>'BRF harvest'!W300</f>
        <v>123879.96593258542</v>
      </c>
      <c r="H54" s="1">
        <f>'BRF harvest'!V325</f>
        <v>4008.9990910922984</v>
      </c>
      <c r="I54" s="1">
        <f>'BRF harvest'!W325</f>
        <v>87613.289600489516</v>
      </c>
      <c r="J54" s="1">
        <f>'BRF harvest'!V350</f>
        <v>19234.474597945387</v>
      </c>
      <c r="K54" s="1">
        <f>'BRF harvest'!W350</f>
        <v>3648993.5781519897</v>
      </c>
      <c r="L54" s="1">
        <f>'BRF harvest'!V375</f>
        <v>15013.58393140593</v>
      </c>
      <c r="M54" s="2">
        <f>'BRF harvest'!W375</f>
        <v>1180851.2894046712</v>
      </c>
      <c r="N54" s="2">
        <f t="shared" ref="N54:N55" si="12">L54+J54+H54+F54+D54+B54</f>
        <v>80023.977498255044</v>
      </c>
      <c r="O54" s="1">
        <f t="shared" ref="O54:O55" si="13">SUM(G54,I54,K54,M54,E54,C54)</f>
        <v>7627732.3117339835</v>
      </c>
      <c r="P54">
        <f t="shared" ref="P54:P55" si="14">SQRT(O54)</f>
        <v>2761.8349537461472</v>
      </c>
      <c r="Q54" s="14">
        <f t="shared" ref="Q54:Q55" si="15">P54/N54</f>
        <v>3.4512592851390952E-2</v>
      </c>
    </row>
    <row r="55" spans="1:17" x14ac:dyDescent="0.3">
      <c r="A55">
        <v>2021</v>
      </c>
      <c r="B55" s="1">
        <f>'BRF harvest'!V251</f>
        <v>57830.014973251484</v>
      </c>
      <c r="C55" s="1">
        <f>'BRF harvest'!W251</f>
        <v>1200823.7665213509</v>
      </c>
      <c r="D55" s="1">
        <f>'BRF harvest'!V276</f>
        <v>8662.3338727041883</v>
      </c>
      <c r="E55" s="1">
        <f>'BRF harvest'!W276</f>
        <v>301652.86958590959</v>
      </c>
      <c r="F55" s="1">
        <f>'BRF harvest'!V301</f>
        <v>12379.102755669761</v>
      </c>
      <c r="G55" s="1">
        <f>'BRF harvest'!W301</f>
        <v>131777.23219531152</v>
      </c>
      <c r="H55" s="1">
        <f>'BRF harvest'!V326</f>
        <v>13379.926961517056</v>
      </c>
      <c r="I55" s="1">
        <f>'BRF harvest'!W326</f>
        <v>2962363.002424554</v>
      </c>
      <c r="J55" s="1">
        <f>'BRF harvest'!V351</f>
        <v>19830.006245034267</v>
      </c>
      <c r="K55" s="1">
        <f>'BRF harvest'!W351</f>
        <v>1951086.0631829081</v>
      </c>
      <c r="L55" s="1">
        <f>'BRF harvest'!V376</f>
        <v>30072.205736176547</v>
      </c>
      <c r="M55" s="2">
        <f>'BRF harvest'!W376</f>
        <v>442204.99107787135</v>
      </c>
      <c r="N55" s="2">
        <f t="shared" si="12"/>
        <v>142153.5905443533</v>
      </c>
      <c r="O55" s="1">
        <f t="shared" si="13"/>
        <v>6989907.9249879066</v>
      </c>
      <c r="P55">
        <f t="shared" si="14"/>
        <v>2643.8434002391114</v>
      </c>
      <c r="Q55" s="14">
        <f t="shared" si="15"/>
        <v>1.8598498920181734E-2</v>
      </c>
    </row>
    <row r="56" spans="1:17" x14ac:dyDescent="0.3">
      <c r="A56">
        <v>2022</v>
      </c>
      <c r="B56" s="1">
        <f>'BRF harvest'!V252</f>
        <v>72670.37461058468</v>
      </c>
      <c r="C56" s="1">
        <f>'BRF harvest'!W252</f>
        <v>4192812.6725546573</v>
      </c>
      <c r="D56" s="1">
        <f>'BRF harvest'!V277</f>
        <v>9129.3757467144533</v>
      </c>
      <c r="E56" s="1">
        <f>'BRF harvest'!W277</f>
        <v>932647.59834758914</v>
      </c>
      <c r="F56" s="1">
        <f>'BRF harvest'!V302</f>
        <v>30879.61782255349</v>
      </c>
      <c r="G56" s="1">
        <f>'BRF harvest'!W302</f>
        <v>12023869.973193161</v>
      </c>
      <c r="H56" s="1">
        <f>'BRF harvest'!V327</f>
        <v>12881.784326442157</v>
      </c>
      <c r="I56" s="1">
        <f>'BRF harvest'!W327</f>
        <v>2521641.5470292512</v>
      </c>
      <c r="J56" s="1">
        <f>'BRF harvest'!V352</f>
        <v>24521.608015873622</v>
      </c>
      <c r="K56" s="1">
        <f>'BRF harvest'!W352</f>
        <v>2435667.4289695728</v>
      </c>
      <c r="L56" s="1">
        <f>'BRF harvest'!V377</f>
        <v>42911.661198098991</v>
      </c>
      <c r="M56" s="2">
        <f>'BRF harvest'!W377</f>
        <v>5790389.5711765941</v>
      </c>
      <c r="N56" s="2">
        <f t="shared" ref="N56" si="16">L56+J56+H56+F56+D56+B56</f>
        <v>192994.42172026739</v>
      </c>
      <c r="O56" s="1">
        <f t="shared" ref="O56" si="17">SUM(G56,I56,K56,M56,E56,C56)</f>
        <v>27897028.791270822</v>
      </c>
      <c r="P56">
        <f t="shared" ref="P56" si="18">SQRT(O56)</f>
        <v>5281.7637954826059</v>
      </c>
      <c r="Q56" s="14">
        <f t="shared" ref="Q56" si="19">P56/N56</f>
        <v>2.7367442791368199E-2</v>
      </c>
    </row>
    <row r="57" spans="1:17" x14ac:dyDescent="0.3">
      <c r="A57" s="109" t="s">
        <v>96</v>
      </c>
      <c r="B57" s="109"/>
      <c r="C57" s="109"/>
      <c r="D57" s="109"/>
      <c r="E57" s="109"/>
      <c r="F57" s="109"/>
      <c r="G57" s="109"/>
      <c r="H57" s="109"/>
      <c r="I57" s="109"/>
      <c r="J57" s="109"/>
      <c r="K57" s="9"/>
      <c r="L57" s="9"/>
    </row>
    <row r="58" spans="1:17" x14ac:dyDescent="0.3">
      <c r="A58" t="s">
        <v>34</v>
      </c>
      <c r="B58" s="109" t="s">
        <v>42</v>
      </c>
      <c r="C58" s="109"/>
      <c r="D58" s="109" t="s">
        <v>83</v>
      </c>
      <c r="E58" s="109"/>
      <c r="F58" s="109" t="s">
        <v>38</v>
      </c>
      <c r="G58" s="109"/>
      <c r="H58" s="109" t="s">
        <v>41</v>
      </c>
      <c r="I58" s="109"/>
      <c r="J58" s="109" t="s">
        <v>39</v>
      </c>
      <c r="K58" s="109"/>
      <c r="L58" s="109" t="s">
        <v>40</v>
      </c>
      <c r="M58" s="109"/>
      <c r="N58" s="109" t="s">
        <v>158</v>
      </c>
      <c r="O58" s="109"/>
      <c r="P58" s="109"/>
      <c r="Q58" s="109"/>
    </row>
    <row r="59" spans="1:17" x14ac:dyDescent="0.3">
      <c r="B59" s="9" t="s">
        <v>138</v>
      </c>
      <c r="C59" s="9" t="s">
        <v>139</v>
      </c>
      <c r="D59" s="9" t="s">
        <v>138</v>
      </c>
      <c r="E59" s="9" t="s">
        <v>139</v>
      </c>
      <c r="F59" s="9" t="s">
        <v>138</v>
      </c>
      <c r="G59" s="9" t="s">
        <v>139</v>
      </c>
      <c r="H59" s="9" t="s">
        <v>138</v>
      </c>
      <c r="I59" s="9" t="s">
        <v>139</v>
      </c>
      <c r="J59" s="9" t="s">
        <v>138</v>
      </c>
      <c r="K59" s="9" t="s">
        <v>139</v>
      </c>
      <c r="L59" s="9" t="s">
        <v>138</v>
      </c>
      <c r="M59" s="9" t="s">
        <v>139</v>
      </c>
      <c r="N59" s="9" t="s">
        <v>138</v>
      </c>
      <c r="O59" s="9" t="s">
        <v>154</v>
      </c>
      <c r="P59" s="9" t="s">
        <v>155</v>
      </c>
      <c r="Q59" s="9" t="s">
        <v>156</v>
      </c>
    </row>
    <row r="60" spans="1:17" x14ac:dyDescent="0.3">
      <c r="A60">
        <v>1998</v>
      </c>
      <c r="B60" s="1">
        <f>'YE harvest'!Y228</f>
        <v>2515.5388090049355</v>
      </c>
      <c r="C60" s="1">
        <f>'YE harvest'!Z228</f>
        <v>593500.743890821</v>
      </c>
      <c r="D60" s="1">
        <f>'YE harvest'!Y253</f>
        <v>121.34687293521577</v>
      </c>
      <c r="E60" s="1">
        <f>'YE harvest'!Z253</f>
        <v>755.58983833946604</v>
      </c>
      <c r="F60" s="1">
        <f>'YE harvest'!Y278</f>
        <v>1223.8929706589613</v>
      </c>
      <c r="G60" s="1">
        <f>'YE harvest'!Z278</f>
        <v>180914.67246598081</v>
      </c>
      <c r="H60" s="1">
        <f>'YE harvest'!Y303</f>
        <v>342.99732445552303</v>
      </c>
      <c r="I60" s="1">
        <f>'YE harvest'!Z303</f>
        <v>11582.544247687398</v>
      </c>
      <c r="J60" s="1">
        <f>'YE harvest'!Y328</f>
        <v>2561.3131240817747</v>
      </c>
      <c r="K60" s="1">
        <f>'YE harvest'!Z328</f>
        <v>226395.69456403659</v>
      </c>
      <c r="L60" s="1">
        <f>'YE harvest'!Y353</f>
        <v>842.02559660895747</v>
      </c>
      <c r="M60" s="2">
        <f>'YE harvest'!Z353</f>
        <v>44700.506952760843</v>
      </c>
      <c r="N60" s="2">
        <f>L60+J60+H60+F60+D60+B60</f>
        <v>7607.1146977453682</v>
      </c>
      <c r="O60" s="1">
        <f>SUM(G60,I60,K60,M60,E60,C60)</f>
        <v>1057849.7519596261</v>
      </c>
      <c r="P60">
        <f>SQRT(O60)</f>
        <v>1028.5182312237475</v>
      </c>
      <c r="Q60" s="14">
        <f>P60/N60</f>
        <v>0.1352047750152347</v>
      </c>
    </row>
    <row r="61" spans="1:17" x14ac:dyDescent="0.3">
      <c r="A61">
        <v>1999</v>
      </c>
      <c r="B61" s="1">
        <f>'YE harvest'!Y229</f>
        <v>2944.9164004214335</v>
      </c>
      <c r="C61" s="1">
        <f>'YE harvest'!Z229</f>
        <v>827974.15419607703</v>
      </c>
      <c r="D61" s="1">
        <f>'YE harvest'!Y254</f>
        <v>24.875346804447553</v>
      </c>
      <c r="E61" s="1">
        <f>'YE harvest'!Z254</f>
        <v>36.535048680547796</v>
      </c>
      <c r="F61" s="1">
        <f>'YE harvest'!Y279</f>
        <v>1232.3572886370146</v>
      </c>
      <c r="G61" s="1">
        <f>'YE harvest'!Z279</f>
        <v>186547.73605809029</v>
      </c>
      <c r="H61" s="1">
        <f>'YE harvest'!Y304</f>
        <v>366.34864072453263</v>
      </c>
      <c r="I61" s="1">
        <f>'YE harvest'!Z304</f>
        <v>11367.4383116963</v>
      </c>
      <c r="J61" s="1">
        <f>'YE harvest'!Y329</f>
        <v>2863.8109818297603</v>
      </c>
      <c r="K61" s="1">
        <f>'YE harvest'!Z329</f>
        <v>304930.36576425581</v>
      </c>
      <c r="L61" s="1">
        <f>'YE harvest'!Y354</f>
        <v>1417.4985746823245</v>
      </c>
      <c r="M61" s="2">
        <f>'YE harvest'!Z354</f>
        <v>129452.51460594354</v>
      </c>
      <c r="N61" s="2">
        <f t="shared" ref="N61:N81" si="20">L61+J61+H61+F61+D61+B61</f>
        <v>8849.8072330995128</v>
      </c>
      <c r="O61" s="1">
        <f t="shared" ref="O61:O81" si="21">SUM(G61,I61,K61,M61,E61,C61)</f>
        <v>1460308.7439847435</v>
      </c>
      <c r="P61">
        <f t="shared" ref="P61:P81" si="22">SQRT(O61)</f>
        <v>1208.4323497758339</v>
      </c>
      <c r="Q61" s="14">
        <f t="shared" ref="Q61:Q81" si="23">P61/N61</f>
        <v>0.13654900247500629</v>
      </c>
    </row>
    <row r="62" spans="1:17" x14ac:dyDescent="0.3">
      <c r="A62">
        <v>2000</v>
      </c>
      <c r="B62" s="1">
        <f>'YE harvest'!Y230</f>
        <v>5591.0830746837464</v>
      </c>
      <c r="C62" s="1">
        <f>'YE harvest'!Z230</f>
        <v>3015258.0334437774</v>
      </c>
      <c r="D62" s="1">
        <f>'YE harvest'!Y255</f>
        <v>31.995229369786756</v>
      </c>
      <c r="E62" s="1">
        <f>'YE harvest'!Z255</f>
        <v>73.0231492254144</v>
      </c>
      <c r="F62" s="1">
        <f>'YE harvest'!Y280</f>
        <v>1986.4636994332145</v>
      </c>
      <c r="G62" s="1">
        <f>'YE harvest'!Z280</f>
        <v>480426.30390356132</v>
      </c>
      <c r="H62" s="1">
        <f>'YE harvest'!Y305</f>
        <v>918.35018726442809</v>
      </c>
      <c r="I62" s="1">
        <f>'YE harvest'!Z305</f>
        <v>78382.250307248658</v>
      </c>
      <c r="J62" s="1">
        <f>'YE harvest'!Y330</f>
        <v>4954.8252235415457</v>
      </c>
      <c r="K62" s="1">
        <f>'YE harvest'!Z330</f>
        <v>835300.08781124826</v>
      </c>
      <c r="L62" s="1">
        <f>'YE harvest'!Y355</f>
        <v>2192.5427816172232</v>
      </c>
      <c r="M62" s="2">
        <f>'YE harvest'!Z355</f>
        <v>311499.04462168663</v>
      </c>
      <c r="N62" s="2">
        <f t="shared" si="20"/>
        <v>15675.260195909945</v>
      </c>
      <c r="O62" s="1">
        <f t="shared" si="21"/>
        <v>4720938.7432367476</v>
      </c>
      <c r="P62">
        <f t="shared" si="22"/>
        <v>2172.7721332980932</v>
      </c>
      <c r="Q62" s="14">
        <f t="shared" si="23"/>
        <v>0.13861155133265488</v>
      </c>
    </row>
    <row r="63" spans="1:17" x14ac:dyDescent="0.3">
      <c r="A63">
        <v>2001</v>
      </c>
      <c r="B63" s="1">
        <f>'YE harvest'!Y231</f>
        <v>5537.4506131992603</v>
      </c>
      <c r="C63" s="1">
        <f>'YE harvest'!Z231</f>
        <v>2992558.8899275302</v>
      </c>
      <c r="D63" s="1">
        <f>'YE harvest'!Y256</f>
        <v>33.28990312474027</v>
      </c>
      <c r="E63" s="1">
        <f>'YE harvest'!Z256</f>
        <v>70.54630767102239</v>
      </c>
      <c r="F63" s="1">
        <f>'YE harvest'!Y281</f>
        <v>1548.6288232976442</v>
      </c>
      <c r="G63" s="1">
        <f>'YE harvest'!Z281</f>
        <v>290474.77681229019</v>
      </c>
      <c r="H63" s="1">
        <f>'YE harvest'!Y306</f>
        <v>992.22681808320544</v>
      </c>
      <c r="I63" s="1">
        <f>'YE harvest'!Z306</f>
        <v>81180.912393147853</v>
      </c>
      <c r="J63" s="1">
        <f>'YE harvest'!Y331</f>
        <v>3723.900350612822</v>
      </c>
      <c r="K63" s="1">
        <f>'YE harvest'!Z331</f>
        <v>497040.52917182975</v>
      </c>
      <c r="L63" s="1">
        <f>'YE harvest'!Y356</f>
        <v>1794.8620336986423</v>
      </c>
      <c r="M63" s="2">
        <f>'YE harvest'!Z356</f>
        <v>208104.10605261271</v>
      </c>
      <c r="N63" s="2">
        <f t="shared" si="20"/>
        <v>13630.358542016314</v>
      </c>
      <c r="O63" s="1">
        <f t="shared" si="21"/>
        <v>4069429.7606650814</v>
      </c>
      <c r="P63">
        <f t="shared" si="22"/>
        <v>2017.2827666604107</v>
      </c>
      <c r="Q63" s="14">
        <f t="shared" si="23"/>
        <v>0.14799924451304988</v>
      </c>
    </row>
    <row r="64" spans="1:17" x14ac:dyDescent="0.3">
      <c r="A64">
        <v>2002</v>
      </c>
      <c r="B64" s="1">
        <f>'YE harvest'!Y232</f>
        <v>4453.8048147299869</v>
      </c>
      <c r="C64" s="1">
        <f>'YE harvest'!Z232</f>
        <v>1903454.9904231203</v>
      </c>
      <c r="D64" s="1">
        <f>'YE harvest'!Y257</f>
        <v>23.10904746988788</v>
      </c>
      <c r="E64" s="1">
        <f>'YE harvest'!Z257</f>
        <v>38.984338180996737</v>
      </c>
      <c r="F64" s="1">
        <f>'YE harvest'!Y282</f>
        <v>925.42055326575803</v>
      </c>
      <c r="G64" s="1">
        <f>'YE harvest'!Z282</f>
        <v>106124.97422242753</v>
      </c>
      <c r="H64" s="1">
        <f>'YE harvest'!Y307</f>
        <v>795.21101488297086</v>
      </c>
      <c r="I64" s="1">
        <f>'YE harvest'!Z307</f>
        <v>45656.160000570715</v>
      </c>
      <c r="J64" s="1">
        <f>'YE harvest'!Y332</f>
        <v>3176.2891099504222</v>
      </c>
      <c r="K64" s="1">
        <f>'YE harvest'!Z332</f>
        <v>365555.85123337066</v>
      </c>
      <c r="L64" s="1">
        <f>'YE harvest'!Y357</f>
        <v>2015.3003961255322</v>
      </c>
      <c r="M64" s="2">
        <f>'YE harvest'!Z357</f>
        <v>256082.20830455743</v>
      </c>
      <c r="N64" s="2">
        <f t="shared" si="20"/>
        <v>11389.134936424558</v>
      </c>
      <c r="O64" s="1">
        <f t="shared" si="21"/>
        <v>2676913.1685222276</v>
      </c>
      <c r="P64">
        <f t="shared" si="22"/>
        <v>1636.1274915244924</v>
      </c>
      <c r="Q64" s="14">
        <f t="shared" si="23"/>
        <v>0.1436568712775414</v>
      </c>
    </row>
    <row r="65" spans="1:17" x14ac:dyDescent="0.3">
      <c r="A65">
        <v>2003</v>
      </c>
      <c r="B65" s="1">
        <f>'YE harvest'!Y233</f>
        <v>4369.6124006404098</v>
      </c>
      <c r="C65" s="1">
        <f>'YE harvest'!Z233</f>
        <v>1806875.1965513399</v>
      </c>
      <c r="D65" s="1">
        <f>'YE harvest'!Y258</f>
        <v>91.390371521632247</v>
      </c>
      <c r="E65" s="1">
        <f>'YE harvest'!Z258</f>
        <v>444.53841235011055</v>
      </c>
      <c r="F65" s="1">
        <f>'YE harvest'!Y283</f>
        <v>1214.2280504293637</v>
      </c>
      <c r="G65" s="1">
        <f>'YE harvest'!Z283</f>
        <v>180005.02874283161</v>
      </c>
      <c r="H65" s="1">
        <f>'YE harvest'!Y308</f>
        <v>1041.048890528622</v>
      </c>
      <c r="I65" s="1">
        <f>'YE harvest'!Z308</f>
        <v>93309.242021242026</v>
      </c>
      <c r="J65" s="1">
        <f>'YE harvest'!Y333</f>
        <v>4431.5043040824949</v>
      </c>
      <c r="K65" s="1">
        <f>'YE harvest'!Z333</f>
        <v>716748.80971508555</v>
      </c>
      <c r="L65" s="1">
        <f>'YE harvest'!Y358</f>
        <v>1951.7580529069596</v>
      </c>
      <c r="M65" s="2">
        <f>'YE harvest'!Z358</f>
        <v>242276.10946498293</v>
      </c>
      <c r="N65" s="2">
        <f t="shared" si="20"/>
        <v>13099.542070109483</v>
      </c>
      <c r="O65" s="1">
        <f t="shared" si="21"/>
        <v>3039658.9249078324</v>
      </c>
      <c r="P65">
        <f t="shared" si="22"/>
        <v>1743.4617646819308</v>
      </c>
      <c r="Q65" s="14">
        <f t="shared" si="23"/>
        <v>0.13309333680145655</v>
      </c>
    </row>
    <row r="66" spans="1:17" x14ac:dyDescent="0.3">
      <c r="A66">
        <v>2004</v>
      </c>
      <c r="B66" s="1">
        <f>'YE harvest'!Y234</f>
        <v>6136.674712454068</v>
      </c>
      <c r="C66" s="1">
        <f>'YE harvest'!Z234</f>
        <v>3555822.9312304584</v>
      </c>
      <c r="D66" s="1">
        <f>'YE harvest'!Y259</f>
        <v>78.430330777556222</v>
      </c>
      <c r="E66" s="1">
        <f>'YE harvest'!Z259</f>
        <v>331.29885005794506</v>
      </c>
      <c r="F66" s="1">
        <f>'YE harvest'!Y284</f>
        <v>1275.5342998595336</v>
      </c>
      <c r="G66" s="1">
        <f>'YE harvest'!Z284</f>
        <v>197309.66958710918</v>
      </c>
      <c r="H66" s="1">
        <f>'YE harvest'!Y309</f>
        <v>1141.4979449082671</v>
      </c>
      <c r="I66" s="1">
        <f>'YE harvest'!Z309</f>
        <v>94444.185843945248</v>
      </c>
      <c r="J66" s="1">
        <f>'YE harvest'!Y334</f>
        <v>5548.3638703764154</v>
      </c>
      <c r="K66" s="1">
        <f>'YE harvest'!Z334</f>
        <v>1022983.0002385008</v>
      </c>
      <c r="L66" s="1">
        <f>'YE harvest'!Y359</f>
        <v>2829.9481871126836</v>
      </c>
      <c r="M66" s="2">
        <f>'YE harvest'!Z359</f>
        <v>508900.42446193256</v>
      </c>
      <c r="N66" s="2">
        <f t="shared" si="20"/>
        <v>17010.449345488523</v>
      </c>
      <c r="O66" s="1">
        <f t="shared" si="21"/>
        <v>5379791.5102120042</v>
      </c>
      <c r="P66">
        <f t="shared" si="22"/>
        <v>2319.4377573481042</v>
      </c>
      <c r="Q66" s="14">
        <f t="shared" si="23"/>
        <v>0.1363537029645405</v>
      </c>
    </row>
    <row r="67" spans="1:17" x14ac:dyDescent="0.3">
      <c r="A67">
        <v>2005</v>
      </c>
      <c r="B67" s="1">
        <f>'YE harvest'!Y235</f>
        <v>7393.5234814908372</v>
      </c>
      <c r="C67" s="1">
        <f>'YE harvest'!Z235</f>
        <v>5133050.3974917997</v>
      </c>
      <c r="D67" s="1">
        <f>'YE harvest'!Y260</f>
        <v>61.112173226217351</v>
      </c>
      <c r="E67" s="1">
        <f>'YE harvest'!Z260</f>
        <v>223.0796514836579</v>
      </c>
      <c r="F67" s="1">
        <f>'YE harvest'!Y285</f>
        <v>1544.473452688582</v>
      </c>
      <c r="G67" s="1">
        <f>'YE harvest'!Z285</f>
        <v>290984.16880429082</v>
      </c>
      <c r="H67" s="1">
        <f>'YE harvest'!Y310</f>
        <v>989.64744021132879</v>
      </c>
      <c r="I67" s="1">
        <f>'YE harvest'!Z310</f>
        <v>79516.779159810656</v>
      </c>
      <c r="J67" s="1">
        <f>'YE harvest'!Y335</f>
        <v>6544.0938598628691</v>
      </c>
      <c r="K67" s="1">
        <f>'YE harvest'!Z335</f>
        <v>1394658.3405648223</v>
      </c>
      <c r="L67" s="1">
        <f>'YE harvest'!Y360</f>
        <v>3488.489862243865</v>
      </c>
      <c r="M67" s="2">
        <f>'YE harvest'!Z360</f>
        <v>771088.17166850728</v>
      </c>
      <c r="N67" s="2">
        <f t="shared" si="20"/>
        <v>20021.3402697237</v>
      </c>
      <c r="O67" s="1">
        <f t="shared" si="21"/>
        <v>7669520.937340714</v>
      </c>
      <c r="P67">
        <f t="shared" si="22"/>
        <v>2769.3899937243787</v>
      </c>
      <c r="Q67" s="14">
        <f t="shared" si="23"/>
        <v>0.13832190834458041</v>
      </c>
    </row>
    <row r="68" spans="1:17" x14ac:dyDescent="0.3">
      <c r="A68">
        <v>2006</v>
      </c>
      <c r="B68" s="1">
        <f>'YE harvest'!Y236</f>
        <v>10677.583109062649</v>
      </c>
      <c r="C68" s="1">
        <f>'YE harvest'!Z236</f>
        <v>97998.064903780265</v>
      </c>
      <c r="D68" s="1">
        <f>'YE harvest'!Y261</f>
        <v>167</v>
      </c>
      <c r="E68" s="1">
        <f>'YE harvest'!Z261</f>
        <v>0</v>
      </c>
      <c r="F68" s="1">
        <f>'YE harvest'!Y286</f>
        <v>2006.5489857885264</v>
      </c>
      <c r="G68" s="1">
        <f>'YE harvest'!Z286</f>
        <v>37843.848470977187</v>
      </c>
      <c r="H68" s="1">
        <f>'YE harvest'!Y311</f>
        <v>1569.972512726144</v>
      </c>
      <c r="I68" s="1">
        <f>'YE harvest'!Z311</f>
        <v>119639.11425796541</v>
      </c>
      <c r="J68" s="1">
        <f>'YE harvest'!Y336</f>
        <v>9387.9338506472886</v>
      </c>
      <c r="K68" s="1">
        <f>'YE harvest'!Z336</f>
        <v>1300134.6285153185</v>
      </c>
      <c r="L68" s="1">
        <f>'YE harvest'!Y361</f>
        <v>5454.9226157276134</v>
      </c>
      <c r="M68" s="2">
        <f>'YE harvest'!Z361</f>
        <v>213027.05865856685</v>
      </c>
      <c r="N68" s="2">
        <f t="shared" si="20"/>
        <v>29263.961073952221</v>
      </c>
      <c r="O68" s="1">
        <f t="shared" si="21"/>
        <v>1768642.7148066082</v>
      </c>
      <c r="P68">
        <f t="shared" si="22"/>
        <v>1329.9032727257302</v>
      </c>
      <c r="Q68" s="14">
        <f t="shared" si="23"/>
        <v>4.5445087538387746E-2</v>
      </c>
    </row>
    <row r="69" spans="1:17" x14ac:dyDescent="0.3">
      <c r="A69">
        <v>2007</v>
      </c>
      <c r="B69" s="1">
        <f>'YE harvest'!Y237</f>
        <v>11046.580838639587</v>
      </c>
      <c r="C69" s="1">
        <f>'YE harvest'!Z237</f>
        <v>150051.10782315553</v>
      </c>
      <c r="D69" s="1">
        <f>'YE harvest'!Y262</f>
        <v>111.80061611803444</v>
      </c>
      <c r="E69" s="1">
        <f>'YE harvest'!Z262</f>
        <v>21.213624039071213</v>
      </c>
      <c r="F69" s="1">
        <f>'YE harvest'!Y287</f>
        <v>2237.0348480921975</v>
      </c>
      <c r="G69" s="1">
        <f>'YE harvest'!Z287</f>
        <v>105037.45845923902</v>
      </c>
      <c r="H69" s="1">
        <f>'YE harvest'!Y312</f>
        <v>2015.5440678710888</v>
      </c>
      <c r="I69" s="1">
        <f>'YE harvest'!Z312</f>
        <v>290536.51248688065</v>
      </c>
      <c r="J69" s="1">
        <f>'YE harvest'!Y337</f>
        <v>9282.8104111834873</v>
      </c>
      <c r="K69" s="1">
        <f>'YE harvest'!Z337</f>
        <v>1531492.0602780068</v>
      </c>
      <c r="L69" s="1">
        <f>'YE harvest'!Y362</f>
        <v>4433.0659266974953</v>
      </c>
      <c r="M69" s="2">
        <f>'YE harvest'!Z362</f>
        <v>103180.17171420157</v>
      </c>
      <c r="N69" s="2">
        <f t="shared" si="20"/>
        <v>29126.836708601892</v>
      </c>
      <c r="O69" s="1">
        <f t="shared" si="21"/>
        <v>2180318.5243855226</v>
      </c>
      <c r="P69">
        <f t="shared" si="22"/>
        <v>1476.5901680512175</v>
      </c>
      <c r="Q69" s="14">
        <f t="shared" si="23"/>
        <v>5.0695177880924605E-2</v>
      </c>
    </row>
    <row r="70" spans="1:17" x14ac:dyDescent="0.3">
      <c r="A70">
        <v>2008</v>
      </c>
      <c r="B70" s="1">
        <f>'YE harvest'!Y238</f>
        <v>9731.8635334912942</v>
      </c>
      <c r="C70" s="1">
        <f>'YE harvest'!Z238</f>
        <v>97156.927050790837</v>
      </c>
      <c r="D70" s="1">
        <f>'YE harvest'!Y263</f>
        <v>194.33303416475843</v>
      </c>
      <c r="E70" s="1">
        <f>'YE harvest'!Z263</f>
        <v>703.62433578015577</v>
      </c>
      <c r="F70" s="1">
        <f>'YE harvest'!Y288</f>
        <v>2668.2194903680274</v>
      </c>
      <c r="G70" s="1">
        <f>'YE harvest'!Z288</f>
        <v>190375.78302327814</v>
      </c>
      <c r="H70" s="1">
        <f>'YE harvest'!Y313</f>
        <v>1535.2130694031912</v>
      </c>
      <c r="I70" s="1">
        <f>'YE harvest'!Z313</f>
        <v>87026.418026214102</v>
      </c>
      <c r="J70" s="1">
        <f>'YE harvest'!Y338</f>
        <v>8134.3774814509916</v>
      </c>
      <c r="K70" s="1">
        <f>'YE harvest'!Z338</f>
        <v>1026685.5174897911</v>
      </c>
      <c r="L70" s="1">
        <f>'YE harvest'!Y363</f>
        <v>4501.5139761225073</v>
      </c>
      <c r="M70" s="2">
        <f>'YE harvest'!Z363</f>
        <v>153960.0546663235</v>
      </c>
      <c r="N70" s="2">
        <f t="shared" si="20"/>
        <v>26765.520585000773</v>
      </c>
      <c r="O70" s="1">
        <f t="shared" si="21"/>
        <v>1555908.3245921778</v>
      </c>
      <c r="P70">
        <f t="shared" si="22"/>
        <v>1247.360543143873</v>
      </c>
      <c r="Q70" s="14">
        <f t="shared" si="23"/>
        <v>4.6603261056797296E-2</v>
      </c>
    </row>
    <row r="71" spans="1:17" x14ac:dyDescent="0.3">
      <c r="A71">
        <v>2009</v>
      </c>
      <c r="B71" s="1">
        <f>'YE harvest'!Y239</f>
        <v>6903.7183265325748</v>
      </c>
      <c r="C71" s="1">
        <f>'YE harvest'!Z239</f>
        <v>31657.474266180729</v>
      </c>
      <c r="D71" s="1">
        <f>'YE harvest'!Y264</f>
        <v>89.153940965522821</v>
      </c>
      <c r="E71" s="1">
        <f>'YE harvest'!Z264</f>
        <v>66.133339767650241</v>
      </c>
      <c r="F71" s="1">
        <f>'YE harvest'!Y289</f>
        <v>2160.0104384189572</v>
      </c>
      <c r="G71" s="1">
        <f>'YE harvest'!Z289</f>
        <v>140462.31901998314</v>
      </c>
      <c r="H71" s="1">
        <f>'YE harvest'!Y314</f>
        <v>924.9325461128285</v>
      </c>
      <c r="I71" s="1">
        <f>'YE harvest'!Z314</f>
        <v>37812.808317277217</v>
      </c>
      <c r="J71" s="1">
        <f>'YE harvest'!Y339</f>
        <v>6568.5722189691242</v>
      </c>
      <c r="K71" s="1">
        <f>'YE harvest'!Z339</f>
        <v>668285.86845661781</v>
      </c>
      <c r="L71" s="1">
        <f>'YE harvest'!Y364</f>
        <v>2352.5815805269799</v>
      </c>
      <c r="M71" s="2">
        <f>'YE harvest'!Z364</f>
        <v>41116.802649622587</v>
      </c>
      <c r="N71" s="2">
        <f t="shared" si="20"/>
        <v>18998.969051525986</v>
      </c>
      <c r="O71" s="1">
        <f t="shared" si="21"/>
        <v>919401.40604944911</v>
      </c>
      <c r="P71">
        <f t="shared" si="22"/>
        <v>958.85421522223555</v>
      </c>
      <c r="Q71" s="14">
        <f t="shared" si="23"/>
        <v>5.0468749784358481E-2</v>
      </c>
    </row>
    <row r="72" spans="1:17" x14ac:dyDescent="0.3">
      <c r="A72">
        <v>2010</v>
      </c>
      <c r="B72" s="1">
        <f>'YE harvest'!Y240</f>
        <v>7814.7817334679958</v>
      </c>
      <c r="C72" s="1">
        <f>'YE harvest'!Z240</f>
        <v>54040.90399812215</v>
      </c>
      <c r="D72" s="1">
        <f>'YE harvest'!Y265</f>
        <v>128.46983294728582</v>
      </c>
      <c r="E72" s="1">
        <f>'YE harvest'!Z265</f>
        <v>57.539596704986145</v>
      </c>
      <c r="F72" s="1">
        <f>'YE harvest'!Y290</f>
        <v>2523.5439290308941</v>
      </c>
      <c r="G72" s="1">
        <f>'YE harvest'!Z290</f>
        <v>121992.40748666598</v>
      </c>
      <c r="H72" s="1">
        <f>'YE harvest'!Y315</f>
        <v>1401.5633682971802</v>
      </c>
      <c r="I72" s="1">
        <f>'YE harvest'!Z315</f>
        <v>125502.77409987408</v>
      </c>
      <c r="J72" s="1">
        <f>'YE harvest'!Y340</f>
        <v>9807.9321537632131</v>
      </c>
      <c r="K72" s="1">
        <f>'YE harvest'!Z340</f>
        <v>2135188.4509822661</v>
      </c>
      <c r="L72" s="1">
        <f>'YE harvest'!Y365</f>
        <v>3507.1100554541044</v>
      </c>
      <c r="M72" s="2">
        <f>'YE harvest'!Z365</f>
        <v>152461.63690799841</v>
      </c>
      <c r="N72" s="2">
        <f t="shared" si="20"/>
        <v>25183.401072960674</v>
      </c>
      <c r="O72" s="1">
        <f t="shared" si="21"/>
        <v>2589243.7130716317</v>
      </c>
      <c r="P72">
        <f t="shared" si="22"/>
        <v>1609.1127098720065</v>
      </c>
      <c r="Q72" s="14">
        <f t="shared" si="23"/>
        <v>6.389576631091759E-2</v>
      </c>
    </row>
    <row r="73" spans="1:17" x14ac:dyDescent="0.3">
      <c r="A73">
        <v>2011</v>
      </c>
      <c r="B73" s="1">
        <f>'YE harvest'!Y241</f>
        <v>5902.3193343444473</v>
      </c>
      <c r="C73" s="1">
        <f>'YE harvest'!Z241</f>
        <v>239145.54794541592</v>
      </c>
      <c r="D73" s="1">
        <f>'YE harvest'!Y266</f>
        <v>137.02240360370305</v>
      </c>
      <c r="E73" s="1">
        <f>'YE harvest'!Z266</f>
        <v>292.45105594801902</v>
      </c>
      <c r="F73" s="1">
        <f>'YE harvest'!Y291</f>
        <v>2590.2563911614643</v>
      </c>
      <c r="G73" s="1">
        <f>'YE harvest'!Z291</f>
        <v>125449.84191984711</v>
      </c>
      <c r="H73" s="1">
        <f>'YE harvest'!Y316</f>
        <v>1278.5468817012531</v>
      </c>
      <c r="I73" s="1">
        <f>'YE harvest'!Z316</f>
        <v>38442.15634818028</v>
      </c>
      <c r="J73" s="1">
        <f>'YE harvest'!Y341</f>
        <v>9576.4097096110927</v>
      </c>
      <c r="K73" s="1">
        <f>'YE harvest'!Z341</f>
        <v>1829219.1294581862</v>
      </c>
      <c r="L73" s="1">
        <f>'YE harvest'!Y366</f>
        <v>2091.2986767456268</v>
      </c>
      <c r="M73" s="2">
        <f>'YE harvest'!Z366</f>
        <v>57606.514306995792</v>
      </c>
      <c r="N73" s="2">
        <f t="shared" si="20"/>
        <v>21575.85339716759</v>
      </c>
      <c r="O73" s="1">
        <f t="shared" si="21"/>
        <v>2290155.6410345733</v>
      </c>
      <c r="P73">
        <f t="shared" si="22"/>
        <v>1513.3260194137195</v>
      </c>
      <c r="Q73" s="14">
        <f t="shared" si="23"/>
        <v>7.0139798948225335E-2</v>
      </c>
    </row>
    <row r="74" spans="1:17" x14ac:dyDescent="0.3">
      <c r="A74">
        <v>2012</v>
      </c>
      <c r="B74" s="1">
        <f>'YE harvest'!Y242</f>
        <v>5442.0792233162138</v>
      </c>
      <c r="C74" s="1">
        <f>'YE harvest'!Z242</f>
        <v>28816.104323910637</v>
      </c>
      <c r="D74" s="1">
        <f>'YE harvest'!Y267</f>
        <v>158.89209492578712</v>
      </c>
      <c r="E74" s="1">
        <f>'YE harvest'!Z267</f>
        <v>78.121008443851892</v>
      </c>
      <c r="F74" s="1">
        <f>'YE harvest'!Y292</f>
        <v>2279.4500443035918</v>
      </c>
      <c r="G74" s="1">
        <f>'YE harvest'!Z292</f>
        <v>81081.986380446251</v>
      </c>
      <c r="H74" s="1">
        <f>'YE harvest'!Y317</f>
        <v>1289.3926530526314</v>
      </c>
      <c r="I74" s="1">
        <f>'YE harvest'!Z317</f>
        <v>53662.00909025476</v>
      </c>
      <c r="J74" s="1">
        <f>'YE harvest'!Y342</f>
        <v>11233.063873835945</v>
      </c>
      <c r="K74" s="1">
        <f>'YE harvest'!Z342</f>
        <v>1797847.5995802479</v>
      </c>
      <c r="L74" s="1">
        <f>'YE harvest'!Y367</f>
        <v>2750.5950075531855</v>
      </c>
      <c r="M74" s="2">
        <f>'YE harvest'!Z367</f>
        <v>78616.861752857309</v>
      </c>
      <c r="N74" s="2">
        <f t="shared" si="20"/>
        <v>23153.472896987354</v>
      </c>
      <c r="O74" s="1">
        <f t="shared" si="21"/>
        <v>2040102.6821361606</v>
      </c>
      <c r="P74">
        <f t="shared" si="22"/>
        <v>1428.3216311938149</v>
      </c>
      <c r="Q74" s="14">
        <f t="shared" si="23"/>
        <v>6.1689304129388854E-2</v>
      </c>
    </row>
    <row r="75" spans="1:17" x14ac:dyDescent="0.3">
      <c r="A75">
        <v>2013</v>
      </c>
      <c r="B75" s="1">
        <f>'YE harvest'!Y243</f>
        <v>5170.6065677676406</v>
      </c>
      <c r="C75" s="1">
        <f>'YE harvest'!Z243</f>
        <v>47078.357057139365</v>
      </c>
      <c r="D75" s="1">
        <f>'YE harvest'!Y268</f>
        <v>65.047638196801842</v>
      </c>
      <c r="E75" s="1">
        <f>'YE harvest'!Z268</f>
        <v>123.23277549206284</v>
      </c>
      <c r="F75" s="1">
        <f>'YE harvest'!Y293</f>
        <v>1815.7719908065669</v>
      </c>
      <c r="G75" s="1">
        <f>'YE harvest'!Z293</f>
        <v>23418.23191838304</v>
      </c>
      <c r="H75" s="1">
        <f>'YE harvest'!Y318</f>
        <v>1178.8122609784828</v>
      </c>
      <c r="I75" s="1">
        <f>'YE harvest'!Z318</f>
        <v>39370.712928366076</v>
      </c>
      <c r="J75" s="1">
        <f>'YE harvest'!Y343</f>
        <v>9576.9507179541833</v>
      </c>
      <c r="K75" s="1">
        <f>'YE harvest'!Z343</f>
        <v>1434111.7656670096</v>
      </c>
      <c r="L75" s="1">
        <f>'YE harvest'!Y368</f>
        <v>2866.9837745270725</v>
      </c>
      <c r="M75" s="2">
        <f>'YE harvest'!Z368</f>
        <v>90920.796110118274</v>
      </c>
      <c r="N75" s="2">
        <f t="shared" si="20"/>
        <v>20674.172950230746</v>
      </c>
      <c r="O75" s="1">
        <f t="shared" si="21"/>
        <v>1635023.0964565084</v>
      </c>
      <c r="P75">
        <f t="shared" si="22"/>
        <v>1278.6802166517273</v>
      </c>
      <c r="Q75" s="14">
        <f t="shared" si="23"/>
        <v>6.1849159322112365E-2</v>
      </c>
    </row>
    <row r="76" spans="1:17" x14ac:dyDescent="0.3">
      <c r="A76">
        <v>2014</v>
      </c>
      <c r="B76" s="1">
        <f>'YE harvest'!Y244</f>
        <v>5466.3257496092938</v>
      </c>
      <c r="C76" s="1">
        <f>'YE harvest'!Z244</f>
        <v>103495.94573126861</v>
      </c>
      <c r="D76" s="1">
        <f>'YE harvest'!Y269</f>
        <v>140.65357318107527</v>
      </c>
      <c r="E76" s="1">
        <f>'YE harvest'!Z269</f>
        <v>356.46750045394015</v>
      </c>
      <c r="F76" s="1">
        <f>'YE harvest'!Y294</f>
        <v>2013.2980849917385</v>
      </c>
      <c r="G76" s="1">
        <f>'YE harvest'!Z294</f>
        <v>49134.780242490138</v>
      </c>
      <c r="H76" s="1">
        <f>'YE harvest'!Y319</f>
        <v>1507.8951098995144</v>
      </c>
      <c r="I76" s="1">
        <f>'YE harvest'!Z319</f>
        <v>64693.546334569073</v>
      </c>
      <c r="J76" s="1">
        <f>'YE harvest'!Y344</f>
        <v>8484.6414185115264</v>
      </c>
      <c r="K76" s="1">
        <f>'YE harvest'!Z344</f>
        <v>629624.52946835384</v>
      </c>
      <c r="L76" s="1">
        <f>'YE harvest'!Y369</f>
        <v>2149.8134685894556</v>
      </c>
      <c r="M76" s="2">
        <f>'YE harvest'!Z369</f>
        <v>68779.166627006794</v>
      </c>
      <c r="N76" s="2">
        <f t="shared" si="20"/>
        <v>19762.627404782605</v>
      </c>
      <c r="O76" s="1">
        <f t="shared" si="21"/>
        <v>916084.43590414245</v>
      </c>
      <c r="P76">
        <f t="shared" si="22"/>
        <v>957.12299936013574</v>
      </c>
      <c r="Q76" s="14">
        <f t="shared" si="23"/>
        <v>4.8430959090414748E-2</v>
      </c>
    </row>
    <row r="77" spans="1:17" x14ac:dyDescent="0.3">
      <c r="A77">
        <v>2015</v>
      </c>
      <c r="B77" s="1">
        <f>'YE harvest'!Y245</f>
        <v>6345.524816385212</v>
      </c>
      <c r="C77" s="1">
        <f>'YE harvest'!Z245</f>
        <v>53566.746660742116</v>
      </c>
      <c r="D77" s="1">
        <f>'YE harvest'!Y270</f>
        <v>215</v>
      </c>
      <c r="E77" s="1">
        <f>'YE harvest'!Z270</f>
        <v>0</v>
      </c>
      <c r="F77" s="1">
        <f>'YE harvest'!Y295</f>
        <v>2262.6733731446816</v>
      </c>
      <c r="G77" s="1">
        <f>'YE harvest'!Z295</f>
        <v>28518.035798411587</v>
      </c>
      <c r="H77" s="1">
        <f>'YE harvest'!Y320</f>
        <v>1721.3862615861776</v>
      </c>
      <c r="I77" s="1">
        <f>'YE harvest'!Z320</f>
        <v>130128.89437975569</v>
      </c>
      <c r="J77" s="1">
        <f>'YE harvest'!Y345</f>
        <v>9919.0883221388831</v>
      </c>
      <c r="K77" s="1">
        <f>'YE harvest'!Z345</f>
        <v>658350.90668755048</v>
      </c>
      <c r="L77" s="1">
        <f>'YE harvest'!Y370</f>
        <v>2859.3397573578113</v>
      </c>
      <c r="M77" s="2">
        <f>'YE harvest'!Z370</f>
        <v>235345.0918823111</v>
      </c>
      <c r="N77" s="2">
        <f t="shared" si="20"/>
        <v>23323.012530612767</v>
      </c>
      <c r="O77" s="1">
        <f t="shared" si="21"/>
        <v>1105909.675408771</v>
      </c>
      <c r="P77">
        <f t="shared" si="22"/>
        <v>1051.6224015343012</v>
      </c>
      <c r="Q77" s="14">
        <f t="shared" si="23"/>
        <v>4.5089475476377143E-2</v>
      </c>
    </row>
    <row r="78" spans="1:17" x14ac:dyDescent="0.3">
      <c r="A78">
        <v>2016</v>
      </c>
      <c r="B78" s="1">
        <f>'YE harvest'!Y246</f>
        <v>6477.1697656842371</v>
      </c>
      <c r="C78" s="1">
        <f>'YE harvest'!Z246</f>
        <v>43909.536646249442</v>
      </c>
      <c r="D78" s="1">
        <f>'YE harvest'!Y271</f>
        <v>393.04502865686516</v>
      </c>
      <c r="E78" s="1">
        <f>'YE harvest'!Z271</f>
        <v>3002.2158561468927</v>
      </c>
      <c r="F78" s="1">
        <f>'YE harvest'!Y296</f>
        <v>2551.1537156688955</v>
      </c>
      <c r="G78" s="1">
        <f>'YE harvest'!Z296</f>
        <v>37289.064778138047</v>
      </c>
      <c r="H78" s="1">
        <f>'YE harvest'!Y321</f>
        <v>879.94129841344034</v>
      </c>
      <c r="I78" s="1">
        <f>'YE harvest'!Z321</f>
        <v>5478.6822479179409</v>
      </c>
      <c r="J78" s="1">
        <f>'YE harvest'!Y346</f>
        <v>10566.120452679812</v>
      </c>
      <c r="K78" s="1">
        <f>'YE harvest'!Z346</f>
        <v>846182.8712793435</v>
      </c>
      <c r="L78" s="1">
        <f>'YE harvest'!Y371</f>
        <v>3005.0123283476919</v>
      </c>
      <c r="M78" s="2">
        <f>'YE harvest'!Z371</f>
        <v>376309.27097848011</v>
      </c>
      <c r="N78" s="2">
        <f t="shared" si="20"/>
        <v>23872.44258945094</v>
      </c>
      <c r="O78" s="1">
        <f t="shared" si="21"/>
        <v>1312171.6417862761</v>
      </c>
      <c r="P78">
        <f t="shared" si="22"/>
        <v>1145.5006075014871</v>
      </c>
      <c r="Q78" s="14">
        <f t="shared" si="23"/>
        <v>4.7984222946992262E-2</v>
      </c>
    </row>
    <row r="79" spans="1:17" x14ac:dyDescent="0.3">
      <c r="A79">
        <v>2017</v>
      </c>
      <c r="B79" s="1">
        <f>'YE harvest'!Y247</f>
        <v>7899.5093964802527</v>
      </c>
      <c r="C79" s="1">
        <f>'YE harvest'!Z247</f>
        <v>622455.04824423941</v>
      </c>
      <c r="D79" s="1">
        <f>'YE harvest'!Y272</f>
        <v>230</v>
      </c>
      <c r="E79" s="1">
        <f>'YE harvest'!Z272</f>
        <v>0</v>
      </c>
      <c r="F79" s="1">
        <f>'YE harvest'!Y297</f>
        <v>2552.4618918452034</v>
      </c>
      <c r="G79" s="1">
        <f>'YE harvest'!Z297</f>
        <v>105400.08159734035</v>
      </c>
      <c r="H79" s="1">
        <f>'YE harvest'!Y322</f>
        <v>1465.4579108223247</v>
      </c>
      <c r="I79" s="1">
        <f>'YE harvest'!Z322</f>
        <v>59142.340800834791</v>
      </c>
      <c r="J79" s="1">
        <f>'YE harvest'!Y347</f>
        <v>11051.378622936589</v>
      </c>
      <c r="K79" s="1">
        <f>'YE harvest'!Z347</f>
        <v>1242820.7535548569</v>
      </c>
      <c r="L79" s="1">
        <f>'YE harvest'!Y372</f>
        <v>2686.076787727111</v>
      </c>
      <c r="M79" s="2">
        <f>'YE harvest'!Z372</f>
        <v>115957.83531439141</v>
      </c>
      <c r="N79" s="2">
        <f t="shared" si="20"/>
        <v>25884.884609811481</v>
      </c>
      <c r="O79" s="1">
        <f t="shared" si="21"/>
        <v>2145776.0595116629</v>
      </c>
      <c r="P79">
        <f t="shared" si="22"/>
        <v>1464.8467699768678</v>
      </c>
      <c r="Q79" s="14">
        <f t="shared" si="23"/>
        <v>5.6590817075600486E-2</v>
      </c>
    </row>
    <row r="80" spans="1:17" x14ac:dyDescent="0.3">
      <c r="A80">
        <v>2018</v>
      </c>
      <c r="B80" s="1">
        <f>'YE harvest'!Y248</f>
        <v>5408.5298174190739</v>
      </c>
      <c r="C80" s="1">
        <f>'YE harvest'!Z248</f>
        <v>46420.683314069</v>
      </c>
      <c r="D80" s="1">
        <f>'YE harvest'!Y273</f>
        <v>326.56336494381389</v>
      </c>
      <c r="E80" s="1">
        <f>'YE harvest'!Z273</f>
        <v>578.41981919284297</v>
      </c>
      <c r="F80" s="1">
        <f>'YE harvest'!Y298</f>
        <v>2615.5254131869192</v>
      </c>
      <c r="G80" s="1">
        <f>'YE harvest'!Z298</f>
        <v>68453.34212056348</v>
      </c>
      <c r="H80" s="1">
        <f>'YE harvest'!Y323</f>
        <v>1656.6633007639875</v>
      </c>
      <c r="I80" s="1">
        <f>'YE harvest'!Z323</f>
        <v>90490.348557857214</v>
      </c>
      <c r="J80" s="1">
        <f>'YE harvest'!Y348</f>
        <v>10992.016273543904</v>
      </c>
      <c r="K80" s="1">
        <f>'YE harvest'!Z348</f>
        <v>945292.76894593984</v>
      </c>
      <c r="L80" s="1">
        <f>'YE harvest'!Y373</f>
        <v>3734.2355461517818</v>
      </c>
      <c r="M80" s="2">
        <f>'YE harvest'!Z373</f>
        <v>325116.74068078963</v>
      </c>
      <c r="N80" s="2">
        <f t="shared" si="20"/>
        <v>24733.533716009479</v>
      </c>
      <c r="O80" s="1">
        <f t="shared" si="21"/>
        <v>1476352.3034384118</v>
      </c>
      <c r="P80">
        <f t="shared" si="22"/>
        <v>1215.0523871168732</v>
      </c>
      <c r="Q80" s="14">
        <f t="shared" si="23"/>
        <v>4.9125709292821194E-2</v>
      </c>
    </row>
    <row r="81" spans="1:17" x14ac:dyDescent="0.3">
      <c r="A81">
        <v>2019</v>
      </c>
      <c r="B81" s="1">
        <f>'YE harvest'!Y249</f>
        <v>5829.247373041726</v>
      </c>
      <c r="C81" s="1">
        <f>'YE harvest'!Z249</f>
        <v>161290.80369392593</v>
      </c>
      <c r="D81" s="1">
        <f>'YE harvest'!Y274</f>
        <v>160.62802312037775</v>
      </c>
      <c r="E81" s="1">
        <f>'YE harvest'!Z274</f>
        <v>55.886983284358912</v>
      </c>
      <c r="F81" s="1">
        <f>'YE harvest'!Y299</f>
        <v>2865.0364244024122</v>
      </c>
      <c r="G81" s="1">
        <f>'YE harvest'!Z299</f>
        <v>112149.94102887057</v>
      </c>
      <c r="H81" s="1">
        <f>'YE harvest'!Y324</f>
        <v>1150.6473248087632</v>
      </c>
      <c r="I81" s="1">
        <f>'YE harvest'!Z324</f>
        <v>20523.131132954088</v>
      </c>
      <c r="J81" s="1">
        <f>'YE harvest'!Y349</f>
        <v>16546.1076110555</v>
      </c>
      <c r="K81" s="1">
        <f>'YE harvest'!Z349</f>
        <v>5014529.434935513</v>
      </c>
      <c r="L81" s="1">
        <f>'YE harvest'!Y374</f>
        <v>5734.8680560534049</v>
      </c>
      <c r="M81" s="2">
        <f>'YE harvest'!Z374</f>
        <v>1801869.7781584654</v>
      </c>
      <c r="N81" s="2">
        <f t="shared" si="20"/>
        <v>32286.534812482187</v>
      </c>
      <c r="O81" s="1">
        <f t="shared" si="21"/>
        <v>7110418.9759330135</v>
      </c>
      <c r="P81">
        <f t="shared" si="22"/>
        <v>2666.5368881628119</v>
      </c>
      <c r="Q81" s="14">
        <f t="shared" si="23"/>
        <v>8.2589751537285178E-2</v>
      </c>
    </row>
    <row r="82" spans="1:17" x14ac:dyDescent="0.3">
      <c r="A82">
        <v>2020</v>
      </c>
      <c r="B82" s="1">
        <f>'YE harvest'!Y250</f>
        <v>24.079952737653379</v>
      </c>
      <c r="C82" s="1">
        <f>'YE harvest'!Z250</f>
        <v>273.40599025774185</v>
      </c>
      <c r="D82" s="1">
        <f>'YE harvest'!Y275</f>
        <v>0</v>
      </c>
      <c r="E82" s="1">
        <f>'YE harvest'!Z275</f>
        <v>0</v>
      </c>
      <c r="F82" s="1">
        <f>'YE harvest'!Y300</f>
        <v>73.381648414501143</v>
      </c>
      <c r="G82" s="1">
        <f>'YE harvest'!Z300</f>
        <v>894.04196161141999</v>
      </c>
      <c r="H82" s="1">
        <f>'YE harvest'!Y325</f>
        <v>5.9339781522880095</v>
      </c>
      <c r="I82" s="1">
        <f>'YE harvest'!Z325</f>
        <v>10.21818279263897</v>
      </c>
      <c r="J82" s="1">
        <f>'YE harvest'!Y350</f>
        <v>164.20637897805707</v>
      </c>
      <c r="K82" s="1">
        <f>'YE harvest'!Z350</f>
        <v>4256.0006114777416</v>
      </c>
      <c r="L82" s="1">
        <f>'YE harvest'!Y375</f>
        <v>1</v>
      </c>
      <c r="M82" s="2">
        <f>'YE harvest'!Z375</f>
        <v>0</v>
      </c>
      <c r="N82" s="2">
        <f t="shared" ref="N82:N83" si="24">L82+J82+H82+F82+D82+B82</f>
        <v>268.6019582824996</v>
      </c>
      <c r="O82" s="1">
        <f>SUM(G82,I82,K82,M82,E82,C82)</f>
        <v>5433.6667461395427</v>
      </c>
      <c r="P82">
        <f t="shared" ref="P82:P83" si="25">SQRT(O82)</f>
        <v>73.713409540866735</v>
      </c>
      <c r="Q82" s="14">
        <f>P82/N82</f>
        <v>0.27443362666529536</v>
      </c>
    </row>
    <row r="83" spans="1:17" x14ac:dyDescent="0.3">
      <c r="A83">
        <v>2021</v>
      </c>
      <c r="B83" s="1">
        <f>'YE harvest'!Y251</f>
        <v>10</v>
      </c>
      <c r="C83" s="1">
        <f>'YE harvest'!Z251</f>
        <v>0</v>
      </c>
      <c r="D83" s="1">
        <f>'YE harvest'!Y276</f>
        <v>0</v>
      </c>
      <c r="E83" s="1">
        <f>'YE harvest'!Z276</f>
        <v>0</v>
      </c>
      <c r="F83" s="1">
        <f>'YE harvest'!Y301</f>
        <v>98.36297595929662</v>
      </c>
      <c r="G83" s="1">
        <f>'YE harvest'!Z301</f>
        <v>2419.9880636599946</v>
      </c>
      <c r="H83" s="1">
        <f>'YE harvest'!Y326</f>
        <v>0</v>
      </c>
      <c r="I83" s="1">
        <f>'YE harvest'!Z326</f>
        <v>0</v>
      </c>
      <c r="J83" s="1">
        <f>'YE harvest'!Y351</f>
        <v>147.86636497865038</v>
      </c>
      <c r="K83" s="1">
        <f>'YE harvest'!Z351</f>
        <v>3584.4223855895716</v>
      </c>
      <c r="L83" s="1">
        <f>'YE harvest'!Y376</f>
        <v>1</v>
      </c>
      <c r="M83" s="2">
        <f>'YE harvest'!Z376</f>
        <v>0</v>
      </c>
      <c r="N83" s="2">
        <f t="shared" si="24"/>
        <v>257.22934093794697</v>
      </c>
      <c r="O83" s="1">
        <f t="shared" ref="O83" si="26">SUM(G83,I83,K83,M83,E83,C83)</f>
        <v>6004.4104492495662</v>
      </c>
      <c r="P83">
        <f t="shared" si="25"/>
        <v>77.4881310217866</v>
      </c>
      <c r="Q83" s="14">
        <f t="shared" ref="Q83" si="27">P83/N83</f>
        <v>0.30124141646998015</v>
      </c>
    </row>
    <row r="84" spans="1:17" x14ac:dyDescent="0.3">
      <c r="A84">
        <v>2022</v>
      </c>
      <c r="B84" s="1">
        <f>'YE harvest'!Y252</f>
        <v>51.523372914079772</v>
      </c>
      <c r="C84" s="1">
        <f>'YE harvest'!Z252</f>
        <v>413.2687669879893</v>
      </c>
      <c r="D84" s="1">
        <f>'YE harvest'!Y277</f>
        <v>8.8516352841838639</v>
      </c>
      <c r="E84" s="1">
        <f>'YE harvest'!Z277</f>
        <v>3.2626038095494678</v>
      </c>
      <c r="F84" s="1">
        <f>'YE harvest'!Y302</f>
        <v>20.028945468042153</v>
      </c>
      <c r="G84" s="1">
        <f>'YE harvest'!Z302</f>
        <v>346.87627428612643</v>
      </c>
      <c r="H84" s="1">
        <f>'YE harvest'!Y327</f>
        <v>0</v>
      </c>
      <c r="I84" s="1">
        <f>'YE harvest'!Z327</f>
        <v>0</v>
      </c>
      <c r="J84" s="1">
        <f>'YE harvest'!Y352</f>
        <v>617.28894630156515</v>
      </c>
      <c r="K84" s="1">
        <f>'YE harvest'!Z352</f>
        <v>35606.901886990832</v>
      </c>
      <c r="L84" s="1">
        <f>'YE harvest'!Y377</f>
        <v>1</v>
      </c>
      <c r="M84" s="2">
        <f>'YE harvest'!Z377</f>
        <v>0</v>
      </c>
      <c r="N84" s="2">
        <f t="shared" ref="N84" si="28">L84+J84+H84+F84+D84+B84</f>
        <v>698.69289996787097</v>
      </c>
      <c r="O84" s="1">
        <f t="shared" ref="O84" si="29">SUM(G84,I84,K84,M84,E84,C84)</f>
        <v>36370.309532074498</v>
      </c>
      <c r="P84">
        <f t="shared" ref="P84" si="30">SQRT(O84)</f>
        <v>190.71001424171331</v>
      </c>
      <c r="Q84" s="14">
        <f t="shared" ref="Q84" si="31">P84/N84</f>
        <v>0.27295255791275824</v>
      </c>
    </row>
  </sheetData>
  <mergeCells count="24">
    <mergeCell ref="J30:K30"/>
    <mergeCell ref="L30:M30"/>
    <mergeCell ref="L58:M58"/>
    <mergeCell ref="B58:C58"/>
    <mergeCell ref="D58:E58"/>
    <mergeCell ref="F58:G58"/>
    <mergeCell ref="H58:I58"/>
    <mergeCell ref="J58:K58"/>
    <mergeCell ref="N2:Q2"/>
    <mergeCell ref="N30:Q30"/>
    <mergeCell ref="N58:Q58"/>
    <mergeCell ref="A1:J1"/>
    <mergeCell ref="A29:J29"/>
    <mergeCell ref="A57:J57"/>
    <mergeCell ref="B2:C2"/>
    <mergeCell ref="D2:E2"/>
    <mergeCell ref="F2:G2"/>
    <mergeCell ref="H2:I2"/>
    <mergeCell ref="J2:K2"/>
    <mergeCell ref="L2:M2"/>
    <mergeCell ref="B30:C30"/>
    <mergeCell ref="D30:E30"/>
    <mergeCell ref="F30:G30"/>
    <mergeCell ref="H30:I30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185AD-B495-4406-86B4-CA91778252DC}">
  <sheetPr>
    <tabColor theme="0" tint="-0.499984740745262"/>
  </sheetPr>
  <dimension ref="A1:F232"/>
  <sheetViews>
    <sheetView workbookViewId="0">
      <selection activeCell="E12" sqref="E12"/>
    </sheetView>
  </sheetViews>
  <sheetFormatPr defaultRowHeight="14.4" x14ac:dyDescent="0.3"/>
  <cols>
    <col min="3" max="3" width="10.5546875" bestFit="1" customWidth="1"/>
  </cols>
  <sheetData>
    <row r="1" spans="1:6" x14ac:dyDescent="0.3">
      <c r="C1" t="s">
        <v>86</v>
      </c>
      <c r="D1" t="s">
        <v>85</v>
      </c>
      <c r="E1" t="s">
        <v>87</v>
      </c>
    </row>
    <row r="2" spans="1:6" x14ac:dyDescent="0.3">
      <c r="A2" t="s">
        <v>42</v>
      </c>
      <c r="B2">
        <v>2011</v>
      </c>
      <c r="C2" s="1">
        <f>'rockfish harvests'!K240</f>
        <v>68480.968038392311</v>
      </c>
      <c r="D2" s="1">
        <f>'rockfish harvests'!E240+'rockfish harvests'!G240</f>
        <v>48501</v>
      </c>
      <c r="E2" s="17">
        <f>(C2-D2)/C2</f>
        <v>0.29175942762945456</v>
      </c>
      <c r="F2" s="33">
        <f>AVERAGE(E2:E12)</f>
        <v>0.13077242643264769</v>
      </c>
    </row>
    <row r="3" spans="1:6" x14ac:dyDescent="0.3">
      <c r="A3" t="s">
        <v>42</v>
      </c>
      <c r="B3">
        <v>2012</v>
      </c>
      <c r="C3" s="1">
        <f>'rockfish harvests'!K241</f>
        <v>63827.587639698155</v>
      </c>
      <c r="D3" s="1">
        <f>'rockfish harvests'!E241+'rockfish harvests'!G241</f>
        <v>57929</v>
      </c>
      <c r="E3" s="17">
        <f t="shared" ref="E3:E64" si="0">(C3-D3)/C3</f>
        <v>9.2414390983961828E-2</v>
      </c>
    </row>
    <row r="4" spans="1:6" x14ac:dyDescent="0.3">
      <c r="A4" t="s">
        <v>42</v>
      </c>
      <c r="B4">
        <v>2013</v>
      </c>
      <c r="C4" s="1">
        <f>'rockfish harvests'!K242</f>
        <v>70364.987163814178</v>
      </c>
      <c r="D4" s="1">
        <f>'rockfish harvests'!E242+'rockfish harvests'!G242</f>
        <v>56862</v>
      </c>
      <c r="E4" s="17">
        <f t="shared" si="0"/>
        <v>0.19189923437885895</v>
      </c>
    </row>
    <row r="5" spans="1:6" x14ac:dyDescent="0.3">
      <c r="A5" t="s">
        <v>42</v>
      </c>
      <c r="B5">
        <v>2014</v>
      </c>
      <c r="C5" s="1">
        <f>'rockfish harvests'!K243</f>
        <v>86708.052896462119</v>
      </c>
      <c r="D5" s="1">
        <f>'rockfish harvests'!E243+'rockfish harvests'!G243</f>
        <v>78770</v>
      </c>
      <c r="E5" s="17">
        <f t="shared" si="0"/>
        <v>9.1549200233350059E-2</v>
      </c>
    </row>
    <row r="6" spans="1:6" x14ac:dyDescent="0.3">
      <c r="A6" t="s">
        <v>42</v>
      </c>
      <c r="B6">
        <v>2015</v>
      </c>
      <c r="C6" s="1">
        <f>'rockfish harvests'!K244</f>
        <v>88259.545990311773</v>
      </c>
      <c r="D6" s="1">
        <f>'rockfish harvests'!E244+'rockfish harvests'!G244</f>
        <v>76651</v>
      </c>
      <c r="E6" s="17">
        <f t="shared" si="0"/>
        <v>0.13152737032644651</v>
      </c>
    </row>
    <row r="7" spans="1:6" x14ac:dyDescent="0.3">
      <c r="A7" t="s">
        <v>42</v>
      </c>
      <c r="B7">
        <v>2016</v>
      </c>
      <c r="C7" s="1">
        <f>'rockfish harvests'!K245</f>
        <v>63347.772142219961</v>
      </c>
      <c r="D7" s="1">
        <f>'rockfish harvests'!E245+'rockfish harvests'!G245</f>
        <v>63372</v>
      </c>
      <c r="E7" s="17">
        <f t="shared" si="0"/>
        <v>-3.8245792962767107E-4</v>
      </c>
    </row>
    <row r="8" spans="1:6" x14ac:dyDescent="0.3">
      <c r="A8" t="s">
        <v>42</v>
      </c>
      <c r="B8">
        <v>2017</v>
      </c>
      <c r="C8" s="1">
        <f>'rockfish harvests'!K246</f>
        <v>71940.082903438393</v>
      </c>
      <c r="D8" s="1">
        <f>'rockfish harvests'!E246+'rockfish harvests'!G246</f>
        <v>55161</v>
      </c>
      <c r="E8" s="17">
        <f t="shared" si="0"/>
        <v>0.23323691364048224</v>
      </c>
    </row>
    <row r="9" spans="1:6" x14ac:dyDescent="0.3">
      <c r="A9" t="s">
        <v>42</v>
      </c>
      <c r="B9">
        <v>2018</v>
      </c>
      <c r="C9" s="1">
        <f>'rockfish harvests'!K247</f>
        <v>61699.047320720041</v>
      </c>
      <c r="D9" s="1">
        <f>'rockfish harvests'!E247+'rockfish harvests'!G247</f>
        <v>53273</v>
      </c>
      <c r="E9" s="17">
        <f t="shared" si="0"/>
        <v>0.13656689505950231</v>
      </c>
    </row>
    <row r="10" spans="1:6" x14ac:dyDescent="0.3">
      <c r="A10" t="s">
        <v>42</v>
      </c>
      <c r="B10">
        <v>2019</v>
      </c>
      <c r="C10" s="1">
        <f>'rockfish harvests'!K248</f>
        <v>69676.250304369401</v>
      </c>
      <c r="D10" s="1">
        <f>'rockfish harvests'!E248+'rockfish harvests'!G248</f>
        <v>51643</v>
      </c>
      <c r="E10" s="17">
        <f>(C10-D10)/C10</f>
        <v>0.25881487918184565</v>
      </c>
    </row>
    <row r="11" spans="1:6" x14ac:dyDescent="0.3">
      <c r="A11" t="s">
        <v>42</v>
      </c>
      <c r="B11">
        <v>2020</v>
      </c>
      <c r="C11" s="1">
        <f>'rockfish harvests'!K249</f>
        <v>30307.582512931756</v>
      </c>
      <c r="D11" s="1">
        <f>'rockfish harvests'!E249+'rockfish harvests'!G249</f>
        <v>29381</v>
      </c>
      <c r="E11" s="17">
        <f t="shared" ref="E11:E12" si="1">(C11-D11)/C11</f>
        <v>3.0572630216758417E-2</v>
      </c>
    </row>
    <row r="12" spans="1:6" x14ac:dyDescent="0.3">
      <c r="A12" t="s">
        <v>42</v>
      </c>
      <c r="B12">
        <v>2021</v>
      </c>
      <c r="C12" s="1">
        <f>'rockfish harvests'!K250</f>
        <v>62821.383245691672</v>
      </c>
      <c r="D12" s="1">
        <f>'rockfish harvests'!E250+'rockfish harvests'!G250</f>
        <v>64044</v>
      </c>
      <c r="E12" s="17">
        <f t="shared" si="1"/>
        <v>-1.9461792961908017E-2</v>
      </c>
    </row>
    <row r="13" spans="1:6" x14ac:dyDescent="0.3">
      <c r="A13" t="s">
        <v>83</v>
      </c>
      <c r="B13">
        <v>2011</v>
      </c>
      <c r="C13" s="1">
        <f>'rockfish harvests'!K265</f>
        <v>4284.4366812227072</v>
      </c>
      <c r="D13" s="1">
        <f>'rockfish harvests'!G265+'rockfish harvests'!E265</f>
        <v>2756</v>
      </c>
      <c r="E13" s="17">
        <f t="shared" si="0"/>
        <v>0.35674157303370785</v>
      </c>
      <c r="F13" s="33">
        <f>AVERAGE(E13:E23)</f>
        <v>0.22351982056994563</v>
      </c>
    </row>
    <row r="14" spans="1:6" x14ac:dyDescent="0.3">
      <c r="A14" t="s">
        <v>83</v>
      </c>
      <c r="B14">
        <v>2012</v>
      </c>
      <c r="C14" s="1">
        <f>'rockfish harvests'!K266</f>
        <v>3776.1442770118629</v>
      </c>
      <c r="D14" s="1">
        <f>'rockfish harvests'!G266+'rockfish harvests'!E266</f>
        <v>3634</v>
      </c>
      <c r="E14" s="17">
        <f t="shared" si="0"/>
        <v>3.7642702869484748E-2</v>
      </c>
    </row>
    <row r="15" spans="1:6" x14ac:dyDescent="0.3">
      <c r="A15" t="s">
        <v>83</v>
      </c>
      <c r="B15">
        <v>2013</v>
      </c>
      <c r="C15" s="1">
        <f>'rockfish harvests'!K267</f>
        <v>4475.3664881407803</v>
      </c>
      <c r="D15" s="1">
        <f>'rockfish harvests'!G267+'rockfish harvests'!E267</f>
        <v>4518</v>
      </c>
      <c r="E15" s="17">
        <f t="shared" si="0"/>
        <v>-9.5262615859938362E-3</v>
      </c>
    </row>
    <row r="16" spans="1:6" x14ac:dyDescent="0.3">
      <c r="A16" t="s">
        <v>83</v>
      </c>
      <c r="B16">
        <v>2014</v>
      </c>
      <c r="C16" s="1">
        <f>'rockfish harvests'!K268</f>
        <v>5718.1397849462364</v>
      </c>
      <c r="D16" s="1">
        <f>'rockfish harvests'!G268+'rockfish harvests'!E268</f>
        <v>6796</v>
      </c>
      <c r="E16" s="17">
        <f t="shared" si="0"/>
        <v>-0.18849840255591058</v>
      </c>
    </row>
    <row r="17" spans="1:6" x14ac:dyDescent="0.3">
      <c r="A17" t="s">
        <v>83</v>
      </c>
      <c r="B17">
        <v>2015</v>
      </c>
      <c r="C17" s="1">
        <f>'rockfish harvests'!K269</f>
        <v>8126.5678935972783</v>
      </c>
      <c r="D17" s="1">
        <f>'rockfish harvests'!G269+'rockfish harvests'!E269</f>
        <v>4586</v>
      </c>
      <c r="E17" s="17">
        <f t="shared" si="0"/>
        <v>0.43567812881829293</v>
      </c>
    </row>
    <row r="18" spans="1:6" x14ac:dyDescent="0.3">
      <c r="A18" t="s">
        <v>83</v>
      </c>
      <c r="B18">
        <v>2016</v>
      </c>
      <c r="C18" s="1">
        <f>'rockfish harvests'!K270</f>
        <v>9606.8674308497375</v>
      </c>
      <c r="D18" s="1">
        <f>'rockfish harvests'!G270+'rockfish harvests'!E270</f>
        <v>5141</v>
      </c>
      <c r="E18" s="17">
        <f t="shared" si="0"/>
        <v>0.46486198159754627</v>
      </c>
    </row>
    <row r="19" spans="1:6" x14ac:dyDescent="0.3">
      <c r="A19" t="s">
        <v>83</v>
      </c>
      <c r="B19">
        <v>2017</v>
      </c>
      <c r="C19" s="1">
        <f>'rockfish harvests'!K271</f>
        <v>7580.0488400488402</v>
      </c>
      <c r="D19" s="1">
        <f>'rockfish harvests'!G271+'rockfish harvests'!E271</f>
        <v>5890</v>
      </c>
      <c r="E19" s="17">
        <f t="shared" si="0"/>
        <v>0.22296015180265658</v>
      </c>
    </row>
    <row r="20" spans="1:6" x14ac:dyDescent="0.3">
      <c r="A20" t="s">
        <v>83</v>
      </c>
      <c r="B20">
        <v>2018</v>
      </c>
      <c r="C20" s="1">
        <f>'rockfish harvests'!K272</f>
        <v>10630.379506304387</v>
      </c>
      <c r="D20" s="1">
        <f>'rockfish harvests'!G272+'rockfish harvests'!E272</f>
        <v>6913</v>
      </c>
      <c r="E20" s="17">
        <f t="shared" si="0"/>
        <v>0.34969396004157527</v>
      </c>
    </row>
    <row r="21" spans="1:6" x14ac:dyDescent="0.3">
      <c r="A21" t="s">
        <v>83</v>
      </c>
      <c r="B21">
        <v>2019</v>
      </c>
      <c r="C21" s="1">
        <f>'rockfish harvests'!K273</f>
        <v>10910.494473531124</v>
      </c>
      <c r="D21" s="1">
        <f>'rockfish harvests'!G273+'rockfish harvests'!E273</f>
        <v>7115</v>
      </c>
      <c r="E21" s="17">
        <f>(C21-D21)/C21</f>
        <v>0.34787556904400613</v>
      </c>
    </row>
    <row r="22" spans="1:6" x14ac:dyDescent="0.3">
      <c r="A22" t="s">
        <v>83</v>
      </c>
      <c r="B22">
        <v>2020</v>
      </c>
      <c r="C22" s="1">
        <f>'rockfish harvests'!K274</f>
        <v>4973.6383877159315</v>
      </c>
      <c r="D22" s="1">
        <f>'rockfish harvests'!G274+'rockfish harvests'!E274</f>
        <v>3192</v>
      </c>
      <c r="E22" s="17">
        <f t="shared" ref="E22:E23" si="2">(C22-D22)/C22</f>
        <v>0.35821630943582172</v>
      </c>
    </row>
    <row r="23" spans="1:6" x14ac:dyDescent="0.3">
      <c r="A23" t="s">
        <v>83</v>
      </c>
      <c r="B23">
        <v>2021</v>
      </c>
      <c r="C23" s="1">
        <f>'rockfish harvests'!K275</f>
        <v>8856.750779741571</v>
      </c>
      <c r="D23" s="1">
        <f>'rockfish harvests'!G275+'rockfish harvests'!E275</f>
        <v>8121</v>
      </c>
      <c r="E23" s="17">
        <f t="shared" si="2"/>
        <v>8.3072313768214584E-2</v>
      </c>
    </row>
    <row r="24" spans="1:6" x14ac:dyDescent="0.3">
      <c r="A24" t="s">
        <v>38</v>
      </c>
      <c r="B24">
        <v>2011</v>
      </c>
      <c r="C24" s="1">
        <f>'rockfish harvests'!K290</f>
        <v>21134.144125958821</v>
      </c>
      <c r="D24" s="1">
        <f>'rockfish harvests'!G290+'rockfish harvests'!E290</f>
        <v>11825</v>
      </c>
      <c r="E24" s="17">
        <f t="shared" si="0"/>
        <v>0.44047887960243959</v>
      </c>
      <c r="F24" s="33">
        <f>AVERAGE(E24:E34)</f>
        <v>0.26212433580593059</v>
      </c>
    </row>
    <row r="25" spans="1:6" x14ac:dyDescent="0.3">
      <c r="A25" t="s">
        <v>38</v>
      </c>
      <c r="B25">
        <v>2012</v>
      </c>
      <c r="C25" s="1">
        <f>'rockfish harvests'!K291</f>
        <v>30331.837840909095</v>
      </c>
      <c r="D25" s="1">
        <f>'rockfish harvests'!G291+'rockfish harvests'!E291</f>
        <v>17511</v>
      </c>
      <c r="E25" s="17">
        <f t="shared" si="0"/>
        <v>0.42268582300072172</v>
      </c>
    </row>
    <row r="26" spans="1:6" x14ac:dyDescent="0.3">
      <c r="A26" t="s">
        <v>38</v>
      </c>
      <c r="B26">
        <v>2013</v>
      </c>
      <c r="C26" s="1">
        <f>'rockfish harvests'!K292</f>
        <v>22942.238805970148</v>
      </c>
      <c r="D26" s="1">
        <f>'rockfish harvests'!G292+'rockfish harvests'!E292</f>
        <v>21959</v>
      </c>
      <c r="E26" s="17">
        <f t="shared" si="0"/>
        <v>4.2857142857142802E-2</v>
      </c>
    </row>
    <row r="27" spans="1:6" x14ac:dyDescent="0.3">
      <c r="A27" t="s">
        <v>38</v>
      </c>
      <c r="B27">
        <v>2014</v>
      </c>
      <c r="C27" s="1">
        <f>'rockfish harvests'!K293</f>
        <v>32276.119924151324</v>
      </c>
      <c r="D27" s="1">
        <f>'rockfish harvests'!G293+'rockfish harvests'!E293</f>
        <v>35145</v>
      </c>
      <c r="E27" s="17">
        <f t="shared" si="0"/>
        <v>-8.8885531550586802E-2</v>
      </c>
    </row>
    <row r="28" spans="1:6" x14ac:dyDescent="0.3">
      <c r="A28" t="s">
        <v>38</v>
      </c>
      <c r="B28">
        <v>2015</v>
      </c>
      <c r="C28" s="1">
        <f>'rockfish harvests'!K294</f>
        <v>31763.885700148439</v>
      </c>
      <c r="D28" s="1">
        <f>'rockfish harvests'!G294+'rockfish harvests'!E294</f>
        <v>29054</v>
      </c>
      <c r="E28" s="17">
        <f t="shared" si="0"/>
        <v>8.5313419325639225E-2</v>
      </c>
    </row>
    <row r="29" spans="1:6" x14ac:dyDescent="0.3">
      <c r="A29" t="s">
        <v>38</v>
      </c>
      <c r="B29">
        <v>2016</v>
      </c>
      <c r="C29" s="1">
        <f>'rockfish harvests'!K295</f>
        <v>40066.291818701371</v>
      </c>
      <c r="D29" s="1">
        <f>'rockfish harvests'!G295+'rockfish harvests'!E295</f>
        <v>35220</v>
      </c>
      <c r="E29" s="17">
        <f t="shared" si="0"/>
        <v>0.12095683425435724</v>
      </c>
    </row>
    <row r="30" spans="1:6" x14ac:dyDescent="0.3">
      <c r="A30" t="s">
        <v>38</v>
      </c>
      <c r="B30">
        <v>2017</v>
      </c>
      <c r="C30" s="1">
        <f>'rockfish harvests'!K296</f>
        <v>41111.228360636691</v>
      </c>
      <c r="D30" s="1">
        <f>'rockfish harvests'!G296+'rockfish harvests'!E296</f>
        <v>29117</v>
      </c>
      <c r="E30" s="17">
        <f t="shared" si="0"/>
        <v>0.29175066858671056</v>
      </c>
    </row>
    <row r="31" spans="1:6" x14ac:dyDescent="0.3">
      <c r="A31" t="s">
        <v>38</v>
      </c>
      <c r="B31">
        <v>2018</v>
      </c>
      <c r="C31" s="1">
        <f>'rockfish harvests'!K297</f>
        <v>50022.26901059274</v>
      </c>
      <c r="D31" s="1">
        <f>'rockfish harvests'!G297+'rockfish harvests'!E297</f>
        <v>32006</v>
      </c>
      <c r="E31" s="17">
        <f t="shared" si="0"/>
        <v>0.36016496986127527</v>
      </c>
    </row>
    <row r="32" spans="1:6" x14ac:dyDescent="0.3">
      <c r="A32" t="s">
        <v>38</v>
      </c>
      <c r="B32">
        <v>2019</v>
      </c>
      <c r="C32" s="1">
        <f>'rockfish harvests'!K298</f>
        <v>59476.361216730038</v>
      </c>
      <c r="D32" s="1">
        <f>'rockfish harvests'!G298+'rockfish harvests'!E298</f>
        <v>24998</v>
      </c>
      <c r="E32" s="17">
        <f>(C32-D32)/C32</f>
        <v>0.57969856446146639</v>
      </c>
    </row>
    <row r="33" spans="1:6" x14ac:dyDescent="0.3">
      <c r="A33" t="s">
        <v>38</v>
      </c>
      <c r="B33">
        <v>2020</v>
      </c>
      <c r="C33" s="1">
        <f>'rockfish harvests'!K299</f>
        <v>22443.397890444958</v>
      </c>
      <c r="D33" s="1">
        <f>'rockfish harvests'!G299+'rockfish harvests'!E299</f>
        <v>14399</v>
      </c>
      <c r="E33" s="17">
        <f t="shared" ref="E33:E34" si="3">(C33-D33)/C33</f>
        <v>0.35843048052317317</v>
      </c>
    </row>
    <row r="34" spans="1:6" x14ac:dyDescent="0.3">
      <c r="A34" t="s">
        <v>38</v>
      </c>
      <c r="B34">
        <v>2021</v>
      </c>
      <c r="C34" s="1">
        <f>'rockfish harvests'!K300</f>
        <v>41077.489980580918</v>
      </c>
      <c r="D34" s="1">
        <f>'rockfish harvests'!G300+'rockfish harvests'!E300</f>
        <v>29990</v>
      </c>
      <c r="E34" s="17">
        <f t="shared" si="3"/>
        <v>0.26991644294289763</v>
      </c>
    </row>
    <row r="35" spans="1:6" x14ac:dyDescent="0.3">
      <c r="A35" t="s">
        <v>41</v>
      </c>
      <c r="B35">
        <v>2011</v>
      </c>
      <c r="C35" s="1">
        <f>'rockfish harvests'!K315</f>
        <v>11059.863872082973</v>
      </c>
      <c r="D35" s="1">
        <f>'rockfish harvests'!G315+'rockfish harvests'!E315</f>
        <v>5719</v>
      </c>
      <c r="E35" s="17">
        <f t="shared" si="0"/>
        <v>0.48290502793296086</v>
      </c>
      <c r="F35" s="33">
        <f>AVERAGE(E35:E45)</f>
        <v>0.10177733657180897</v>
      </c>
    </row>
    <row r="36" spans="1:6" x14ac:dyDescent="0.3">
      <c r="A36" t="s">
        <v>41</v>
      </c>
      <c r="B36">
        <v>2012</v>
      </c>
      <c r="C36" s="1">
        <f>'rockfish harvests'!K316</f>
        <v>12656.140350877193</v>
      </c>
      <c r="D36" s="1">
        <f>'rockfish harvests'!G316+'rockfish harvests'!E316</f>
        <v>7214</v>
      </c>
      <c r="E36" s="17">
        <f t="shared" si="0"/>
        <v>0.43</v>
      </c>
    </row>
    <row r="37" spans="1:6" x14ac:dyDescent="0.3">
      <c r="A37" t="s">
        <v>41</v>
      </c>
      <c r="B37">
        <v>2013</v>
      </c>
      <c r="C37" s="1">
        <f>'rockfish harvests'!K317</f>
        <v>10533.463803255974</v>
      </c>
      <c r="D37" s="1">
        <f>'rockfish harvests'!G317+'rockfish harvests'!E317</f>
        <v>8726</v>
      </c>
      <c r="E37" s="17">
        <f t="shared" si="0"/>
        <v>0.17159253945480624</v>
      </c>
    </row>
    <row r="38" spans="1:6" x14ac:dyDescent="0.3">
      <c r="A38" t="s">
        <v>41</v>
      </c>
      <c r="B38">
        <v>2014</v>
      </c>
      <c r="C38" s="1">
        <f>'rockfish harvests'!K318</f>
        <v>18410.250883987203</v>
      </c>
      <c r="D38" s="1">
        <f>'rockfish harvests'!G318+'rockfish harvests'!E318</f>
        <v>12585</v>
      </c>
      <c r="E38" s="17">
        <f t="shared" si="0"/>
        <v>0.31641344383057085</v>
      </c>
    </row>
    <row r="39" spans="1:6" x14ac:dyDescent="0.3">
      <c r="A39" t="s">
        <v>41</v>
      </c>
      <c r="B39">
        <v>2015</v>
      </c>
      <c r="C39" s="1">
        <f>'rockfish harvests'!K319</f>
        <v>13685.480355422331</v>
      </c>
      <c r="D39" s="1">
        <f>'rockfish harvests'!G319+'rockfish harvests'!E319</f>
        <v>13962</v>
      </c>
      <c r="E39" s="17">
        <f t="shared" si="0"/>
        <v>-2.0205329838357423E-2</v>
      </c>
    </row>
    <row r="40" spans="1:6" x14ac:dyDescent="0.3">
      <c r="A40" t="s">
        <v>41</v>
      </c>
      <c r="B40">
        <v>2016</v>
      </c>
      <c r="C40" s="1">
        <f>'rockfish harvests'!K320</f>
        <v>7499.6278507924235</v>
      </c>
      <c r="D40" s="1">
        <f>'rockfish harvests'!G320+'rockfish harvests'!E320</f>
        <v>13291</v>
      </c>
      <c r="E40" s="17">
        <f t="shared" si="0"/>
        <v>-0.77222127076554203</v>
      </c>
    </row>
    <row r="41" spans="1:6" x14ac:dyDescent="0.3">
      <c r="A41" t="s">
        <v>41</v>
      </c>
      <c r="B41">
        <v>2017</v>
      </c>
      <c r="C41" s="1">
        <f>'rockfish harvests'!K321</f>
        <v>16078.017147192715</v>
      </c>
      <c r="D41" s="1">
        <f>'rockfish harvests'!G321+'rockfish harvests'!E321</f>
        <v>11503</v>
      </c>
      <c r="E41" s="17">
        <f t="shared" si="0"/>
        <v>0.28455108023015957</v>
      </c>
    </row>
    <row r="42" spans="1:6" x14ac:dyDescent="0.3">
      <c r="A42" t="s">
        <v>41</v>
      </c>
      <c r="B42">
        <v>2018</v>
      </c>
      <c r="C42" s="1">
        <f>'rockfish harvests'!K322</f>
        <v>18860.883640705848</v>
      </c>
      <c r="D42" s="1">
        <f>'rockfish harvests'!G322+'rockfish harvests'!E322</f>
        <v>12895</v>
      </c>
      <c r="E42" s="17">
        <f t="shared" si="0"/>
        <v>0.31630986937590699</v>
      </c>
    </row>
    <row r="43" spans="1:6" x14ac:dyDescent="0.3">
      <c r="A43" t="s">
        <v>41</v>
      </c>
      <c r="B43">
        <v>2019</v>
      </c>
      <c r="C43" s="1">
        <f>'rockfish harvests'!K323</f>
        <v>18193.663451672481</v>
      </c>
      <c r="D43" s="1">
        <f>'rockfish harvests'!G323+'rockfish harvests'!E323</f>
        <v>15348</v>
      </c>
      <c r="E43" s="17">
        <f>(C43-D43)/C43</f>
        <v>0.15640959058253268</v>
      </c>
    </row>
    <row r="44" spans="1:6" x14ac:dyDescent="0.3">
      <c r="A44" t="s">
        <v>41</v>
      </c>
      <c r="B44">
        <v>2020</v>
      </c>
      <c r="C44" s="1">
        <f>'rockfish harvests'!K324</f>
        <v>4399.5719163465646</v>
      </c>
      <c r="D44" s="1">
        <f>'rockfish harvests'!G324+'rockfish harvests'!E324</f>
        <v>6221</v>
      </c>
      <c r="E44" s="17">
        <f t="shared" ref="E44:E45" si="4">(C44-D44)/C44</f>
        <v>-0.41400120700060339</v>
      </c>
    </row>
    <row r="45" spans="1:6" x14ac:dyDescent="0.3">
      <c r="A45" t="s">
        <v>41</v>
      </c>
      <c r="B45">
        <v>2021</v>
      </c>
      <c r="C45" s="1">
        <f>'rockfish harvests'!K325</f>
        <v>15994.894678355353</v>
      </c>
      <c r="D45" s="1">
        <f>'rockfish harvests'!G325+'rockfish harvests'!E325</f>
        <v>13311</v>
      </c>
      <c r="E45" s="17">
        <f t="shared" si="4"/>
        <v>0.16779695848746407</v>
      </c>
    </row>
    <row r="46" spans="1:6" x14ac:dyDescent="0.3">
      <c r="A46" t="s">
        <v>39</v>
      </c>
      <c r="B46">
        <v>2011</v>
      </c>
      <c r="C46" s="1">
        <f>'rockfish harvests'!K340</f>
        <v>43385.656259472569</v>
      </c>
      <c r="D46" s="1">
        <f>'rockfish harvests'!G340+'rockfish harvests'!E340</f>
        <v>24780</v>
      </c>
      <c r="E46" s="17">
        <f t="shared" si="0"/>
        <v>0.42884349030470914</v>
      </c>
      <c r="F46" s="33">
        <f>AVERAGE(E46:E56)</f>
        <v>0.32074732280220203</v>
      </c>
    </row>
    <row r="47" spans="1:6" x14ac:dyDescent="0.3">
      <c r="A47" t="s">
        <v>39</v>
      </c>
      <c r="B47">
        <v>2012</v>
      </c>
      <c r="C47" s="1">
        <f>'rockfish harvests'!K341</f>
        <v>51250.239687848378</v>
      </c>
      <c r="D47" s="1">
        <f>'rockfish harvests'!G341+'rockfish harvests'!E341</f>
        <v>26385</v>
      </c>
      <c r="E47" s="17">
        <f t="shared" si="0"/>
        <v>0.48517313946814611</v>
      </c>
    </row>
    <row r="48" spans="1:6" x14ac:dyDescent="0.3">
      <c r="A48" t="s">
        <v>39</v>
      </c>
      <c r="B48">
        <v>2013</v>
      </c>
      <c r="C48" s="1">
        <f>'rockfish harvests'!K342</f>
        <v>59046.842065821518</v>
      </c>
      <c r="D48" s="1">
        <f>'rockfish harvests'!G342+'rockfish harvests'!E342</f>
        <v>38158</v>
      </c>
      <c r="E48" s="17">
        <f t="shared" si="0"/>
        <v>0.35376730295815001</v>
      </c>
    </row>
    <row r="49" spans="1:6" x14ac:dyDescent="0.3">
      <c r="A49" t="s">
        <v>39</v>
      </c>
      <c r="B49">
        <v>2014</v>
      </c>
      <c r="C49" s="1">
        <f>'rockfish harvests'!K343</f>
        <v>58838.073336968373</v>
      </c>
      <c r="D49" s="1">
        <f>'rockfish harvests'!G343+'rockfish harvests'!E343</f>
        <v>50413</v>
      </c>
      <c r="E49" s="17">
        <f t="shared" si="0"/>
        <v>0.14319084326092033</v>
      </c>
    </row>
    <row r="50" spans="1:6" x14ac:dyDescent="0.3">
      <c r="A50" t="s">
        <v>39</v>
      </c>
      <c r="B50">
        <v>2015</v>
      </c>
      <c r="C50" s="1">
        <f>'rockfish harvests'!K344</f>
        <v>60956.645359656926</v>
      </c>
      <c r="D50" s="1">
        <f>'rockfish harvests'!G344+'rockfish harvests'!E344</f>
        <v>51671</v>
      </c>
      <c r="E50" s="17">
        <f t="shared" si="0"/>
        <v>0.15233196159122081</v>
      </c>
    </row>
    <row r="51" spans="1:6" x14ac:dyDescent="0.3">
      <c r="A51" t="s">
        <v>39</v>
      </c>
      <c r="B51">
        <v>2016</v>
      </c>
      <c r="C51" s="1">
        <f>'rockfish harvests'!K345</f>
        <v>66405.532446281708</v>
      </c>
      <c r="D51" s="1">
        <f>'rockfish harvests'!G345+'rockfish harvests'!E345</f>
        <v>47392</v>
      </c>
      <c r="E51" s="17">
        <f t="shared" si="0"/>
        <v>0.28632452366318384</v>
      </c>
    </row>
    <row r="52" spans="1:6" x14ac:dyDescent="0.3">
      <c r="A52" t="s">
        <v>39</v>
      </c>
      <c r="B52">
        <v>2017</v>
      </c>
      <c r="C52" s="1">
        <f>'rockfish harvests'!K346</f>
        <v>62909.834871736792</v>
      </c>
      <c r="D52" s="1">
        <f>'rockfish harvests'!G346+'rockfish harvests'!E346</f>
        <v>36726</v>
      </c>
      <c r="E52" s="17">
        <f t="shared" si="0"/>
        <v>0.41621210618532845</v>
      </c>
    </row>
    <row r="53" spans="1:6" x14ac:dyDescent="0.3">
      <c r="A53" t="s">
        <v>39</v>
      </c>
      <c r="B53">
        <v>2018</v>
      </c>
      <c r="C53" s="1">
        <f>'rockfish harvests'!K347</f>
        <v>76774.8595505618</v>
      </c>
      <c r="D53" s="1">
        <f>'rockfish harvests'!G347+'rockfish harvests'!E347</f>
        <v>47450</v>
      </c>
      <c r="E53" s="17">
        <f t="shared" si="0"/>
        <v>0.38195914290470645</v>
      </c>
    </row>
    <row r="54" spans="1:6" x14ac:dyDescent="0.3">
      <c r="A54" t="s">
        <v>39</v>
      </c>
      <c r="B54">
        <v>2019</v>
      </c>
      <c r="C54" s="1">
        <f>'rockfish harvests'!K348</f>
        <v>105817.34860446323</v>
      </c>
      <c r="D54" s="1">
        <f>'rockfish harvests'!G348+'rockfish harvests'!E348</f>
        <v>47461</v>
      </c>
      <c r="E54" s="17">
        <f>(C54-D54)/C54</f>
        <v>0.55148186355145401</v>
      </c>
    </row>
    <row r="55" spans="1:6" x14ac:dyDescent="0.3">
      <c r="A55" t="s">
        <v>39</v>
      </c>
      <c r="B55">
        <v>2020</v>
      </c>
      <c r="C55" s="1">
        <f>'rockfish harvests'!K349</f>
        <v>26303.649154865238</v>
      </c>
      <c r="D55" s="1">
        <f>'rockfish harvests'!G349+'rockfish harvests'!E349</f>
        <v>20736</v>
      </c>
      <c r="E55" s="17">
        <f t="shared" ref="E55:E56" si="5">(C55-D55)/C55</f>
        <v>0.21166831727739271</v>
      </c>
    </row>
    <row r="56" spans="1:6" x14ac:dyDescent="0.3">
      <c r="A56" t="s">
        <v>39</v>
      </c>
      <c r="B56">
        <v>2021</v>
      </c>
      <c r="C56" s="1">
        <f>'rockfish harvests'!K350</f>
        <v>42574.636497865038</v>
      </c>
      <c r="D56" s="1">
        <f>'rockfish harvests'!G350+'rockfish harvests'!E350</f>
        <v>37582</v>
      </c>
      <c r="E56" s="17">
        <f t="shared" si="5"/>
        <v>0.11726785965901085</v>
      </c>
    </row>
    <row r="57" spans="1:6" x14ac:dyDescent="0.3">
      <c r="A57" t="s">
        <v>40</v>
      </c>
      <c r="B57">
        <v>2011</v>
      </c>
      <c r="C57" s="1">
        <f>'rockfish harvests'!K365</f>
        <v>17425.832645403378</v>
      </c>
      <c r="D57" s="1">
        <f>'rockfish harvests'!G365+'rockfish harvests'!E365</f>
        <v>15576</v>
      </c>
      <c r="E57" s="17">
        <f t="shared" si="0"/>
        <v>0.1061546201576388</v>
      </c>
      <c r="F57" s="33">
        <f>AVERAGE(E57:E67)</f>
        <v>0.53123859916978333</v>
      </c>
    </row>
    <row r="58" spans="1:6" x14ac:dyDescent="0.3">
      <c r="A58" t="s">
        <v>40</v>
      </c>
      <c r="B58">
        <v>2012</v>
      </c>
      <c r="C58" s="1">
        <f>'rockfish harvests'!K366</f>
        <v>21501.484048613747</v>
      </c>
      <c r="D58" s="1">
        <f>'rockfish harvests'!G366+'rockfish harvests'!E366</f>
        <v>15847</v>
      </c>
      <c r="E58" s="17">
        <f t="shared" si="0"/>
        <v>0.26298110566829946</v>
      </c>
    </row>
    <row r="59" spans="1:6" x14ac:dyDescent="0.3">
      <c r="A59" t="s">
        <v>40</v>
      </c>
      <c r="B59">
        <v>2013</v>
      </c>
      <c r="C59" s="1">
        <f>'rockfish harvests'!K367</f>
        <v>22683.680191645457</v>
      </c>
      <c r="D59" s="1">
        <f>'rockfish harvests'!G367+'rockfish harvests'!E367</f>
        <v>9700</v>
      </c>
      <c r="E59" s="17">
        <f t="shared" si="0"/>
        <v>0.57237979384083493</v>
      </c>
    </row>
    <row r="60" spans="1:6" x14ac:dyDescent="0.3">
      <c r="A60" t="s">
        <v>40</v>
      </c>
      <c r="B60">
        <v>2014</v>
      </c>
      <c r="C60" s="1">
        <f>'rockfish harvests'!K368</f>
        <v>24422.057259158752</v>
      </c>
      <c r="D60" s="1">
        <f>'rockfish harvests'!G368+'rockfish harvests'!E368</f>
        <v>9754</v>
      </c>
      <c r="E60" s="17">
        <f t="shared" si="0"/>
        <v>0.60060694737982978</v>
      </c>
    </row>
    <row r="61" spans="1:6" x14ac:dyDescent="0.3">
      <c r="A61" t="s">
        <v>40</v>
      </c>
      <c r="B61">
        <v>2015</v>
      </c>
      <c r="C61" s="1">
        <f>'rockfish harvests'!K369</f>
        <v>33215.524335519505</v>
      </c>
      <c r="D61" s="1">
        <f>'rockfish harvests'!G369+'rockfish harvests'!E369</f>
        <v>10892</v>
      </c>
      <c r="E61" s="17">
        <f t="shared" si="0"/>
        <v>0.67208104589959816</v>
      </c>
    </row>
    <row r="62" spans="1:6" x14ac:dyDescent="0.3">
      <c r="A62" t="s">
        <v>40</v>
      </c>
      <c r="B62">
        <v>2016</v>
      </c>
      <c r="C62" s="1">
        <f>'rockfish harvests'!K370</f>
        <v>27237.761702821725</v>
      </c>
      <c r="D62" s="1">
        <f>'rockfish harvests'!G370+'rockfish harvests'!E370</f>
        <v>9431</v>
      </c>
      <c r="E62" s="17">
        <f t="shared" si="0"/>
        <v>0.65375275314847237</v>
      </c>
    </row>
    <row r="63" spans="1:6" x14ac:dyDescent="0.3">
      <c r="A63" t="s">
        <v>40</v>
      </c>
      <c r="B63">
        <v>2017</v>
      </c>
      <c r="C63" s="1">
        <f>'rockfish harvests'!K371</f>
        <v>28180.221332705438</v>
      </c>
      <c r="D63" s="1">
        <f>'rockfish harvests'!G371+'rockfish harvests'!E371</f>
        <v>11530</v>
      </c>
      <c r="E63" s="17">
        <f t="shared" si="0"/>
        <v>0.59084778420038531</v>
      </c>
    </row>
    <row r="64" spans="1:6" x14ac:dyDescent="0.3">
      <c r="A64" t="s">
        <v>40</v>
      </c>
      <c r="B64">
        <v>2018</v>
      </c>
      <c r="C64" s="1">
        <f>'rockfish harvests'!K372</f>
        <v>39816.635899450121</v>
      </c>
      <c r="D64" s="1">
        <f>'rockfish harvests'!G372+'rockfish harvests'!E372</f>
        <v>11285</v>
      </c>
      <c r="E64" s="17">
        <f t="shared" si="0"/>
        <v>0.71657575420238229</v>
      </c>
    </row>
    <row r="65" spans="1:5" x14ac:dyDescent="0.3">
      <c r="A65" t="s">
        <v>40</v>
      </c>
      <c r="B65">
        <v>2019</v>
      </c>
      <c r="C65" s="1">
        <f>'rockfish harvests'!K373</f>
        <v>39271.985999299963</v>
      </c>
      <c r="D65" s="1">
        <f>'rockfish harvests'!G373+'rockfish harvests'!E373</f>
        <v>9794</v>
      </c>
      <c r="E65" s="17">
        <f>(C65-D65)/C65</f>
        <v>0.75061103351955305</v>
      </c>
    </row>
    <row r="66" spans="1:5" x14ac:dyDescent="0.3">
      <c r="A66" t="s">
        <v>40</v>
      </c>
      <c r="B66">
        <v>2020</v>
      </c>
      <c r="C66" s="1">
        <f>'rockfish harvests'!K374</f>
        <v>15388.622535579058</v>
      </c>
      <c r="D66" s="1">
        <f>'rockfish harvests'!G374+'rockfish harvests'!E374</f>
        <v>9340</v>
      </c>
      <c r="E66" s="17">
        <f t="shared" ref="E66:E67" si="6">(C66-D66)/C66</f>
        <v>0.39305808701164913</v>
      </c>
    </row>
    <row r="67" spans="1:5" x14ac:dyDescent="0.3">
      <c r="A67" t="s">
        <v>40</v>
      </c>
      <c r="B67">
        <v>2021</v>
      </c>
      <c r="C67" s="1">
        <f>'rockfish harvests'!K375</f>
        <v>31069.087000071548</v>
      </c>
      <c r="D67" s="1">
        <f>'rockfish harvests'!G375+'rockfish harvests'!E375</f>
        <v>14771</v>
      </c>
      <c r="E67" s="17">
        <f t="shared" si="6"/>
        <v>0.52457566583897419</v>
      </c>
    </row>
    <row r="68" spans="1:5" x14ac:dyDescent="0.3">
      <c r="C68" s="1"/>
      <c r="D68" s="1"/>
    </row>
    <row r="69" spans="1:5" x14ac:dyDescent="0.3">
      <c r="C69" s="1"/>
      <c r="D69" s="1"/>
    </row>
    <row r="70" spans="1:5" x14ac:dyDescent="0.3">
      <c r="C70" s="1"/>
      <c r="D70" s="1"/>
    </row>
    <row r="71" spans="1:5" x14ac:dyDescent="0.3">
      <c r="C71" s="1"/>
      <c r="D71" s="1"/>
    </row>
    <row r="72" spans="1:5" x14ac:dyDescent="0.3">
      <c r="C72" s="1"/>
      <c r="D72" s="1"/>
    </row>
    <row r="73" spans="1:5" x14ac:dyDescent="0.3">
      <c r="C73" s="1"/>
      <c r="D73" s="1"/>
    </row>
    <row r="74" spans="1:5" x14ac:dyDescent="0.3">
      <c r="C74" s="1"/>
      <c r="D74" s="1"/>
    </row>
    <row r="75" spans="1:5" x14ac:dyDescent="0.3">
      <c r="C75" s="1"/>
      <c r="D75" s="1"/>
    </row>
    <row r="76" spans="1:5" x14ac:dyDescent="0.3">
      <c r="C76" s="1"/>
      <c r="D76" s="1"/>
    </row>
    <row r="77" spans="1:5" x14ac:dyDescent="0.3">
      <c r="C77" s="1"/>
      <c r="D77" s="1"/>
    </row>
    <row r="78" spans="1:5" x14ac:dyDescent="0.3">
      <c r="C78" s="1"/>
      <c r="D78" s="1"/>
    </row>
    <row r="79" spans="1:5" x14ac:dyDescent="0.3">
      <c r="C79" s="1"/>
      <c r="D79" s="1"/>
    </row>
    <row r="80" spans="1:5" x14ac:dyDescent="0.3">
      <c r="C80" s="1"/>
      <c r="D80" s="1"/>
    </row>
    <row r="81" spans="3:4" x14ac:dyDescent="0.3">
      <c r="C81" s="1"/>
      <c r="D81" s="1"/>
    </row>
    <row r="82" spans="3:4" x14ac:dyDescent="0.3">
      <c r="C82" s="1"/>
      <c r="D82" s="1"/>
    </row>
    <row r="83" spans="3:4" x14ac:dyDescent="0.3">
      <c r="C83" s="1"/>
      <c r="D83" s="1"/>
    </row>
    <row r="84" spans="3:4" x14ac:dyDescent="0.3">
      <c r="C84" s="1"/>
      <c r="D84" s="1"/>
    </row>
    <row r="85" spans="3:4" x14ac:dyDescent="0.3">
      <c r="C85" s="1"/>
      <c r="D85" s="1"/>
    </row>
    <row r="86" spans="3:4" x14ac:dyDescent="0.3">
      <c r="C86" s="1"/>
      <c r="D86" s="1"/>
    </row>
    <row r="87" spans="3:4" x14ac:dyDescent="0.3">
      <c r="C87" s="1"/>
      <c r="D87" s="1"/>
    </row>
    <row r="88" spans="3:4" x14ac:dyDescent="0.3">
      <c r="C88" s="1"/>
      <c r="D88" s="1"/>
    </row>
    <row r="89" spans="3:4" x14ac:dyDescent="0.3">
      <c r="C89" s="1"/>
      <c r="D89" s="1"/>
    </row>
    <row r="90" spans="3:4" x14ac:dyDescent="0.3">
      <c r="C90" s="1"/>
      <c r="D90" s="1"/>
    </row>
    <row r="91" spans="3:4" x14ac:dyDescent="0.3">
      <c r="C91" s="1"/>
      <c r="D91" s="1"/>
    </row>
    <row r="92" spans="3:4" x14ac:dyDescent="0.3">
      <c r="C92" s="1"/>
      <c r="D92" s="1"/>
    </row>
    <row r="93" spans="3:4" x14ac:dyDescent="0.3">
      <c r="C93" s="1"/>
      <c r="D93" s="1"/>
    </row>
    <row r="94" spans="3:4" x14ac:dyDescent="0.3">
      <c r="C94" s="1"/>
      <c r="D94" s="1"/>
    </row>
    <row r="95" spans="3:4" x14ac:dyDescent="0.3">
      <c r="C95" s="1"/>
      <c r="D95" s="1"/>
    </row>
    <row r="96" spans="3:4" x14ac:dyDescent="0.3">
      <c r="C96" s="1"/>
      <c r="D96" s="1"/>
    </row>
    <row r="97" spans="3:4" x14ac:dyDescent="0.3">
      <c r="C97" s="1"/>
      <c r="D97" s="1"/>
    </row>
    <row r="98" spans="3:4" x14ac:dyDescent="0.3">
      <c r="C98" s="1"/>
      <c r="D98" s="1"/>
    </row>
    <row r="99" spans="3:4" x14ac:dyDescent="0.3">
      <c r="C99" s="1"/>
      <c r="D99" s="1"/>
    </row>
    <row r="100" spans="3:4" x14ac:dyDescent="0.3">
      <c r="C100" s="1"/>
      <c r="D100" s="1"/>
    </row>
    <row r="101" spans="3:4" x14ac:dyDescent="0.3">
      <c r="C101" s="1"/>
      <c r="D101" s="1"/>
    </row>
    <row r="102" spans="3:4" x14ac:dyDescent="0.3">
      <c r="C102" s="1"/>
      <c r="D102" s="1"/>
    </row>
    <row r="103" spans="3:4" x14ac:dyDescent="0.3">
      <c r="C103" s="1"/>
      <c r="D103" s="1"/>
    </row>
    <row r="104" spans="3:4" x14ac:dyDescent="0.3">
      <c r="C104" s="1"/>
      <c r="D104" s="1"/>
    </row>
    <row r="105" spans="3:4" x14ac:dyDescent="0.3">
      <c r="C105" s="1"/>
      <c r="D105" s="1"/>
    </row>
    <row r="106" spans="3:4" x14ac:dyDescent="0.3">
      <c r="C106" s="1"/>
      <c r="D106" s="1"/>
    </row>
    <row r="107" spans="3:4" x14ac:dyDescent="0.3">
      <c r="C107" s="1"/>
      <c r="D107" s="1"/>
    </row>
    <row r="108" spans="3:4" x14ac:dyDescent="0.3">
      <c r="C108" s="1"/>
      <c r="D108" s="1"/>
    </row>
    <row r="109" spans="3:4" x14ac:dyDescent="0.3">
      <c r="C109" s="1"/>
      <c r="D109" s="1"/>
    </row>
    <row r="110" spans="3:4" x14ac:dyDescent="0.3">
      <c r="C110" s="1"/>
      <c r="D110" s="1"/>
    </row>
    <row r="111" spans="3:4" x14ac:dyDescent="0.3">
      <c r="C111" s="1"/>
      <c r="D111" s="1"/>
    </row>
    <row r="112" spans="3:4" x14ac:dyDescent="0.3">
      <c r="C112" s="1"/>
      <c r="D112" s="1"/>
    </row>
    <row r="113" spans="3:4" x14ac:dyDescent="0.3">
      <c r="C113" s="1"/>
      <c r="D113" s="1"/>
    </row>
    <row r="114" spans="3:4" x14ac:dyDescent="0.3">
      <c r="C114" s="1"/>
      <c r="D114" s="1"/>
    </row>
    <row r="115" spans="3:4" x14ac:dyDescent="0.3">
      <c r="C115" s="1"/>
      <c r="D115" s="1"/>
    </row>
    <row r="116" spans="3:4" x14ac:dyDescent="0.3">
      <c r="C116" s="1"/>
      <c r="D116" s="1"/>
    </row>
    <row r="117" spans="3:4" x14ac:dyDescent="0.3">
      <c r="C117" s="1"/>
      <c r="D117" s="1"/>
    </row>
    <row r="118" spans="3:4" x14ac:dyDescent="0.3">
      <c r="C118" s="1"/>
      <c r="D118" s="1"/>
    </row>
    <row r="119" spans="3:4" x14ac:dyDescent="0.3">
      <c r="C119" s="1"/>
      <c r="D119" s="1"/>
    </row>
    <row r="120" spans="3:4" x14ac:dyDescent="0.3">
      <c r="C120" s="1"/>
      <c r="D120" s="1"/>
    </row>
    <row r="121" spans="3:4" x14ac:dyDescent="0.3">
      <c r="C121" s="1"/>
      <c r="D121" s="1"/>
    </row>
    <row r="122" spans="3:4" x14ac:dyDescent="0.3">
      <c r="C122" s="1"/>
      <c r="D122" s="1"/>
    </row>
    <row r="123" spans="3:4" x14ac:dyDescent="0.3">
      <c r="C123" s="1"/>
      <c r="D123" s="1"/>
    </row>
    <row r="124" spans="3:4" x14ac:dyDescent="0.3">
      <c r="C124" s="1"/>
      <c r="D124" s="1"/>
    </row>
    <row r="125" spans="3:4" x14ac:dyDescent="0.3">
      <c r="C125" s="1"/>
      <c r="D125" s="1"/>
    </row>
    <row r="126" spans="3:4" x14ac:dyDescent="0.3">
      <c r="C126" s="1"/>
      <c r="D126" s="1"/>
    </row>
    <row r="127" spans="3:4" x14ac:dyDescent="0.3">
      <c r="C127" s="1"/>
      <c r="D127" s="1"/>
    </row>
    <row r="128" spans="3:4" x14ac:dyDescent="0.3">
      <c r="C128" s="1"/>
      <c r="D128" s="1"/>
    </row>
    <row r="129" spans="3:4" x14ac:dyDescent="0.3">
      <c r="C129" s="1"/>
      <c r="D129" s="1"/>
    </row>
    <row r="130" spans="3:4" x14ac:dyDescent="0.3">
      <c r="C130" s="1"/>
      <c r="D130" s="1"/>
    </row>
    <row r="131" spans="3:4" x14ac:dyDescent="0.3">
      <c r="C131" s="1"/>
      <c r="D131" s="1"/>
    </row>
    <row r="132" spans="3:4" x14ac:dyDescent="0.3">
      <c r="C132" s="1"/>
      <c r="D132" s="1"/>
    </row>
    <row r="133" spans="3:4" x14ac:dyDescent="0.3">
      <c r="C133" s="1"/>
      <c r="D133" s="1"/>
    </row>
    <row r="134" spans="3:4" x14ac:dyDescent="0.3">
      <c r="C134" s="1"/>
      <c r="D134" s="1"/>
    </row>
    <row r="135" spans="3:4" x14ac:dyDescent="0.3">
      <c r="C135" s="1"/>
      <c r="D135" s="1"/>
    </row>
    <row r="136" spans="3:4" x14ac:dyDescent="0.3">
      <c r="C136" s="1"/>
      <c r="D136" s="1"/>
    </row>
    <row r="137" spans="3:4" x14ac:dyDescent="0.3">
      <c r="C137" s="1"/>
      <c r="D137" s="1"/>
    </row>
    <row r="138" spans="3:4" x14ac:dyDescent="0.3">
      <c r="C138" s="1"/>
      <c r="D138" s="1"/>
    </row>
    <row r="139" spans="3:4" x14ac:dyDescent="0.3">
      <c r="C139" s="1"/>
      <c r="D139" s="1"/>
    </row>
    <row r="140" spans="3:4" x14ac:dyDescent="0.3">
      <c r="C140" s="1"/>
      <c r="D140" s="1"/>
    </row>
    <row r="141" spans="3:4" x14ac:dyDescent="0.3">
      <c r="C141" s="1"/>
      <c r="D141" s="1"/>
    </row>
    <row r="142" spans="3:4" x14ac:dyDescent="0.3">
      <c r="C142" s="1"/>
      <c r="D142" s="1"/>
    </row>
    <row r="143" spans="3:4" x14ac:dyDescent="0.3">
      <c r="C143" s="1"/>
      <c r="D143" s="1"/>
    </row>
    <row r="144" spans="3:4" x14ac:dyDescent="0.3">
      <c r="C144" s="1"/>
      <c r="D144" s="1"/>
    </row>
    <row r="145" spans="3:4" x14ac:dyDescent="0.3">
      <c r="C145" s="1"/>
      <c r="D145" s="1"/>
    </row>
    <row r="146" spans="3:4" x14ac:dyDescent="0.3">
      <c r="C146" s="1"/>
      <c r="D146" s="1"/>
    </row>
    <row r="147" spans="3:4" x14ac:dyDescent="0.3">
      <c r="C147" s="1"/>
      <c r="D147" s="1"/>
    </row>
    <row r="148" spans="3:4" x14ac:dyDescent="0.3">
      <c r="C148" s="1"/>
      <c r="D148" s="1"/>
    </row>
    <row r="149" spans="3:4" x14ac:dyDescent="0.3">
      <c r="C149" s="1"/>
      <c r="D149" s="1"/>
    </row>
    <row r="150" spans="3:4" x14ac:dyDescent="0.3">
      <c r="C150" s="1"/>
      <c r="D150" s="1"/>
    </row>
    <row r="151" spans="3:4" x14ac:dyDescent="0.3">
      <c r="C151" s="1"/>
      <c r="D151" s="1"/>
    </row>
    <row r="152" spans="3:4" x14ac:dyDescent="0.3">
      <c r="C152" s="1"/>
      <c r="D152" s="1"/>
    </row>
    <row r="153" spans="3:4" x14ac:dyDescent="0.3">
      <c r="C153" s="1"/>
      <c r="D153" s="1"/>
    </row>
    <row r="154" spans="3:4" x14ac:dyDescent="0.3">
      <c r="C154" s="1"/>
      <c r="D154" s="1"/>
    </row>
    <row r="155" spans="3:4" x14ac:dyDescent="0.3">
      <c r="C155" s="1"/>
      <c r="D155" s="1"/>
    </row>
    <row r="156" spans="3:4" x14ac:dyDescent="0.3">
      <c r="C156" s="1"/>
      <c r="D156" s="1"/>
    </row>
    <row r="157" spans="3:4" x14ac:dyDescent="0.3">
      <c r="C157" s="1"/>
      <c r="D157" s="1"/>
    </row>
    <row r="158" spans="3:4" x14ac:dyDescent="0.3">
      <c r="C158" s="1"/>
      <c r="D158" s="1"/>
    </row>
    <row r="159" spans="3:4" x14ac:dyDescent="0.3">
      <c r="C159" s="1"/>
      <c r="D159" s="1"/>
    </row>
    <row r="160" spans="3:4" x14ac:dyDescent="0.3">
      <c r="C160" s="1"/>
      <c r="D160" s="1"/>
    </row>
    <row r="161" spans="3:4" x14ac:dyDescent="0.3">
      <c r="C161" s="1"/>
      <c r="D161" s="1"/>
    </row>
    <row r="162" spans="3:4" x14ac:dyDescent="0.3">
      <c r="C162" s="1"/>
      <c r="D162" s="1"/>
    </row>
    <row r="163" spans="3:4" x14ac:dyDescent="0.3">
      <c r="C163" s="1"/>
      <c r="D163" s="1"/>
    </row>
    <row r="164" spans="3:4" x14ac:dyDescent="0.3">
      <c r="C164" s="1"/>
      <c r="D164" s="1"/>
    </row>
    <row r="165" spans="3:4" x14ac:dyDescent="0.3">
      <c r="C165" s="1"/>
      <c r="D165" s="1"/>
    </row>
    <row r="166" spans="3:4" x14ac:dyDescent="0.3">
      <c r="C166" s="1"/>
      <c r="D166" s="1"/>
    </row>
    <row r="167" spans="3:4" x14ac:dyDescent="0.3">
      <c r="C167" s="1"/>
      <c r="D167" s="1"/>
    </row>
    <row r="168" spans="3:4" x14ac:dyDescent="0.3">
      <c r="C168" s="1"/>
      <c r="D168" s="1"/>
    </row>
    <row r="169" spans="3:4" x14ac:dyDescent="0.3">
      <c r="C169" s="1"/>
      <c r="D169" s="1"/>
    </row>
    <row r="170" spans="3:4" x14ac:dyDescent="0.3">
      <c r="C170" s="1"/>
      <c r="D170" s="1"/>
    </row>
    <row r="171" spans="3:4" x14ac:dyDescent="0.3">
      <c r="C171" s="1"/>
      <c r="D171" s="1"/>
    </row>
    <row r="172" spans="3:4" x14ac:dyDescent="0.3">
      <c r="C172" s="1"/>
      <c r="D172" s="1"/>
    </row>
    <row r="173" spans="3:4" x14ac:dyDescent="0.3">
      <c r="C173" s="1"/>
      <c r="D173" s="1"/>
    </row>
    <row r="174" spans="3:4" x14ac:dyDescent="0.3">
      <c r="C174" s="1"/>
      <c r="D174" s="1"/>
    </row>
    <row r="175" spans="3:4" x14ac:dyDescent="0.3">
      <c r="C175" s="1"/>
      <c r="D175" s="1"/>
    </row>
    <row r="176" spans="3:4" x14ac:dyDescent="0.3">
      <c r="C176" s="1"/>
      <c r="D176" s="1"/>
    </row>
    <row r="177" spans="3:4" x14ac:dyDescent="0.3">
      <c r="C177" s="1"/>
      <c r="D177" s="1"/>
    </row>
    <row r="178" spans="3:4" x14ac:dyDescent="0.3">
      <c r="C178" s="1"/>
      <c r="D178" s="1"/>
    </row>
    <row r="179" spans="3:4" x14ac:dyDescent="0.3">
      <c r="C179" s="1"/>
      <c r="D179" s="1"/>
    </row>
    <row r="180" spans="3:4" x14ac:dyDescent="0.3">
      <c r="C180" s="1"/>
      <c r="D180" s="1"/>
    </row>
    <row r="181" spans="3:4" x14ac:dyDescent="0.3">
      <c r="C181" s="1"/>
      <c r="D181" s="1"/>
    </row>
    <row r="182" spans="3:4" x14ac:dyDescent="0.3">
      <c r="C182" s="1"/>
      <c r="D182" s="1"/>
    </row>
    <row r="183" spans="3:4" x14ac:dyDescent="0.3">
      <c r="C183" s="1"/>
      <c r="D183" s="1"/>
    </row>
    <row r="184" spans="3:4" x14ac:dyDescent="0.3">
      <c r="C184" s="1"/>
      <c r="D184" s="1"/>
    </row>
    <row r="185" spans="3:4" x14ac:dyDescent="0.3">
      <c r="C185" s="1"/>
      <c r="D185" s="1"/>
    </row>
    <row r="186" spans="3:4" x14ac:dyDescent="0.3">
      <c r="C186" s="1"/>
      <c r="D186" s="1"/>
    </row>
    <row r="187" spans="3:4" x14ac:dyDescent="0.3">
      <c r="C187" s="1"/>
      <c r="D187" s="1"/>
    </row>
    <row r="188" spans="3:4" x14ac:dyDescent="0.3">
      <c r="C188" s="1"/>
      <c r="D188" s="1"/>
    </row>
    <row r="189" spans="3:4" x14ac:dyDescent="0.3">
      <c r="C189" s="1"/>
      <c r="D189" s="1"/>
    </row>
    <row r="190" spans="3:4" x14ac:dyDescent="0.3">
      <c r="C190" s="1"/>
      <c r="D190" s="1"/>
    </row>
    <row r="191" spans="3:4" x14ac:dyDescent="0.3">
      <c r="C191" s="1"/>
      <c r="D191" s="1"/>
    </row>
    <row r="192" spans="3:4" x14ac:dyDescent="0.3">
      <c r="C192" s="1"/>
      <c r="D192" s="1"/>
    </row>
    <row r="193" spans="3:4" x14ac:dyDescent="0.3">
      <c r="C193" s="1"/>
      <c r="D193" s="1"/>
    </row>
    <row r="194" spans="3:4" x14ac:dyDescent="0.3">
      <c r="C194" s="1"/>
      <c r="D194" s="1"/>
    </row>
    <row r="195" spans="3:4" x14ac:dyDescent="0.3">
      <c r="C195" s="1"/>
      <c r="D195" s="1"/>
    </row>
    <row r="196" spans="3:4" x14ac:dyDescent="0.3">
      <c r="C196" s="1"/>
      <c r="D196" s="1"/>
    </row>
    <row r="197" spans="3:4" x14ac:dyDescent="0.3">
      <c r="C197" s="1"/>
      <c r="D197" s="1"/>
    </row>
    <row r="198" spans="3:4" x14ac:dyDescent="0.3">
      <c r="C198" s="1"/>
      <c r="D198" s="1"/>
    </row>
    <row r="199" spans="3:4" x14ac:dyDescent="0.3">
      <c r="C199" s="1"/>
      <c r="D199" s="1"/>
    </row>
    <row r="200" spans="3:4" x14ac:dyDescent="0.3">
      <c r="C200" s="1"/>
      <c r="D200" s="1"/>
    </row>
    <row r="201" spans="3:4" x14ac:dyDescent="0.3">
      <c r="C201" s="1"/>
      <c r="D201" s="1"/>
    </row>
    <row r="202" spans="3:4" x14ac:dyDescent="0.3">
      <c r="C202" s="1"/>
      <c r="D202" s="1"/>
    </row>
    <row r="203" spans="3:4" x14ac:dyDescent="0.3">
      <c r="C203" s="1"/>
      <c r="D203" s="1"/>
    </row>
    <row r="204" spans="3:4" x14ac:dyDescent="0.3">
      <c r="C204" s="1"/>
      <c r="D204" s="1"/>
    </row>
    <row r="205" spans="3:4" x14ac:dyDescent="0.3">
      <c r="C205" s="1"/>
      <c r="D205" s="1"/>
    </row>
    <row r="206" spans="3:4" x14ac:dyDescent="0.3">
      <c r="C206" s="1"/>
      <c r="D206" s="1"/>
    </row>
    <row r="207" spans="3:4" x14ac:dyDescent="0.3">
      <c r="C207" s="1"/>
      <c r="D207" s="1"/>
    </row>
    <row r="208" spans="3:4" x14ac:dyDescent="0.3">
      <c r="C208" s="1"/>
      <c r="D208" s="1"/>
    </row>
    <row r="209" spans="3:4" x14ac:dyDescent="0.3">
      <c r="C209" s="1"/>
      <c r="D209" s="1"/>
    </row>
    <row r="210" spans="3:4" x14ac:dyDescent="0.3">
      <c r="C210" s="1"/>
      <c r="D210" s="1"/>
    </row>
    <row r="211" spans="3:4" x14ac:dyDescent="0.3">
      <c r="C211" s="1"/>
      <c r="D211" s="1"/>
    </row>
    <row r="212" spans="3:4" x14ac:dyDescent="0.3">
      <c r="C212" s="1"/>
      <c r="D212" s="1"/>
    </row>
    <row r="213" spans="3:4" x14ac:dyDescent="0.3">
      <c r="C213" s="1"/>
      <c r="D213" s="1"/>
    </row>
    <row r="214" spans="3:4" x14ac:dyDescent="0.3">
      <c r="C214" s="1"/>
      <c r="D214" s="1"/>
    </row>
    <row r="215" spans="3:4" x14ac:dyDescent="0.3">
      <c r="C215" s="1"/>
      <c r="D215" s="1"/>
    </row>
    <row r="216" spans="3:4" x14ac:dyDescent="0.3">
      <c r="C216" s="1"/>
      <c r="D216" s="1"/>
    </row>
    <row r="217" spans="3:4" x14ac:dyDescent="0.3">
      <c r="C217" s="1"/>
      <c r="D217" s="1"/>
    </row>
    <row r="218" spans="3:4" x14ac:dyDescent="0.3">
      <c r="C218" s="1"/>
      <c r="D218" s="1"/>
    </row>
    <row r="219" spans="3:4" x14ac:dyDescent="0.3">
      <c r="C219" s="1"/>
      <c r="D219" s="1"/>
    </row>
    <row r="220" spans="3:4" x14ac:dyDescent="0.3">
      <c r="C220" s="1"/>
      <c r="D220" s="1"/>
    </row>
    <row r="221" spans="3:4" x14ac:dyDescent="0.3">
      <c r="C221" s="1"/>
      <c r="D221" s="1"/>
    </row>
    <row r="222" spans="3:4" x14ac:dyDescent="0.3">
      <c r="C222" s="1"/>
      <c r="D222" s="1"/>
    </row>
    <row r="223" spans="3:4" x14ac:dyDescent="0.3">
      <c r="C223" s="1"/>
      <c r="D223" s="1"/>
    </row>
    <row r="224" spans="3:4" x14ac:dyDescent="0.3">
      <c r="C224" s="1"/>
      <c r="D224" s="1"/>
    </row>
    <row r="225" spans="3:4" x14ac:dyDescent="0.3">
      <c r="C225" s="1"/>
      <c r="D225" s="1"/>
    </row>
    <row r="226" spans="3:4" x14ac:dyDescent="0.3">
      <c r="C226" s="1"/>
      <c r="D226" s="1"/>
    </row>
    <row r="227" spans="3:4" x14ac:dyDescent="0.3">
      <c r="C227" s="1"/>
      <c r="D227" s="1"/>
    </row>
    <row r="228" spans="3:4" x14ac:dyDescent="0.3">
      <c r="C228" s="1"/>
      <c r="D228" s="1"/>
    </row>
    <row r="229" spans="3:4" x14ac:dyDescent="0.3">
      <c r="C229" s="1"/>
      <c r="D229" s="1"/>
    </row>
    <row r="230" spans="3:4" x14ac:dyDescent="0.3">
      <c r="C230" s="1"/>
      <c r="D230" s="1"/>
    </row>
    <row r="231" spans="3:4" x14ac:dyDescent="0.3">
      <c r="C231" s="1"/>
      <c r="D231" s="1"/>
    </row>
    <row r="232" spans="3:4" x14ac:dyDescent="0.3">
      <c r="C232" s="1"/>
      <c r="D232" s="1"/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87BC5-DBD7-41CA-80A3-7DD6FED4FBBE}">
  <sheetPr>
    <tabColor theme="0" tint="-0.499984740745262"/>
  </sheetPr>
  <dimension ref="A1:AN193"/>
  <sheetViews>
    <sheetView zoomScale="90" zoomScaleNormal="90" workbookViewId="0">
      <selection activeCell="K197" sqref="K197"/>
    </sheetView>
  </sheetViews>
  <sheetFormatPr defaultRowHeight="14.4" x14ac:dyDescent="0.3"/>
  <cols>
    <col min="39" max="39" width="13.33203125" customWidth="1"/>
  </cols>
  <sheetData>
    <row r="1" spans="1:40" ht="43.2" x14ac:dyDescent="0.3">
      <c r="A1" s="3" t="s">
        <v>2</v>
      </c>
      <c r="B1" s="3" t="s">
        <v>3</v>
      </c>
      <c r="C1" s="3" t="s">
        <v>4</v>
      </c>
      <c r="D1" s="3" t="s">
        <v>6</v>
      </c>
      <c r="E1" s="3" t="s">
        <v>7</v>
      </c>
      <c r="F1" s="3" t="s">
        <v>43</v>
      </c>
      <c r="G1" s="3" t="s">
        <v>37</v>
      </c>
    </row>
    <row r="2" spans="1:40" x14ac:dyDescent="0.3">
      <c r="A2">
        <v>2011</v>
      </c>
      <c r="B2" t="s">
        <v>40</v>
      </c>
      <c r="C2">
        <f>'rockfish harvests'!D365</f>
        <v>11926</v>
      </c>
      <c r="D2">
        <f>'rockfish harvests'!E365</f>
        <v>10660</v>
      </c>
      <c r="E2">
        <f>'rockfish harvests'!F365</f>
        <v>3867387.9387297141</v>
      </c>
      <c r="F2">
        <f>SQRT(E2)</f>
        <v>1966.56755254675</v>
      </c>
      <c r="G2">
        <f>1.96*F2</f>
        <v>3854.4724029916301</v>
      </c>
      <c r="AM2" s="19" t="s">
        <v>55</v>
      </c>
      <c r="AN2" s="19" t="s">
        <v>56</v>
      </c>
    </row>
    <row r="3" spans="1:40" x14ac:dyDescent="0.3">
      <c r="A3">
        <v>2012</v>
      </c>
      <c r="B3" t="s">
        <v>40</v>
      </c>
      <c r="C3">
        <f>'rockfish harvests'!D366</f>
        <v>14290</v>
      </c>
      <c r="D3">
        <f>'rockfish harvests'!E366</f>
        <v>10532</v>
      </c>
      <c r="E3">
        <f>'rockfish harvests'!F366</f>
        <v>1809865.8409519477</v>
      </c>
      <c r="F3">
        <f t="shared" ref="F3:F98" si="0">SQRT(E3)</f>
        <v>1345.31254396588</v>
      </c>
      <c r="G3">
        <f t="shared" ref="G3:G98" si="1">1.96*F3</f>
        <v>2636.8125861731246</v>
      </c>
      <c r="AM3" t="s">
        <v>35</v>
      </c>
      <c r="AN3" s="17">
        <f>7/8</f>
        <v>0.875</v>
      </c>
    </row>
    <row r="4" spans="1:40" x14ac:dyDescent="0.3">
      <c r="A4">
        <v>2013</v>
      </c>
      <c r="B4" t="s">
        <v>40</v>
      </c>
      <c r="C4">
        <f>'rockfish harvests'!D367</f>
        <v>15619</v>
      </c>
      <c r="D4">
        <f>'rockfish harvests'!E367</f>
        <v>6679</v>
      </c>
      <c r="E4">
        <f>'rockfish harvests'!F367</f>
        <v>1120758.7991991951</v>
      </c>
      <c r="F4">
        <f t="shared" si="0"/>
        <v>1058.6589626500099</v>
      </c>
      <c r="G4">
        <f t="shared" si="1"/>
        <v>2074.9715667940195</v>
      </c>
      <c r="AM4" t="s">
        <v>46</v>
      </c>
      <c r="AN4" s="17">
        <v>1</v>
      </c>
    </row>
    <row r="5" spans="1:40" x14ac:dyDescent="0.3">
      <c r="A5">
        <v>2014</v>
      </c>
      <c r="B5" t="s">
        <v>40</v>
      </c>
      <c r="C5">
        <f>'rockfish harvests'!D368</f>
        <v>18453</v>
      </c>
      <c r="D5">
        <f>'rockfish harvests'!E368</f>
        <v>7370</v>
      </c>
      <c r="E5">
        <f>'rockfish harvests'!F368</f>
        <v>1795956.444219216</v>
      </c>
      <c r="F5">
        <f t="shared" si="0"/>
        <v>1340.13299497446</v>
      </c>
      <c r="G5">
        <f t="shared" si="1"/>
        <v>2626.6606701499413</v>
      </c>
      <c r="AM5" t="s">
        <v>47</v>
      </c>
      <c r="AN5" s="17">
        <f>6/8</f>
        <v>0.75</v>
      </c>
    </row>
    <row r="6" spans="1:40" x14ac:dyDescent="0.3">
      <c r="A6">
        <v>2015</v>
      </c>
      <c r="B6" t="s">
        <v>40</v>
      </c>
      <c r="C6">
        <f>'rockfish harvests'!D369</f>
        <v>17669</v>
      </c>
      <c r="D6">
        <f>'rockfish harvests'!E369</f>
        <v>5794</v>
      </c>
      <c r="E6">
        <f>'rockfish harvests'!F369</f>
        <v>1165829.0123683619</v>
      </c>
      <c r="F6">
        <f t="shared" si="0"/>
        <v>1079.73562151499</v>
      </c>
      <c r="G6">
        <f t="shared" si="1"/>
        <v>2116.2818181693806</v>
      </c>
      <c r="AM6" t="s">
        <v>48</v>
      </c>
      <c r="AN6" s="17">
        <f>7/8</f>
        <v>0.875</v>
      </c>
    </row>
    <row r="7" spans="1:40" x14ac:dyDescent="0.3">
      <c r="A7">
        <v>2016</v>
      </c>
      <c r="B7" t="s">
        <v>40</v>
      </c>
      <c r="C7">
        <f>'rockfish harvests'!D370</f>
        <v>17707</v>
      </c>
      <c r="D7">
        <f>'rockfish harvests'!E370</f>
        <v>6131</v>
      </c>
      <c r="E7">
        <f>'rockfish harvests'!F370</f>
        <v>1340603.0809649625</v>
      </c>
      <c r="F7">
        <f t="shared" si="0"/>
        <v>1157.84415227826</v>
      </c>
      <c r="G7">
        <f t="shared" si="1"/>
        <v>2269.3745384653898</v>
      </c>
      <c r="AM7" t="s">
        <v>49</v>
      </c>
      <c r="AN7" s="17">
        <f>6/8</f>
        <v>0.75</v>
      </c>
    </row>
    <row r="8" spans="1:40" x14ac:dyDescent="0.3">
      <c r="A8">
        <v>2017</v>
      </c>
      <c r="B8" t="s">
        <v>40</v>
      </c>
      <c r="C8">
        <f>'rockfish harvests'!D371</f>
        <v>20760</v>
      </c>
      <c r="D8">
        <f>'rockfish harvests'!E371</f>
        <v>8494</v>
      </c>
      <c r="E8">
        <f>'rockfish harvests'!F371</f>
        <v>2665750.1723964033</v>
      </c>
      <c r="F8">
        <f t="shared" si="0"/>
        <v>1632.71251982595</v>
      </c>
      <c r="G8">
        <f t="shared" si="1"/>
        <v>3200.116538858862</v>
      </c>
      <c r="AM8" t="s">
        <v>36</v>
      </c>
      <c r="AN8" s="17">
        <f>5/8</f>
        <v>0.625</v>
      </c>
    </row>
    <row r="9" spans="1:40" x14ac:dyDescent="0.3">
      <c r="A9">
        <v>2018</v>
      </c>
      <c r="B9" t="s">
        <v>40</v>
      </c>
      <c r="C9">
        <f>'rockfish harvests'!D372</f>
        <v>26949</v>
      </c>
      <c r="D9">
        <f>'rockfish harvests'!E372</f>
        <v>7638</v>
      </c>
      <c r="E9">
        <f>'rockfish harvests'!F372</f>
        <v>1429079.7715305276</v>
      </c>
      <c r="F9">
        <f>SQRT(E9)</f>
        <v>1195.4412455367799</v>
      </c>
      <c r="G9">
        <f>1.96*F9</f>
        <v>2343.0648412520886</v>
      </c>
      <c r="AM9" t="s">
        <v>51</v>
      </c>
      <c r="AN9" s="18">
        <v>0</v>
      </c>
    </row>
    <row r="10" spans="1:40" x14ac:dyDescent="0.3">
      <c r="A10">
        <v>2019</v>
      </c>
      <c r="B10" t="s">
        <v>40</v>
      </c>
      <c r="C10">
        <f>'rockfish harvests'!D373</f>
        <v>22912</v>
      </c>
      <c r="D10">
        <f>'rockfish harvests'!E373</f>
        <v>5714</v>
      </c>
      <c r="E10">
        <f>'rockfish harvests'!F373</f>
        <v>1122352.6726686719</v>
      </c>
      <c r="F10">
        <f>SQRT(E10)</f>
        <v>1059.4114746729299</v>
      </c>
      <c r="G10">
        <f>1.96*F10</f>
        <v>2076.4464903589424</v>
      </c>
      <c r="AN10" s="18"/>
    </row>
    <row r="11" spans="1:40" x14ac:dyDescent="0.3">
      <c r="A11">
        <v>2020</v>
      </c>
      <c r="B11" t="s">
        <v>40</v>
      </c>
      <c r="C11">
        <f>'rockfish harvests'!D374</f>
        <v>12619</v>
      </c>
      <c r="D11">
        <f>'rockfish harvests'!E374</f>
        <v>7659</v>
      </c>
      <c r="E11">
        <f>'rockfish harvests'!F374</f>
        <v>955013.16630230402</v>
      </c>
      <c r="F11">
        <f t="shared" ref="F11" si="2">SQRT(E11)</f>
        <v>977.24775072767704</v>
      </c>
      <c r="G11">
        <f t="shared" ref="G11" si="3">1.96*F11</f>
        <v>1915.4055914262469</v>
      </c>
      <c r="AN11" s="18"/>
    </row>
    <row r="12" spans="1:40" x14ac:dyDescent="0.3">
      <c r="A12">
        <v>2021</v>
      </c>
      <c r="B12" t="s">
        <v>40</v>
      </c>
      <c r="C12">
        <f>'rockfish harvests'!D375</f>
        <v>29399</v>
      </c>
      <c r="D12">
        <f>'rockfish harvests'!E375</f>
        <v>13977</v>
      </c>
      <c r="E12">
        <f>'rockfish harvests'!F375</f>
        <v>3885561.0306306407</v>
      </c>
      <c r="F12">
        <f>SQRT(E12)</f>
        <v>1971.1826477094</v>
      </c>
      <c r="G12">
        <f>1.96*F12</f>
        <v>3863.5179895104238</v>
      </c>
      <c r="AN12" s="18"/>
    </row>
    <row r="13" spans="1:40" x14ac:dyDescent="0.3">
      <c r="A13">
        <v>2022</v>
      </c>
      <c r="B13" t="s">
        <v>40</v>
      </c>
      <c r="C13">
        <f>'rockfish harvests'!D376</f>
        <v>38456</v>
      </c>
      <c r="D13">
        <f>'rockfish harvests'!E376</f>
        <v>16856</v>
      </c>
      <c r="E13">
        <f>'rockfish harvests'!F376</f>
        <v>5442889</v>
      </c>
      <c r="F13">
        <f>SQRT(E13)</f>
        <v>2333</v>
      </c>
      <c r="G13">
        <f>1.96*F13</f>
        <v>4572.68</v>
      </c>
      <c r="AN13" s="18"/>
    </row>
    <row r="14" spans="1:40" x14ac:dyDescent="0.3">
      <c r="A14">
        <v>2011</v>
      </c>
      <c r="B14" t="s">
        <v>39</v>
      </c>
      <c r="C14">
        <f>'rockfish harvests'!D340</f>
        <v>17328</v>
      </c>
      <c r="D14">
        <f>'rockfish harvests'!E340</f>
        <v>9897</v>
      </c>
      <c r="E14">
        <f>'rockfish harvests'!F340</f>
        <v>1560762.9575815795</v>
      </c>
      <c r="F14">
        <f t="shared" si="0"/>
        <v>1249.30498981697</v>
      </c>
      <c r="G14">
        <f t="shared" si="1"/>
        <v>2448.6377800412611</v>
      </c>
      <c r="AM14" t="s">
        <v>52</v>
      </c>
      <c r="AN14" s="18">
        <v>0</v>
      </c>
    </row>
    <row r="15" spans="1:40" x14ac:dyDescent="0.3">
      <c r="A15">
        <v>2012</v>
      </c>
      <c r="B15" t="s">
        <v>39</v>
      </c>
      <c r="C15">
        <f>'rockfish harvests'!D341</f>
        <v>20908</v>
      </c>
      <c r="D15">
        <f>'rockfish harvests'!E341</f>
        <v>10764</v>
      </c>
      <c r="E15">
        <f>'rockfish harvests'!F341</f>
        <v>1295199.6134174168</v>
      </c>
      <c r="F15">
        <f t="shared" si="0"/>
        <v>1138.06836939501</v>
      </c>
      <c r="G15">
        <f t="shared" si="1"/>
        <v>2230.6140040142195</v>
      </c>
      <c r="AM15" t="s">
        <v>53</v>
      </c>
      <c r="AN15" s="18">
        <f>1/8</f>
        <v>0.125</v>
      </c>
    </row>
    <row r="16" spans="1:40" x14ac:dyDescent="0.3">
      <c r="A16">
        <v>2013</v>
      </c>
      <c r="B16" t="s">
        <v>39</v>
      </c>
      <c r="C16">
        <f>'rockfish harvests'!D342</f>
        <v>24779</v>
      </c>
      <c r="D16">
        <f>'rockfish harvests'!E342</f>
        <v>16013</v>
      </c>
      <c r="E16">
        <f>'rockfish harvests'!F342</f>
        <v>3283614.9748748839</v>
      </c>
      <c r="F16">
        <f t="shared" si="0"/>
        <v>1812.0747707737901</v>
      </c>
      <c r="G16">
        <f t="shared" si="1"/>
        <v>3551.6665507166285</v>
      </c>
      <c r="AM16" t="s">
        <v>54</v>
      </c>
      <c r="AN16" s="17">
        <f>7/8</f>
        <v>0.875</v>
      </c>
    </row>
    <row r="17" spans="1:40" x14ac:dyDescent="0.3">
      <c r="A17">
        <v>2014</v>
      </c>
      <c r="B17" t="s">
        <v>39</v>
      </c>
      <c r="C17">
        <f>'rockfish harvests'!D343</f>
        <v>25686</v>
      </c>
      <c r="D17">
        <f>'rockfish harvests'!E343</f>
        <v>22008</v>
      </c>
      <c r="E17">
        <f>'rockfish harvests'!F343</f>
        <v>3750598.6105295285</v>
      </c>
      <c r="F17">
        <f t="shared" si="0"/>
        <v>1936.6462275102101</v>
      </c>
      <c r="G17">
        <f t="shared" si="1"/>
        <v>3795.8266059200118</v>
      </c>
      <c r="AM17" t="s">
        <v>42</v>
      </c>
      <c r="AN17" s="18">
        <f>3/8</f>
        <v>0.375</v>
      </c>
    </row>
    <row r="18" spans="1:40" x14ac:dyDescent="0.3">
      <c r="A18">
        <v>2015</v>
      </c>
      <c r="B18" t="s">
        <v>39</v>
      </c>
      <c r="C18">
        <f>'rockfish harvests'!D344</f>
        <v>29160</v>
      </c>
      <c r="D18">
        <f>'rockfish harvests'!E344</f>
        <v>24718</v>
      </c>
      <c r="E18">
        <f>'rockfish harvests'!F344</f>
        <v>4807157.7314104065</v>
      </c>
      <c r="F18">
        <f t="shared" si="0"/>
        <v>2192.5231427308599</v>
      </c>
      <c r="G18">
        <f t="shared" si="1"/>
        <v>4297.3453597524858</v>
      </c>
      <c r="AM18" t="s">
        <v>44</v>
      </c>
      <c r="AN18" s="18">
        <f>4/8</f>
        <v>0.5</v>
      </c>
    </row>
    <row r="19" spans="1:40" x14ac:dyDescent="0.3">
      <c r="A19">
        <v>2016</v>
      </c>
      <c r="B19" t="s">
        <v>39</v>
      </c>
      <c r="C19">
        <f>'rockfish harvests'!D345</f>
        <v>32540</v>
      </c>
      <c r="D19">
        <f>'rockfish harvests'!E345</f>
        <v>23223</v>
      </c>
      <c r="E19">
        <f>'rockfish harvests'!F345</f>
        <v>6399944.0870460356</v>
      </c>
      <c r="F19">
        <f t="shared" si="0"/>
        <v>2529.8110773427402</v>
      </c>
      <c r="G19">
        <f t="shared" si="1"/>
        <v>4958.4297115917707</v>
      </c>
      <c r="AM19" t="s">
        <v>38</v>
      </c>
      <c r="AN19" s="18">
        <f>4/8</f>
        <v>0.5</v>
      </c>
    </row>
    <row r="20" spans="1:40" x14ac:dyDescent="0.3">
      <c r="A20">
        <v>2017</v>
      </c>
      <c r="B20" t="s">
        <v>39</v>
      </c>
      <c r="C20">
        <f>'rockfish harvests'!D346</f>
        <v>30249</v>
      </c>
      <c r="D20">
        <f>'rockfish harvests'!E346</f>
        <v>17659</v>
      </c>
      <c r="E20">
        <f>'rockfish harvests'!F346</f>
        <v>2770446.5813773801</v>
      </c>
      <c r="F20">
        <f t="shared" si="0"/>
        <v>1664.46585467452</v>
      </c>
      <c r="G20">
        <f t="shared" si="1"/>
        <v>3262.3530751620592</v>
      </c>
      <c r="AM20" t="s">
        <v>41</v>
      </c>
      <c r="AN20" s="18">
        <f>3/8</f>
        <v>0.375</v>
      </c>
    </row>
    <row r="21" spans="1:40" x14ac:dyDescent="0.3">
      <c r="A21">
        <v>2018</v>
      </c>
      <c r="B21" t="s">
        <v>39</v>
      </c>
      <c r="C21">
        <f>'rockfish harvests'!D347</f>
        <v>42049</v>
      </c>
      <c r="D21">
        <f>'rockfish harvests'!E347</f>
        <v>25988</v>
      </c>
      <c r="E21">
        <f>'rockfish harvests'!F347</f>
        <v>4402089.9050961118</v>
      </c>
      <c r="F21">
        <f t="shared" si="0"/>
        <v>2098.1157987813999</v>
      </c>
      <c r="G21">
        <f t="shared" si="1"/>
        <v>4112.306965611544</v>
      </c>
      <c r="AM21" t="s">
        <v>39</v>
      </c>
      <c r="AN21" s="18">
        <f>1/8</f>
        <v>0.125</v>
      </c>
    </row>
    <row r="22" spans="1:40" x14ac:dyDescent="0.3">
      <c r="A22">
        <v>2019</v>
      </c>
      <c r="B22" t="s">
        <v>39</v>
      </c>
      <c r="C22">
        <f>'rockfish harvests'!D348</f>
        <v>35867</v>
      </c>
      <c r="D22">
        <f>'rockfish harvests'!E348</f>
        <v>16087</v>
      </c>
      <c r="E22">
        <f>'rockfish harvests'!F348</f>
        <v>2683845.0087837777</v>
      </c>
      <c r="F22">
        <f>SQRT(E22)</f>
        <v>1638.24448992932</v>
      </c>
      <c r="G22">
        <f>1.96*F22</f>
        <v>3210.9592002614672</v>
      </c>
      <c r="AN22" s="18"/>
    </row>
    <row r="23" spans="1:40" x14ac:dyDescent="0.3">
      <c r="A23">
        <v>2020</v>
      </c>
      <c r="B23" t="s">
        <v>39</v>
      </c>
      <c r="C23">
        <f>'rockfish harvests'!D349</f>
        <v>11107</v>
      </c>
      <c r="D23">
        <f>'rockfish harvests'!E349</f>
        <v>8756</v>
      </c>
      <c r="E23">
        <f>'rockfish harvests'!F349</f>
        <v>896354.9672382368</v>
      </c>
      <c r="F23">
        <f t="shared" ref="F23:F24" si="4">SQRT(E23)</f>
        <v>946.76024802387894</v>
      </c>
      <c r="G23">
        <f t="shared" ref="G23:G24" si="5">1.96*F23</f>
        <v>1855.6500861268028</v>
      </c>
      <c r="AN23" s="18"/>
    </row>
    <row r="24" spans="1:40" x14ac:dyDescent="0.3">
      <c r="A24">
        <v>2021</v>
      </c>
      <c r="B24" t="s">
        <v>39</v>
      </c>
      <c r="C24">
        <f>'rockfish harvests'!D350</f>
        <v>28388</v>
      </c>
      <c r="D24">
        <f>'rockfish harvests'!E350</f>
        <v>25059</v>
      </c>
      <c r="E24">
        <f>'rockfish harvests'!F350</f>
        <v>7645726.3204644928</v>
      </c>
      <c r="F24">
        <f t="shared" si="4"/>
        <v>2765.0906532091299</v>
      </c>
      <c r="G24">
        <f t="shared" si="5"/>
        <v>5419.5776802898945</v>
      </c>
      <c r="AN24" s="18"/>
    </row>
    <row r="25" spans="1:40" x14ac:dyDescent="0.3">
      <c r="A25">
        <v>2022</v>
      </c>
      <c r="B25" t="s">
        <v>39</v>
      </c>
      <c r="C25">
        <f>'rockfish harvests'!D351</f>
        <v>33837</v>
      </c>
      <c r="D25">
        <f>'rockfish harvests'!E351</f>
        <v>28204</v>
      </c>
      <c r="E25">
        <f>'rockfish harvests'!F351</f>
        <v>6817321</v>
      </c>
      <c r="F25">
        <f t="shared" ref="F25" si="6">SQRT(E25)</f>
        <v>2611</v>
      </c>
      <c r="G25">
        <f t="shared" ref="G25" si="7">1.96*F25</f>
        <v>5117.5599999999995</v>
      </c>
      <c r="AN25" s="18"/>
    </row>
    <row r="26" spans="1:40" x14ac:dyDescent="0.3">
      <c r="A26">
        <v>2011</v>
      </c>
      <c r="B26" t="s">
        <v>41</v>
      </c>
      <c r="C26">
        <f>'rockfish harvests'!D315</f>
        <v>8950</v>
      </c>
      <c r="D26">
        <f>'rockfish harvests'!E315</f>
        <v>4628</v>
      </c>
      <c r="E26">
        <f>'rockfish harvests'!F315</f>
        <v>1123011.175286294</v>
      </c>
      <c r="F26">
        <f t="shared" si="0"/>
        <v>1059.72221609547</v>
      </c>
      <c r="G26">
        <f t="shared" si="1"/>
        <v>2077.055543547121</v>
      </c>
      <c r="AM26" t="s">
        <v>40</v>
      </c>
      <c r="AN26" s="18">
        <f>1/8</f>
        <v>0.125</v>
      </c>
    </row>
    <row r="27" spans="1:40" x14ac:dyDescent="0.3">
      <c r="A27">
        <v>2012</v>
      </c>
      <c r="B27" t="s">
        <v>41</v>
      </c>
      <c r="C27">
        <f>'rockfish harvests'!D316</f>
        <v>8600</v>
      </c>
      <c r="D27">
        <f>'rockfish harvests'!E316</f>
        <v>4902</v>
      </c>
      <c r="E27">
        <f>'rockfish harvests'!F316</f>
        <v>817154.10041942052</v>
      </c>
      <c r="F27">
        <f t="shared" si="0"/>
        <v>903.96576285798596</v>
      </c>
      <c r="G27">
        <f t="shared" si="1"/>
        <v>1771.7728952016525</v>
      </c>
    </row>
    <row r="28" spans="1:40" x14ac:dyDescent="0.3">
      <c r="A28">
        <v>2013</v>
      </c>
      <c r="B28" t="s">
        <v>41</v>
      </c>
      <c r="C28">
        <f>'rockfish harvests'!D317</f>
        <v>6970</v>
      </c>
      <c r="D28">
        <f>'rockfish harvests'!E317</f>
        <v>5774</v>
      </c>
      <c r="E28">
        <f>'rockfish harvests'!F317</f>
        <v>1485966.2791901822</v>
      </c>
      <c r="F28">
        <f t="shared" si="0"/>
        <v>1219.00216537551</v>
      </c>
      <c r="G28">
        <f t="shared" si="1"/>
        <v>2389.2442441359995</v>
      </c>
    </row>
    <row r="29" spans="1:40" x14ac:dyDescent="0.3">
      <c r="A29">
        <v>2014</v>
      </c>
      <c r="B29" t="s">
        <v>41</v>
      </c>
      <c r="C29">
        <f>'rockfish harvests'!D318</f>
        <v>8688</v>
      </c>
      <c r="D29">
        <f>'rockfish harvests'!E318</f>
        <v>5939</v>
      </c>
      <c r="E29">
        <f>'rockfish harvests'!F318</f>
        <v>1847984.6003753652</v>
      </c>
      <c r="F29">
        <f t="shared" si="0"/>
        <v>1359.40597334842</v>
      </c>
      <c r="G29">
        <f t="shared" si="1"/>
        <v>2664.4357077629033</v>
      </c>
    </row>
    <row r="30" spans="1:40" x14ac:dyDescent="0.3">
      <c r="A30">
        <v>2015</v>
      </c>
      <c r="B30" t="s">
        <v>41</v>
      </c>
      <c r="C30">
        <f>'rockfish harvests'!D319</f>
        <v>9156</v>
      </c>
      <c r="D30">
        <f>'rockfish harvests'!E319</f>
        <v>9341</v>
      </c>
      <c r="E30">
        <f>'rockfish harvests'!F319</f>
        <v>2302346.3975565527</v>
      </c>
      <c r="F30">
        <f t="shared" si="0"/>
        <v>1517.34847597925</v>
      </c>
      <c r="G30">
        <f t="shared" si="1"/>
        <v>2974.0030129193301</v>
      </c>
    </row>
    <row r="31" spans="1:40" x14ac:dyDescent="0.3">
      <c r="A31">
        <v>2016</v>
      </c>
      <c r="B31" t="s">
        <v>41</v>
      </c>
      <c r="C31">
        <f>'rockfish harvests'!D320</f>
        <v>5839</v>
      </c>
      <c r="D31">
        <f>'rockfish harvests'!E320</f>
        <v>10348</v>
      </c>
      <c r="E31">
        <f>'rockfish harvests'!F320</f>
        <v>2978473.6189940036</v>
      </c>
      <c r="F31">
        <f t="shared" si="0"/>
        <v>1725.82548914831</v>
      </c>
      <c r="G31">
        <f t="shared" si="1"/>
        <v>3382.6179587306874</v>
      </c>
    </row>
    <row r="32" spans="1:40" x14ac:dyDescent="0.3">
      <c r="A32">
        <v>2017</v>
      </c>
      <c r="B32" t="s">
        <v>41</v>
      </c>
      <c r="C32">
        <f>'rockfish harvests'!D321</f>
        <v>9211</v>
      </c>
      <c r="D32">
        <f>'rockfish harvests'!E321</f>
        <v>6590</v>
      </c>
      <c r="E32">
        <f>'rockfish harvests'!F321</f>
        <v>2037305.5895645493</v>
      </c>
      <c r="F32">
        <f t="shared" si="0"/>
        <v>1427.3421417321599</v>
      </c>
      <c r="G32">
        <f t="shared" si="1"/>
        <v>2797.5905977950333</v>
      </c>
    </row>
    <row r="33" spans="1:7" x14ac:dyDescent="0.3">
      <c r="A33">
        <v>2018</v>
      </c>
      <c r="B33" t="s">
        <v>41</v>
      </c>
      <c r="C33">
        <f>'rockfish harvests'!D322</f>
        <v>11024</v>
      </c>
      <c r="D33">
        <f>'rockfish harvests'!E322</f>
        <v>7537</v>
      </c>
      <c r="E33">
        <f>'rockfish harvests'!F322</f>
        <v>2243253.1891891891</v>
      </c>
      <c r="F33">
        <f t="shared" si="0"/>
        <v>1497.7493746248699</v>
      </c>
      <c r="G33">
        <f t="shared" si="1"/>
        <v>2935.5887742647451</v>
      </c>
    </row>
    <row r="34" spans="1:7" x14ac:dyDescent="0.3">
      <c r="A34">
        <v>2019</v>
      </c>
      <c r="B34" t="s">
        <v>41</v>
      </c>
      <c r="C34">
        <f>'rockfish harvests'!D323</f>
        <v>11553</v>
      </c>
      <c r="D34">
        <f>'rockfish harvests'!E323</f>
        <v>9746</v>
      </c>
      <c r="E34">
        <f>'rockfish harvests'!F323</f>
        <v>2494165.4075986105</v>
      </c>
      <c r="F34">
        <f>SQRT(E34)</f>
        <v>1579.2926921880601</v>
      </c>
      <c r="G34">
        <f>1.96*F34</f>
        <v>3095.4136766885977</v>
      </c>
    </row>
    <row r="35" spans="1:7" x14ac:dyDescent="0.3">
      <c r="A35">
        <v>2020</v>
      </c>
      <c r="B35" t="s">
        <v>41</v>
      </c>
      <c r="C35">
        <f>'rockfish harvests'!D324</f>
        <v>3314</v>
      </c>
      <c r="D35">
        <f>'rockfish harvests'!E324</f>
        <v>4686</v>
      </c>
      <c r="E35">
        <f>'rockfish harvests'!F324</f>
        <v>538862.57535035186</v>
      </c>
      <c r="F35">
        <f t="shared" ref="F35" si="8">SQRT(E35)</f>
        <v>734.07259542251802</v>
      </c>
      <c r="G35">
        <f t="shared" ref="G35" si="9">1.96*F35</f>
        <v>1438.7822870281352</v>
      </c>
    </row>
    <row r="36" spans="1:7" x14ac:dyDescent="0.3">
      <c r="A36">
        <v>2021</v>
      </c>
      <c r="B36" t="s">
        <v>41</v>
      </c>
      <c r="C36">
        <f>'rockfish harvests'!D325</f>
        <v>9732</v>
      </c>
      <c r="D36">
        <f>'rockfish harvests'!E325</f>
        <v>8099</v>
      </c>
      <c r="E36">
        <f>'rockfish harvests'!F325</f>
        <v>1939914.5337327269</v>
      </c>
      <c r="F36">
        <f>SQRT(E36)</f>
        <v>1392.8081467785601</v>
      </c>
      <c r="G36">
        <f>1.96*F36</f>
        <v>2729.9039676859775</v>
      </c>
    </row>
    <row r="37" spans="1:7" x14ac:dyDescent="0.3">
      <c r="A37">
        <v>2022</v>
      </c>
      <c r="B37" t="s">
        <v>41</v>
      </c>
      <c r="C37">
        <f>'rockfish harvests'!D326</f>
        <v>10558</v>
      </c>
      <c r="D37">
        <f>'rockfish harvests'!E326</f>
        <v>9109</v>
      </c>
      <c r="E37">
        <f>'rockfish harvests'!F326</f>
        <v>2839225</v>
      </c>
      <c r="F37">
        <f>SQRT(E37)</f>
        <v>1685</v>
      </c>
      <c r="G37">
        <f>1.96*F37</f>
        <v>3302.6</v>
      </c>
    </row>
    <row r="38" spans="1:7" x14ac:dyDescent="0.3">
      <c r="A38">
        <v>2011</v>
      </c>
      <c r="B38" t="s">
        <v>38</v>
      </c>
      <c r="C38">
        <f>'rockfish harvests'!D290</f>
        <v>13281</v>
      </c>
      <c r="D38">
        <f>'rockfish harvests'!E290</f>
        <v>7431</v>
      </c>
      <c r="E38">
        <f>'rockfish harvests'!F290</f>
        <v>1243063.7045435496</v>
      </c>
      <c r="F38">
        <f t="shared" si="0"/>
        <v>1114.9276678527399</v>
      </c>
      <c r="G38">
        <f t="shared" si="1"/>
        <v>2185.2582289913703</v>
      </c>
    </row>
    <row r="39" spans="1:7" x14ac:dyDescent="0.3">
      <c r="A39">
        <v>2012</v>
      </c>
      <c r="B39" t="s">
        <v>38</v>
      </c>
      <c r="C39">
        <f>'rockfish harvests'!D291</f>
        <v>15243</v>
      </c>
      <c r="D39">
        <f>'rockfish harvests'!E291</f>
        <v>8800</v>
      </c>
      <c r="E39">
        <f>'rockfish harvests'!F291</f>
        <v>2020123.1363003007</v>
      </c>
      <c r="F39">
        <f t="shared" si="0"/>
        <v>1421.31035889432</v>
      </c>
      <c r="G39">
        <f t="shared" si="1"/>
        <v>2785.768303432867</v>
      </c>
    </row>
    <row r="40" spans="1:7" x14ac:dyDescent="0.3">
      <c r="A40">
        <v>2013</v>
      </c>
      <c r="B40" t="s">
        <v>38</v>
      </c>
      <c r="C40">
        <f>'rockfish harvests'!D292</f>
        <v>14770</v>
      </c>
      <c r="D40">
        <f>'rockfish harvests'!E292</f>
        <v>14137</v>
      </c>
      <c r="E40">
        <f>'rockfish harvests'!F292</f>
        <v>3387054.5871911976</v>
      </c>
      <c r="F40">
        <f t="shared" si="0"/>
        <v>1840.39522581189</v>
      </c>
      <c r="G40">
        <f t="shared" si="1"/>
        <v>3607.1746425913043</v>
      </c>
    </row>
    <row r="41" spans="1:7" x14ac:dyDescent="0.3">
      <c r="A41">
        <v>2014</v>
      </c>
      <c r="B41" t="s">
        <v>38</v>
      </c>
      <c r="C41">
        <f>'rockfish harvests'!D293</f>
        <v>19857</v>
      </c>
      <c r="D41">
        <f>'rockfish harvests'!E293</f>
        <v>21622</v>
      </c>
      <c r="E41">
        <f>'rockfish harvests'!F293</f>
        <v>8140018.4386776667</v>
      </c>
      <c r="F41">
        <f t="shared" si="0"/>
        <v>2853.07175491218</v>
      </c>
      <c r="G41">
        <f t="shared" si="1"/>
        <v>5592.0206396278727</v>
      </c>
    </row>
    <row r="42" spans="1:7" x14ac:dyDescent="0.3">
      <c r="A42">
        <v>2015</v>
      </c>
      <c r="B42" t="s">
        <v>38</v>
      </c>
      <c r="C42">
        <f>'rockfish harvests'!D294</f>
        <v>22095</v>
      </c>
      <c r="D42">
        <f>'rockfish harvests'!E294</f>
        <v>20210</v>
      </c>
      <c r="E42">
        <f>'rockfish harvests'!F294</f>
        <v>11318987.083259251</v>
      </c>
      <c r="F42">
        <f t="shared" si="0"/>
        <v>3364.3702357587299</v>
      </c>
      <c r="G42">
        <f t="shared" si="1"/>
        <v>6594.1656620871108</v>
      </c>
    </row>
    <row r="43" spans="1:7" x14ac:dyDescent="0.3">
      <c r="A43">
        <v>2016</v>
      </c>
      <c r="B43" t="s">
        <v>38</v>
      </c>
      <c r="C43">
        <f>'rockfish harvests'!D295</f>
        <v>25877</v>
      </c>
      <c r="D43">
        <f>'rockfish harvests'!E295</f>
        <v>22747</v>
      </c>
      <c r="E43">
        <f>'rockfish harvests'!F295</f>
        <v>6879956.9099939968</v>
      </c>
      <c r="F43">
        <f t="shared" si="0"/>
        <v>2622.9671957525502</v>
      </c>
      <c r="G43">
        <f t="shared" si="1"/>
        <v>5141.0157036749979</v>
      </c>
    </row>
    <row r="44" spans="1:7" x14ac:dyDescent="0.3">
      <c r="A44">
        <v>2017</v>
      </c>
      <c r="B44" t="s">
        <v>38</v>
      </c>
      <c r="C44">
        <f>'rockfish harvests'!D296</f>
        <v>24305</v>
      </c>
      <c r="D44">
        <f>'rockfish harvests'!E296</f>
        <v>17214</v>
      </c>
      <c r="E44">
        <f>'rockfish harvests'!F296</f>
        <v>5170433.2956546396</v>
      </c>
      <c r="F44">
        <f t="shared" si="0"/>
        <v>2273.8586797896301</v>
      </c>
      <c r="G44">
        <f t="shared" si="1"/>
        <v>4456.7630123876752</v>
      </c>
    </row>
    <row r="45" spans="1:7" x14ac:dyDescent="0.3">
      <c r="A45">
        <v>2018</v>
      </c>
      <c r="B45" t="s">
        <v>38</v>
      </c>
      <c r="C45">
        <f>'rockfish harvests'!D297</f>
        <v>34673</v>
      </c>
      <c r="D45">
        <f>'rockfish harvests'!E297</f>
        <v>22185</v>
      </c>
      <c r="E45">
        <f>'rockfish harvests'!F297</f>
        <v>7991398.7571571618</v>
      </c>
      <c r="F45">
        <f t="shared" si="0"/>
        <v>2826.9062165478999</v>
      </c>
      <c r="G45">
        <f t="shared" si="1"/>
        <v>5540.7361844338839</v>
      </c>
    </row>
    <row r="46" spans="1:7" x14ac:dyDescent="0.3">
      <c r="A46">
        <v>2019</v>
      </c>
      <c r="B46" t="s">
        <v>38</v>
      </c>
      <c r="C46">
        <f>'rockfish harvests'!D298</f>
        <v>36293</v>
      </c>
      <c r="D46">
        <f>'rockfish harvests'!E298</f>
        <v>15254</v>
      </c>
      <c r="E46">
        <f>'rockfish harvests'!F298</f>
        <v>4627249.9689599667</v>
      </c>
      <c r="F46">
        <f>SQRT(E46)</f>
        <v>2151.1043603135499</v>
      </c>
      <c r="G46">
        <f>1.96*F46</f>
        <v>4216.164546214558</v>
      </c>
    </row>
    <row r="47" spans="1:7" x14ac:dyDescent="0.3">
      <c r="A47">
        <v>2020</v>
      </c>
      <c r="B47" t="s">
        <v>38</v>
      </c>
      <c r="C47">
        <f>'rockfish harvests'!D299</f>
        <v>17585</v>
      </c>
      <c r="D47">
        <f>'rockfish harvests'!E299</f>
        <v>11282</v>
      </c>
      <c r="E47">
        <f>'rockfish harvests'!F299</f>
        <v>3378542.6395355295</v>
      </c>
      <c r="F47">
        <f t="shared" ref="F47:F48" si="10">SQRT(E47)</f>
        <v>1838.08123855708</v>
      </c>
      <c r="G47">
        <f t="shared" ref="G47:G48" si="11">1.96*F47</f>
        <v>3602.6392275718767</v>
      </c>
    </row>
    <row r="48" spans="1:7" x14ac:dyDescent="0.3">
      <c r="A48">
        <v>2021</v>
      </c>
      <c r="B48" t="s">
        <v>38</v>
      </c>
      <c r="C48">
        <f>'rockfish harvests'!D300</f>
        <v>33151</v>
      </c>
      <c r="D48">
        <f>'rockfish harvests'!E300</f>
        <v>24203</v>
      </c>
      <c r="E48">
        <f>'rockfish harvests'!F300</f>
        <v>9549873.3804114126</v>
      </c>
      <c r="F48">
        <f t="shared" si="10"/>
        <v>3090.2869414362499</v>
      </c>
      <c r="G48">
        <f t="shared" si="11"/>
        <v>6056.9624052150493</v>
      </c>
    </row>
    <row r="49" spans="1:7" x14ac:dyDescent="0.3">
      <c r="A49">
        <v>2022</v>
      </c>
      <c r="B49" t="s">
        <v>38</v>
      </c>
      <c r="C49">
        <f>'rockfish harvests'!D301</f>
        <v>34168</v>
      </c>
      <c r="D49">
        <f>'rockfish harvests'!E301</f>
        <v>20926</v>
      </c>
      <c r="E49">
        <f>'rockfish harvests'!F301</f>
        <v>7795264</v>
      </c>
      <c r="F49">
        <f t="shared" ref="F49" si="12">SQRT(E49)</f>
        <v>2792</v>
      </c>
      <c r="G49">
        <f t="shared" ref="G49" si="13">1.96*F49</f>
        <v>5472.32</v>
      </c>
    </row>
    <row r="50" spans="1:7" x14ac:dyDescent="0.3">
      <c r="A50">
        <v>2011</v>
      </c>
      <c r="B50" t="s">
        <v>44</v>
      </c>
      <c r="C50">
        <f>'rockfish harvests'!D265</f>
        <v>2848</v>
      </c>
      <c r="D50">
        <f>'rockfish harvests'!E265</f>
        <v>1832</v>
      </c>
      <c r="E50">
        <f>'rockfish harvests'!F265</f>
        <v>176053.86633733797</v>
      </c>
      <c r="F50">
        <f t="shared" si="0"/>
        <v>419.58773377845301</v>
      </c>
      <c r="G50">
        <f t="shared" si="1"/>
        <v>822.39195820576788</v>
      </c>
    </row>
    <row r="51" spans="1:7" x14ac:dyDescent="0.3">
      <c r="A51">
        <v>2012</v>
      </c>
      <c r="B51" t="s">
        <v>44</v>
      </c>
      <c r="C51">
        <f>'rockfish harvests'!D266</f>
        <v>3241</v>
      </c>
      <c r="D51">
        <f>'rockfish harvests'!E266</f>
        <v>3119</v>
      </c>
      <c r="E51">
        <f>'rockfish harvests'!F266</f>
        <v>542335.47303203226</v>
      </c>
      <c r="F51">
        <f t="shared" si="0"/>
        <v>736.434296480027</v>
      </c>
      <c r="G51">
        <f t="shared" si="1"/>
        <v>1443.4112211008528</v>
      </c>
    </row>
    <row r="52" spans="1:7" x14ac:dyDescent="0.3">
      <c r="A52">
        <v>2013</v>
      </c>
      <c r="B52" t="s">
        <v>44</v>
      </c>
      <c r="C52">
        <f>'rockfish harvests'!D267</f>
        <v>3884</v>
      </c>
      <c r="D52">
        <f>'rockfish harvests'!E267</f>
        <v>3921</v>
      </c>
      <c r="E52">
        <f>'rockfish harvests'!F267</f>
        <v>740603.94434434373</v>
      </c>
      <c r="F52">
        <f t="shared" si="0"/>
        <v>860.58349062966795</v>
      </c>
      <c r="G52">
        <f t="shared" si="1"/>
        <v>1686.7436416341491</v>
      </c>
    </row>
    <row r="53" spans="1:7" x14ac:dyDescent="0.3">
      <c r="A53">
        <v>2014</v>
      </c>
      <c r="B53" t="s">
        <v>44</v>
      </c>
      <c r="C53">
        <f>'rockfish harvests'!D268</f>
        <v>4695</v>
      </c>
      <c r="D53">
        <f>'rockfish harvests'!E268</f>
        <v>5580</v>
      </c>
      <c r="E53">
        <f>'rockfish harvests'!F268</f>
        <v>939072.82569669676</v>
      </c>
      <c r="F53">
        <f t="shared" si="0"/>
        <v>969.05769987998997</v>
      </c>
      <c r="G53">
        <f t="shared" si="1"/>
        <v>1899.3530917647804</v>
      </c>
    </row>
    <row r="54" spans="1:7" x14ac:dyDescent="0.3">
      <c r="A54">
        <v>2015</v>
      </c>
      <c r="B54" t="s">
        <v>44</v>
      </c>
      <c r="C54">
        <f>'rockfish harvests'!D269</f>
        <v>5729</v>
      </c>
      <c r="D54">
        <f>'rockfish harvests'!E269</f>
        <v>3233</v>
      </c>
      <c r="E54">
        <f>'rockfish harvests'!F269</f>
        <v>480192.66438838851</v>
      </c>
      <c r="F54">
        <f t="shared" si="0"/>
        <v>692.95935262350599</v>
      </c>
      <c r="G54">
        <f t="shared" si="1"/>
        <v>1358.2003311420717</v>
      </c>
    </row>
    <row r="55" spans="1:7" x14ac:dyDescent="0.3">
      <c r="A55">
        <v>2016</v>
      </c>
      <c r="B55" t="s">
        <v>44</v>
      </c>
      <c r="C55">
        <f>'rockfish harvests'!D270</f>
        <v>7499</v>
      </c>
      <c r="D55">
        <f>'rockfish harvests'!E270</f>
        <v>4013</v>
      </c>
      <c r="E55">
        <f>'rockfish harvests'!F270</f>
        <v>586930.85270870931</v>
      </c>
      <c r="F55">
        <f t="shared" si="0"/>
        <v>766.11412512021298</v>
      </c>
      <c r="G55">
        <f t="shared" si="1"/>
        <v>1501.5836852356174</v>
      </c>
    </row>
    <row r="56" spans="1:7" x14ac:dyDescent="0.3">
      <c r="A56">
        <v>2017</v>
      </c>
      <c r="B56" t="s">
        <v>44</v>
      </c>
      <c r="C56">
        <f>'rockfish harvests'!D271</f>
        <v>6324</v>
      </c>
      <c r="D56">
        <f>'rockfish harvests'!E271</f>
        <v>4914</v>
      </c>
      <c r="E56">
        <f>'rockfish harvests'!F271</f>
        <v>953920.55854254263</v>
      </c>
      <c r="F56">
        <f t="shared" si="0"/>
        <v>976.68856783651495</v>
      </c>
      <c r="G56">
        <f t="shared" si="1"/>
        <v>1914.3095929595693</v>
      </c>
    </row>
    <row r="57" spans="1:7" x14ac:dyDescent="0.3">
      <c r="A57">
        <v>2018</v>
      </c>
      <c r="B57" t="s">
        <v>44</v>
      </c>
      <c r="C57">
        <f>'rockfish harvests'!D272</f>
        <v>8659</v>
      </c>
      <c r="D57">
        <f>'rockfish harvests'!E272</f>
        <v>5631</v>
      </c>
      <c r="E57">
        <f>'rockfish harvests'!F272</f>
        <v>802849.63153153332</v>
      </c>
      <c r="F57">
        <f t="shared" si="0"/>
        <v>896.01876739917304</v>
      </c>
      <c r="G57">
        <f t="shared" si="1"/>
        <v>1756.1967841023791</v>
      </c>
    </row>
    <row r="58" spans="1:7" x14ac:dyDescent="0.3">
      <c r="A58">
        <v>2019</v>
      </c>
      <c r="B58" t="s">
        <v>44</v>
      </c>
      <c r="C58">
        <f>'rockfish harvests'!D273</f>
        <v>7908</v>
      </c>
      <c r="D58">
        <f>'rockfish harvests'!E273</f>
        <v>5157</v>
      </c>
      <c r="E58">
        <f>'rockfish harvests'!F273</f>
        <v>902980.76940040092</v>
      </c>
      <c r="F58">
        <f>SQRT(E58)</f>
        <v>950.25300283682395</v>
      </c>
      <c r="G58">
        <f>1.96*F58</f>
        <v>1862.4958855601749</v>
      </c>
    </row>
    <row r="59" spans="1:7" x14ac:dyDescent="0.3">
      <c r="A59">
        <v>2020</v>
      </c>
      <c r="B59" t="s">
        <v>44</v>
      </c>
      <c r="C59">
        <f>'rockfish harvests'!D274</f>
        <v>4059</v>
      </c>
      <c r="D59">
        <f>'rockfish harvests'!E274</f>
        <v>2605</v>
      </c>
      <c r="E59">
        <f>'rockfish harvests'!F274</f>
        <v>215364.23074975031</v>
      </c>
      <c r="F59">
        <f t="shared" ref="F59:F60" si="14">SQRT(E59)</f>
        <v>464.07351869046602</v>
      </c>
      <c r="G59">
        <f t="shared" ref="G59:G60" si="15">1.96*F59</f>
        <v>909.58409663331338</v>
      </c>
    </row>
    <row r="60" spans="1:7" x14ac:dyDescent="0.3">
      <c r="A60">
        <v>2021</v>
      </c>
      <c r="B60" t="s">
        <v>44</v>
      </c>
      <c r="C60">
        <f>'rockfish harvests'!D275</f>
        <v>7343</v>
      </c>
      <c r="D60">
        <f>'rockfish harvests'!E275</f>
        <v>6733</v>
      </c>
      <c r="E60">
        <f>'rockfish harvests'!F275</f>
        <v>1258320.732851845</v>
      </c>
      <c r="F60">
        <f t="shared" si="14"/>
        <v>1121.74896160052</v>
      </c>
      <c r="G60">
        <f t="shared" si="15"/>
        <v>2198.6279647370193</v>
      </c>
    </row>
    <row r="61" spans="1:7" x14ac:dyDescent="0.3">
      <c r="A61">
        <v>2022</v>
      </c>
      <c r="B61" t="s">
        <v>44</v>
      </c>
      <c r="C61">
        <f>'rockfish harvests'!D276</f>
        <v>6780</v>
      </c>
      <c r="D61">
        <f>'rockfish harvests'!E276</f>
        <v>7254</v>
      </c>
      <c r="E61">
        <f>'rockfish harvests'!F276</f>
        <v>1882384</v>
      </c>
      <c r="F61">
        <f t="shared" ref="F61" si="16">SQRT(E61)</f>
        <v>1372</v>
      </c>
      <c r="G61">
        <f t="shared" ref="G61" si="17">1.96*F61</f>
        <v>2689.12</v>
      </c>
    </row>
    <row r="62" spans="1:7" x14ac:dyDescent="0.3">
      <c r="A62">
        <v>2011</v>
      </c>
      <c r="B62" t="s">
        <v>42</v>
      </c>
      <c r="C62">
        <f>'rockfish harvests'!D240</f>
        <v>58843</v>
      </c>
      <c r="D62">
        <f>'rockfish harvests'!E240</f>
        <v>41675</v>
      </c>
      <c r="E62">
        <f>'rockfish harvests'!F240</f>
        <v>10242682.237273294</v>
      </c>
      <c r="F62">
        <f t="shared" si="0"/>
        <v>3200.4190721331001</v>
      </c>
      <c r="G62">
        <f t="shared" si="1"/>
        <v>6272.8213813808761</v>
      </c>
    </row>
    <row r="63" spans="1:7" x14ac:dyDescent="0.3">
      <c r="A63">
        <v>2012</v>
      </c>
      <c r="B63" t="s">
        <v>42</v>
      </c>
      <c r="C63">
        <f>'rockfish harvests'!D241</f>
        <v>57675</v>
      </c>
      <c r="D63">
        <f>'rockfish harvests'!E241</f>
        <v>52345</v>
      </c>
      <c r="E63">
        <f>'rockfish harvests'!F241</f>
        <v>13685724.066841852</v>
      </c>
      <c r="F63">
        <f t="shared" si="0"/>
        <v>3699.4221260680501</v>
      </c>
      <c r="G63">
        <f t="shared" si="1"/>
        <v>7250.8673670933786</v>
      </c>
    </row>
    <row r="64" spans="1:7" x14ac:dyDescent="0.3">
      <c r="A64">
        <v>2013</v>
      </c>
      <c r="B64" t="s">
        <v>42</v>
      </c>
      <c r="C64">
        <f>'rockfish harvests'!D242</f>
        <v>60735</v>
      </c>
      <c r="D64">
        <f>'rockfish harvests'!E242</f>
        <v>49080</v>
      </c>
      <c r="E64">
        <f>'rockfish harvests'!F242</f>
        <v>12607924.147123162</v>
      </c>
      <c r="F64">
        <f t="shared" si="0"/>
        <v>3550.76388219819</v>
      </c>
      <c r="G64">
        <f t="shared" si="1"/>
        <v>6959.4972091084519</v>
      </c>
    </row>
    <row r="65" spans="1:7" x14ac:dyDescent="0.3">
      <c r="A65">
        <v>2014</v>
      </c>
      <c r="B65" t="s">
        <v>42</v>
      </c>
      <c r="C65">
        <f>'rockfish harvests'!D243</f>
        <v>73709</v>
      </c>
      <c r="D65">
        <f>'rockfish harvests'!E243</f>
        <v>66961</v>
      </c>
      <c r="E65">
        <f>'rockfish harvests'!F243</f>
        <v>20277301.63682786</v>
      </c>
      <c r="F65">
        <f t="shared" si="0"/>
        <v>4503.0324934234995</v>
      </c>
      <c r="G65">
        <f t="shared" si="1"/>
        <v>8825.9436871100588</v>
      </c>
    </row>
    <row r="66" spans="1:7" x14ac:dyDescent="0.3">
      <c r="A66">
        <v>2015</v>
      </c>
      <c r="B66" t="s">
        <v>42</v>
      </c>
      <c r="C66">
        <f>'rockfish harvests'!D244</f>
        <v>80105</v>
      </c>
      <c r="D66">
        <f>'rockfish harvests'!E244</f>
        <v>69569</v>
      </c>
      <c r="E66">
        <f>'rockfish harvests'!F244</f>
        <v>21055774.694533534</v>
      </c>
      <c r="F66">
        <f t="shared" si="0"/>
        <v>4588.65717770826</v>
      </c>
      <c r="G66">
        <f t="shared" si="1"/>
        <v>8993.768068308189</v>
      </c>
    </row>
    <row r="67" spans="1:7" x14ac:dyDescent="0.3">
      <c r="A67">
        <v>2016</v>
      </c>
      <c r="B67" t="s">
        <v>42</v>
      </c>
      <c r="C67">
        <f>'rockfish harvests'!D245</f>
        <v>54908</v>
      </c>
      <c r="D67">
        <f>'rockfish harvests'!E245</f>
        <v>54929</v>
      </c>
      <c r="E67">
        <f>'rockfish harvests'!F245</f>
        <v>12343701.534990964</v>
      </c>
      <c r="F67">
        <f t="shared" si="0"/>
        <v>3513.3604334014699</v>
      </c>
      <c r="G67">
        <f t="shared" si="1"/>
        <v>6886.1864494668807</v>
      </c>
    </row>
    <row r="68" spans="1:7" x14ac:dyDescent="0.3">
      <c r="A68">
        <v>2017</v>
      </c>
      <c r="B68" t="s">
        <v>42</v>
      </c>
      <c r="C68">
        <f>'rockfish harvests'!D246</f>
        <v>57388</v>
      </c>
      <c r="D68">
        <f>'rockfish harvests'!E246</f>
        <v>44003</v>
      </c>
      <c r="E68">
        <f>'rockfish harvests'!F246</f>
        <v>10063359.055830875</v>
      </c>
      <c r="F68">
        <f t="shared" si="0"/>
        <v>3172.2797883905</v>
      </c>
      <c r="G68">
        <f t="shared" si="1"/>
        <v>6217.6683852453798</v>
      </c>
    </row>
    <row r="69" spans="1:7" x14ac:dyDescent="0.3">
      <c r="A69">
        <v>2018</v>
      </c>
      <c r="B69" t="s">
        <v>42</v>
      </c>
      <c r="C69">
        <f>'rockfish harvests'!D247</f>
        <v>55460</v>
      </c>
      <c r="D69">
        <f>'rockfish harvests'!E247</f>
        <v>47886</v>
      </c>
      <c r="E69">
        <f>'rockfish harvests'!F247</f>
        <v>14252941.161912879</v>
      </c>
      <c r="F69">
        <f t="shared" si="0"/>
        <v>3775.3067639481801</v>
      </c>
      <c r="G69">
        <f t="shared" si="1"/>
        <v>7399.6012573384332</v>
      </c>
    </row>
    <row r="70" spans="1:7" x14ac:dyDescent="0.3">
      <c r="A70">
        <v>2019</v>
      </c>
      <c r="B70" t="s">
        <v>42</v>
      </c>
      <c r="C70">
        <f>'rockfish harvests'!D248</f>
        <v>59842</v>
      </c>
      <c r="D70">
        <f>'rockfish harvests'!E248</f>
        <v>44354</v>
      </c>
      <c r="E70">
        <f>'rockfish harvests'!F248</f>
        <v>9559839.3355916012</v>
      </c>
      <c r="F70">
        <f>SQRT(E70)</f>
        <v>3091.8989853472899</v>
      </c>
      <c r="G70">
        <f>1.96*F70</f>
        <v>6060.1220112806877</v>
      </c>
    </row>
    <row r="71" spans="1:7" x14ac:dyDescent="0.3">
      <c r="A71">
        <v>2020</v>
      </c>
      <c r="B71" t="s">
        <v>42</v>
      </c>
      <c r="C71">
        <f>'rockfish harvests'!D249</f>
        <v>24728</v>
      </c>
      <c r="D71">
        <f>'rockfish harvests'!E249</f>
        <v>23972</v>
      </c>
      <c r="E71">
        <f>'rockfish harvests'!F249</f>
        <v>2929407.5649889908</v>
      </c>
      <c r="F71">
        <f t="shared" ref="F71:F72" si="18">SQRT(E71)</f>
        <v>1711.55121599939</v>
      </c>
      <c r="G71">
        <f t="shared" ref="G71:G72" si="19">1.96*F71</f>
        <v>3354.6403833588042</v>
      </c>
    </row>
    <row r="72" spans="1:7" x14ac:dyDescent="0.3">
      <c r="A72">
        <v>2021</v>
      </c>
      <c r="B72" t="s">
        <v>42</v>
      </c>
      <c r="C72">
        <f>'rockfish harvests'!D250</f>
        <v>56521</v>
      </c>
      <c r="D72">
        <f>'rockfish harvests'!E250</f>
        <v>57621</v>
      </c>
      <c r="E72">
        <f>'rockfish harvests'!F250</f>
        <v>16759884.709748719</v>
      </c>
      <c r="F72">
        <f t="shared" si="18"/>
        <v>4093.8838173241702</v>
      </c>
      <c r="G72">
        <f t="shared" si="19"/>
        <v>8024.0122819553735</v>
      </c>
    </row>
    <row r="73" spans="1:7" x14ac:dyDescent="0.3">
      <c r="A73">
        <v>2022</v>
      </c>
      <c r="B73" t="s">
        <v>42</v>
      </c>
      <c r="C73">
        <f>'rockfish harvests'!D251</f>
        <v>67729</v>
      </c>
      <c r="D73">
        <f>'rockfish harvests'!E251</f>
        <v>62221</v>
      </c>
      <c r="E73">
        <f>'rockfish harvests'!F251</f>
        <v>17598025</v>
      </c>
      <c r="F73">
        <f t="shared" ref="F73" si="20">SQRT(E73)</f>
        <v>4195</v>
      </c>
      <c r="G73">
        <f t="shared" ref="G73" si="21">1.96*F73</f>
        <v>8222.2000000000007</v>
      </c>
    </row>
    <row r="74" spans="1:7" x14ac:dyDescent="0.3">
      <c r="A74">
        <v>2011</v>
      </c>
      <c r="B74" t="s">
        <v>45</v>
      </c>
      <c r="C74">
        <f>'rockfish harvests'!D15</f>
        <v>3052</v>
      </c>
      <c r="D74">
        <f>'rockfish harvests'!E15</f>
        <v>1879</v>
      </c>
      <c r="E74">
        <f>'rockfish harvests'!F15</f>
        <v>363784.7037397403</v>
      </c>
      <c r="F74">
        <f t="shared" si="0"/>
        <v>603.14567373043496</v>
      </c>
      <c r="G74">
        <f t="shared" si="1"/>
        <v>1182.1655205116524</v>
      </c>
    </row>
    <row r="75" spans="1:7" x14ac:dyDescent="0.3">
      <c r="A75">
        <v>2012</v>
      </c>
      <c r="B75" t="s">
        <v>45</v>
      </c>
      <c r="C75">
        <f>'rockfish harvests'!D16</f>
        <v>3025</v>
      </c>
      <c r="D75">
        <f>'rockfish harvests'!E16</f>
        <v>1969</v>
      </c>
      <c r="E75">
        <f>'rockfish harvests'!F16</f>
        <v>185157.30107707661</v>
      </c>
      <c r="F75">
        <f t="shared" si="0"/>
        <v>430.299083286354</v>
      </c>
      <c r="G75">
        <f t="shared" si="1"/>
        <v>843.38620324125384</v>
      </c>
    </row>
    <row r="76" spans="1:7" x14ac:dyDescent="0.3">
      <c r="A76">
        <v>2013</v>
      </c>
      <c r="B76" t="s">
        <v>45</v>
      </c>
      <c r="C76">
        <f>'rockfish harvests'!D17</f>
        <v>2487</v>
      </c>
      <c r="D76">
        <f>'rockfish harvests'!E17</f>
        <v>3854</v>
      </c>
      <c r="E76">
        <f>'rockfish harvests'!F17</f>
        <v>627331.7504664677</v>
      </c>
      <c r="F76">
        <f t="shared" si="0"/>
        <v>792.04277060425704</v>
      </c>
      <c r="G76">
        <f t="shared" si="1"/>
        <v>1552.4038303843438</v>
      </c>
    </row>
    <row r="77" spans="1:7" x14ac:dyDescent="0.3">
      <c r="A77">
        <v>2014</v>
      </c>
      <c r="B77" t="s">
        <v>45</v>
      </c>
      <c r="C77">
        <f>'rockfish harvests'!D18</f>
        <v>2843</v>
      </c>
      <c r="D77">
        <f>'rockfish harvests'!E18</f>
        <v>2246</v>
      </c>
      <c r="E77">
        <f>'rockfish harvests'!F18</f>
        <v>393472.21569970029</v>
      </c>
      <c r="F77">
        <f t="shared" si="0"/>
        <v>627.27363701952299</v>
      </c>
      <c r="G77">
        <f t="shared" si="1"/>
        <v>1229.4563285582651</v>
      </c>
    </row>
    <row r="78" spans="1:7" x14ac:dyDescent="0.3">
      <c r="A78">
        <v>2015</v>
      </c>
      <c r="B78" t="s">
        <v>45</v>
      </c>
      <c r="C78">
        <f>'rockfish harvests'!D19</f>
        <v>3919</v>
      </c>
      <c r="D78">
        <f>'rockfish harvests'!E19</f>
        <v>2803</v>
      </c>
      <c r="E78">
        <f>'rockfish harvests'!F19</f>
        <v>433491.106097096</v>
      </c>
      <c r="F78">
        <f t="shared" si="0"/>
        <v>658.40041471516099</v>
      </c>
      <c r="G78">
        <f t="shared" si="1"/>
        <v>1290.4648128417155</v>
      </c>
    </row>
    <row r="79" spans="1:7" x14ac:dyDescent="0.3">
      <c r="A79">
        <v>2016</v>
      </c>
      <c r="B79" t="s">
        <v>45</v>
      </c>
      <c r="C79">
        <f>'rockfish harvests'!D20</f>
        <v>5287</v>
      </c>
      <c r="D79">
        <f>'rockfish harvests'!E20</f>
        <v>5009</v>
      </c>
      <c r="E79">
        <f>'rockfish harvests'!F20</f>
        <v>1202196.1427988084</v>
      </c>
      <c r="F79">
        <f t="shared" si="0"/>
        <v>1096.44705426154</v>
      </c>
      <c r="G79">
        <f t="shared" si="1"/>
        <v>2149.0362263526181</v>
      </c>
    </row>
    <row r="80" spans="1:7" x14ac:dyDescent="0.3">
      <c r="A80">
        <v>2017</v>
      </c>
      <c r="B80" t="s">
        <v>45</v>
      </c>
      <c r="C80">
        <f>'rockfish harvests'!D21</f>
        <v>4756</v>
      </c>
      <c r="D80">
        <f>'rockfish harvests'!E21</f>
        <v>4033</v>
      </c>
      <c r="E80">
        <f>'rockfish harvests'!F21</f>
        <v>807947.31687587558</v>
      </c>
      <c r="F80">
        <f t="shared" si="0"/>
        <v>898.85889708890102</v>
      </c>
      <c r="G80">
        <f t="shared" si="1"/>
        <v>1761.763438294246</v>
      </c>
    </row>
    <row r="81" spans="1:7" x14ac:dyDescent="0.3">
      <c r="A81">
        <v>2018</v>
      </c>
      <c r="B81" t="s">
        <v>45</v>
      </c>
      <c r="C81">
        <f>'rockfish harvests'!D22</f>
        <v>5694</v>
      </c>
      <c r="D81">
        <f>'rockfish harvests'!E22</f>
        <v>4452</v>
      </c>
      <c r="E81">
        <f>'rockfish harvests'!F22</f>
        <v>1148849.8470910951</v>
      </c>
      <c r="F81">
        <f t="shared" si="0"/>
        <v>1071.84413376717</v>
      </c>
      <c r="G81">
        <f t="shared" si="1"/>
        <v>2100.8145021836531</v>
      </c>
    </row>
    <row r="82" spans="1:7" x14ac:dyDescent="0.3">
      <c r="A82">
        <v>2019</v>
      </c>
      <c r="B82" t="s">
        <v>45</v>
      </c>
      <c r="C82">
        <f>'rockfish harvests'!D23</f>
        <v>6782</v>
      </c>
      <c r="D82">
        <f>'rockfish harvests'!E23</f>
        <v>4471</v>
      </c>
      <c r="E82">
        <f>'rockfish harvests'!F23</f>
        <v>1079051.1470470487</v>
      </c>
      <c r="F82">
        <f>SQRT(E82)</f>
        <v>1038.7738671371401</v>
      </c>
      <c r="G82">
        <f>1.96*F82</f>
        <v>2035.9967795887944</v>
      </c>
    </row>
    <row r="83" spans="1:7" x14ac:dyDescent="0.3">
      <c r="A83">
        <v>2020</v>
      </c>
      <c r="B83" t="s">
        <v>45</v>
      </c>
      <c r="C83">
        <f>'rockfish harvests'!D24</f>
        <v>5835</v>
      </c>
      <c r="D83">
        <f>'rockfish harvests'!E24</f>
        <v>3343</v>
      </c>
      <c r="E83">
        <f>'rockfish harvests'!F24</f>
        <v>430086.30718318297</v>
      </c>
      <c r="F83">
        <f t="shared" ref="F83:F84" si="22">SQRT(E83)</f>
        <v>655.80965773857201</v>
      </c>
      <c r="G83">
        <f t="shared" ref="G83:G84" si="23">1.96*F83</f>
        <v>1285.386929167601</v>
      </c>
    </row>
    <row r="84" spans="1:7" x14ac:dyDescent="0.3">
      <c r="A84">
        <v>2021</v>
      </c>
      <c r="B84" t="s">
        <v>45</v>
      </c>
      <c r="C84">
        <f>'rockfish harvests'!D25</f>
        <v>9007</v>
      </c>
      <c r="D84">
        <f>'rockfish harvests'!E25</f>
        <v>8516</v>
      </c>
      <c r="E84">
        <f>'rockfish harvests'!F25</f>
        <v>2362897.2666416327</v>
      </c>
      <c r="F84">
        <f t="shared" si="22"/>
        <v>1537.17184030987</v>
      </c>
      <c r="G84">
        <f t="shared" si="23"/>
        <v>3012.8568070073452</v>
      </c>
    </row>
    <row r="85" spans="1:7" x14ac:dyDescent="0.3">
      <c r="A85">
        <v>2022</v>
      </c>
      <c r="B85" t="s">
        <v>45</v>
      </c>
      <c r="C85">
        <f>'rockfish harvests'!D26</f>
        <v>9241</v>
      </c>
      <c r="D85">
        <f>'rockfish harvests'!E26</f>
        <v>6339</v>
      </c>
      <c r="E85">
        <f>'rockfish harvests'!F26</f>
        <v>1466521</v>
      </c>
      <c r="F85">
        <f t="shared" ref="F85" si="24">SQRT(E85)</f>
        <v>1211</v>
      </c>
      <c r="G85">
        <f t="shared" ref="G85" si="25">1.96*F85</f>
        <v>2373.56</v>
      </c>
    </row>
    <row r="86" spans="1:7" x14ac:dyDescent="0.3">
      <c r="A86">
        <v>2011</v>
      </c>
      <c r="B86" t="s">
        <v>46</v>
      </c>
      <c r="C86">
        <v>5</v>
      </c>
      <c r="D86">
        <v>0</v>
      </c>
      <c r="E86">
        <v>0</v>
      </c>
      <c r="F86">
        <f t="shared" si="0"/>
        <v>0</v>
      </c>
      <c r="G86">
        <f t="shared" si="1"/>
        <v>0</v>
      </c>
    </row>
    <row r="87" spans="1:7" x14ac:dyDescent="0.3">
      <c r="A87">
        <v>2012</v>
      </c>
      <c r="B87" t="s">
        <v>46</v>
      </c>
      <c r="C87">
        <v>13</v>
      </c>
      <c r="D87">
        <v>70</v>
      </c>
      <c r="E87">
        <v>5074.1533373373331</v>
      </c>
      <c r="F87">
        <f t="shared" si="0"/>
        <v>71.233091589073496</v>
      </c>
      <c r="G87">
        <f t="shared" si="1"/>
        <v>139.61685951458404</v>
      </c>
    </row>
    <row r="88" spans="1:7" x14ac:dyDescent="0.3">
      <c r="A88">
        <v>2013</v>
      </c>
      <c r="B88" t="s">
        <v>46</v>
      </c>
      <c r="C88">
        <v>0</v>
      </c>
      <c r="D88">
        <v>137</v>
      </c>
      <c r="E88">
        <v>18419.363338338266</v>
      </c>
      <c r="F88">
        <f t="shared" si="0"/>
        <v>135.717955106678</v>
      </c>
      <c r="G88">
        <f t="shared" si="1"/>
        <v>266.0071920090889</v>
      </c>
    </row>
    <row r="89" spans="1:7" x14ac:dyDescent="0.3">
      <c r="A89">
        <v>2014</v>
      </c>
      <c r="B89" t="s">
        <v>46</v>
      </c>
      <c r="C89">
        <v>44</v>
      </c>
      <c r="D89">
        <v>71</v>
      </c>
      <c r="E89">
        <v>4782.3895805805823</v>
      </c>
      <c r="F89">
        <f t="shared" si="0"/>
        <v>69.1548232633168</v>
      </c>
      <c r="G89">
        <f t="shared" si="1"/>
        <v>135.54345359610093</v>
      </c>
    </row>
    <row r="90" spans="1:7" x14ac:dyDescent="0.3">
      <c r="A90">
        <v>2015</v>
      </c>
      <c r="B90" t="s">
        <v>46</v>
      </c>
      <c r="C90">
        <v>21</v>
      </c>
      <c r="D90">
        <v>274</v>
      </c>
      <c r="E90">
        <v>70467.053772772779</v>
      </c>
      <c r="F90">
        <f t="shared" si="0"/>
        <v>265.45631236188899</v>
      </c>
      <c r="G90">
        <f t="shared" si="1"/>
        <v>520.29437222930244</v>
      </c>
    </row>
    <row r="91" spans="1:7" x14ac:dyDescent="0.3">
      <c r="A91">
        <v>2016</v>
      </c>
      <c r="B91" t="s">
        <v>46</v>
      </c>
      <c r="C91">
        <v>1</v>
      </c>
      <c r="D91">
        <v>81</v>
      </c>
      <c r="E91">
        <v>6742.6158918919045</v>
      </c>
      <c r="F91">
        <f t="shared" si="0"/>
        <v>82.113433078223593</v>
      </c>
      <c r="G91">
        <f t="shared" si="1"/>
        <v>160.94232883331824</v>
      </c>
    </row>
    <row r="92" spans="1:7" x14ac:dyDescent="0.3">
      <c r="A92">
        <v>2017</v>
      </c>
      <c r="B92" t="s">
        <v>46</v>
      </c>
      <c r="C92">
        <f>6+1</f>
        <v>7</v>
      </c>
      <c r="D92">
        <v>0</v>
      </c>
      <c r="E92">
        <v>0</v>
      </c>
      <c r="F92">
        <f t="shared" si="0"/>
        <v>0</v>
      </c>
      <c r="G92">
        <f t="shared" si="1"/>
        <v>0</v>
      </c>
    </row>
    <row r="93" spans="1:7" x14ac:dyDescent="0.3">
      <c r="A93">
        <v>2018</v>
      </c>
      <c r="B93" t="s">
        <v>46</v>
      </c>
      <c r="C93">
        <f>13+92</f>
        <v>105</v>
      </c>
      <c r="D93">
        <v>35</v>
      </c>
      <c r="E93">
        <v>1320.36672572573</v>
      </c>
      <c r="F93">
        <f t="shared" si="0"/>
        <v>36.3368507953803</v>
      </c>
      <c r="G93">
        <f t="shared" si="1"/>
        <v>71.220227558945382</v>
      </c>
    </row>
    <row r="94" spans="1:7" x14ac:dyDescent="0.3">
      <c r="A94">
        <v>2019</v>
      </c>
      <c r="B94" t="s">
        <v>46</v>
      </c>
      <c r="C94">
        <v>91</v>
      </c>
      <c r="D94">
        <v>460</v>
      </c>
      <c r="E94">
        <v>64625.830934935024</v>
      </c>
      <c r="F94">
        <f>SQRT(E94)</f>
        <v>254.21611069114999</v>
      </c>
      <c r="G94">
        <f>1.96*F94</f>
        <v>498.26357695465396</v>
      </c>
    </row>
    <row r="95" spans="1:7" x14ac:dyDescent="0.3">
      <c r="A95">
        <v>2020</v>
      </c>
      <c r="B95" t="s">
        <v>46</v>
      </c>
      <c r="C95">
        <v>1</v>
      </c>
      <c r="D95">
        <v>437</v>
      </c>
      <c r="E95">
        <v>61914.706351851899</v>
      </c>
      <c r="F95">
        <f t="shared" ref="F95:F96" si="26">SQRT(E95)</f>
        <v>248.82665924665687</v>
      </c>
      <c r="G95">
        <f t="shared" ref="G95:G96" si="27">1.96*F95</f>
        <v>487.70025212344746</v>
      </c>
    </row>
    <row r="96" spans="1:7" x14ac:dyDescent="0.3">
      <c r="A96">
        <v>2021</v>
      </c>
      <c r="B96" t="s">
        <v>46</v>
      </c>
      <c r="C96">
        <v>1</v>
      </c>
      <c r="D96">
        <v>554.20000000000005</v>
      </c>
      <c r="E96">
        <v>79411.707537337395</v>
      </c>
      <c r="F96">
        <f t="shared" si="26"/>
        <v>281.80082955402634</v>
      </c>
      <c r="G96">
        <f t="shared" si="27"/>
        <v>552.32962592589161</v>
      </c>
    </row>
    <row r="97" spans="1:7" x14ac:dyDescent="0.3">
      <c r="A97">
        <v>2022</v>
      </c>
      <c r="B97" t="s">
        <v>46</v>
      </c>
      <c r="C97">
        <v>1</v>
      </c>
      <c r="D97">
        <v>554.20000000000005</v>
      </c>
      <c r="E97">
        <v>79411.707537337395</v>
      </c>
      <c r="F97">
        <f t="shared" ref="F97" si="28">SQRT(E97)</f>
        <v>281.80082955402634</v>
      </c>
      <c r="G97">
        <f t="shared" ref="G97" si="29">1.96*F97</f>
        <v>552.32962592589161</v>
      </c>
    </row>
    <row r="98" spans="1:7" x14ac:dyDescent="0.3">
      <c r="A98">
        <v>2011</v>
      </c>
      <c r="B98" t="s">
        <v>53</v>
      </c>
      <c r="C98">
        <f>689+60</f>
        <v>749</v>
      </c>
      <c r="D98">
        <v>77</v>
      </c>
      <c r="E98">
        <v>5927.6646396396372</v>
      </c>
      <c r="F98">
        <f t="shared" si="0"/>
        <v>76.991328340532206</v>
      </c>
      <c r="G98">
        <f t="shared" si="1"/>
        <v>150.90300354744312</v>
      </c>
    </row>
    <row r="99" spans="1:7" x14ac:dyDescent="0.3">
      <c r="A99">
        <v>2012</v>
      </c>
      <c r="B99" t="s">
        <v>53</v>
      </c>
      <c r="C99">
        <f>918+121</f>
        <v>1039</v>
      </c>
      <c r="D99">
        <v>257</v>
      </c>
      <c r="E99">
        <v>34927.817717717902</v>
      </c>
      <c r="F99">
        <f t="shared" ref="F99:F189" si="30">SQRT(E99)</f>
        <v>186.88985450718801</v>
      </c>
      <c r="G99">
        <f t="shared" ref="G99:G189" si="31">1.96*F99</f>
        <v>366.30411483408847</v>
      </c>
    </row>
    <row r="100" spans="1:7" x14ac:dyDescent="0.3">
      <c r="A100">
        <v>2013</v>
      </c>
      <c r="B100" t="s">
        <v>53</v>
      </c>
      <c r="C100">
        <f>1035+69</f>
        <v>1104</v>
      </c>
      <c r="D100">
        <v>396</v>
      </c>
      <c r="E100">
        <v>125493.79963563567</v>
      </c>
      <c r="F100">
        <f t="shared" si="30"/>
        <v>354.25104041574201</v>
      </c>
      <c r="G100">
        <f t="shared" si="31"/>
        <v>694.33203921485438</v>
      </c>
    </row>
    <row r="101" spans="1:7" x14ac:dyDescent="0.3">
      <c r="A101">
        <v>2014</v>
      </c>
      <c r="B101" t="s">
        <v>53</v>
      </c>
      <c r="C101">
        <f>653+62</f>
        <v>715</v>
      </c>
      <c r="D101">
        <v>390</v>
      </c>
      <c r="E101">
        <v>113569.70467967985</v>
      </c>
      <c r="F101">
        <f t="shared" si="30"/>
        <v>337.00104551719102</v>
      </c>
      <c r="G101">
        <f t="shared" si="31"/>
        <v>660.52204921369434</v>
      </c>
    </row>
    <row r="102" spans="1:7" x14ac:dyDescent="0.3">
      <c r="A102">
        <v>2015</v>
      </c>
      <c r="B102" t="s">
        <v>53</v>
      </c>
      <c r="C102">
        <f>619+43</f>
        <v>662</v>
      </c>
      <c r="D102">
        <v>107</v>
      </c>
      <c r="E102">
        <v>10932.453569569478</v>
      </c>
      <c r="F102">
        <f t="shared" si="30"/>
        <v>104.55837398109</v>
      </c>
      <c r="G102">
        <f t="shared" si="31"/>
        <v>204.9344130029364</v>
      </c>
    </row>
    <row r="103" spans="1:7" x14ac:dyDescent="0.3">
      <c r="A103">
        <v>2016</v>
      </c>
      <c r="B103" t="s">
        <v>53</v>
      </c>
      <c r="C103">
        <f>774+7+30</f>
        <v>811</v>
      </c>
      <c r="D103">
        <v>18</v>
      </c>
      <c r="E103">
        <v>331.22710610610517</v>
      </c>
      <c r="F103">
        <f t="shared" si="30"/>
        <v>18.199645768698499</v>
      </c>
      <c r="G103">
        <f t="shared" si="31"/>
        <v>35.671305706649058</v>
      </c>
    </row>
    <row r="104" spans="1:7" x14ac:dyDescent="0.3">
      <c r="A104">
        <v>2017</v>
      </c>
      <c r="B104" t="s">
        <v>53</v>
      </c>
      <c r="C104">
        <f>666+61</f>
        <v>727</v>
      </c>
      <c r="D104">
        <v>0</v>
      </c>
      <c r="E104">
        <v>0</v>
      </c>
      <c r="F104">
        <f t="shared" si="30"/>
        <v>0</v>
      </c>
      <c r="G104">
        <f t="shared" si="31"/>
        <v>0</v>
      </c>
    </row>
    <row r="105" spans="1:7" x14ac:dyDescent="0.3">
      <c r="A105">
        <v>2018</v>
      </c>
      <c r="B105" t="s">
        <v>53</v>
      </c>
      <c r="C105">
        <f>100+10+652+19</f>
        <v>781</v>
      </c>
      <c r="D105">
        <v>0</v>
      </c>
      <c r="E105">
        <v>0</v>
      </c>
      <c r="F105">
        <f t="shared" si="30"/>
        <v>0</v>
      </c>
      <c r="G105">
        <f t="shared" si="31"/>
        <v>0</v>
      </c>
    </row>
    <row r="106" spans="1:7" x14ac:dyDescent="0.3">
      <c r="A106">
        <v>2019</v>
      </c>
      <c r="B106" t="s">
        <v>53</v>
      </c>
      <c r="C106">
        <v>762</v>
      </c>
      <c r="D106">
        <v>325</v>
      </c>
      <c r="E106">
        <v>45534.35425425414</v>
      </c>
      <c r="F106">
        <f>SQRT(E106)</f>
        <v>213.38780249642701</v>
      </c>
      <c r="G106">
        <f>1.96*F106</f>
        <v>418.24009289299693</v>
      </c>
    </row>
    <row r="107" spans="1:7" x14ac:dyDescent="0.3">
      <c r="A107">
        <v>2020</v>
      </c>
      <c r="B107" t="s">
        <v>53</v>
      </c>
      <c r="C107">
        <f>774+7+30</f>
        <v>811</v>
      </c>
      <c r="D107">
        <v>316</v>
      </c>
      <c r="E107">
        <v>45368.740701201103</v>
      </c>
      <c r="F107">
        <f t="shared" ref="F107:F108" si="32">SQRT(E107)</f>
        <v>212.99939131650376</v>
      </c>
      <c r="G107">
        <f t="shared" ref="G107:G108" si="33">1.96*F107</f>
        <v>417.47880698034737</v>
      </c>
    </row>
    <row r="108" spans="1:7" x14ac:dyDescent="0.3">
      <c r="A108">
        <v>2021</v>
      </c>
      <c r="B108" t="s">
        <v>53</v>
      </c>
      <c r="C108">
        <f>100+10+652+19</f>
        <v>781</v>
      </c>
      <c r="D108">
        <v>529.66666666666697</v>
      </c>
      <c r="E108">
        <v>75669.772353019594</v>
      </c>
      <c r="F108">
        <f t="shared" si="32"/>
        <v>275.08139223331625</v>
      </c>
      <c r="G108">
        <f t="shared" si="33"/>
        <v>539.1595287772999</v>
      </c>
    </row>
    <row r="109" spans="1:7" x14ac:dyDescent="0.3">
      <c r="A109">
        <v>2022</v>
      </c>
      <c r="B109" t="s">
        <v>53</v>
      </c>
      <c r="C109">
        <f>100+10+652+19</f>
        <v>781</v>
      </c>
      <c r="D109">
        <v>529.66666666666697</v>
      </c>
      <c r="E109">
        <v>75669.772353019594</v>
      </c>
      <c r="F109">
        <f t="shared" ref="F109" si="34">SQRT(E109)</f>
        <v>275.08139223331625</v>
      </c>
      <c r="G109">
        <f t="shared" ref="G109" si="35">1.96*F109</f>
        <v>539.1595287772999</v>
      </c>
    </row>
    <row r="110" spans="1:7" x14ac:dyDescent="0.3">
      <c r="A110">
        <v>2011</v>
      </c>
      <c r="B110" t="s">
        <v>47</v>
      </c>
      <c r="C110">
        <f>'rockfish harvests'!D90</f>
        <v>3046</v>
      </c>
      <c r="D110">
        <f>'rockfish harvests'!E90</f>
        <v>3090</v>
      </c>
      <c r="E110">
        <f>'rockfish harvests'!F90</f>
        <v>271781.70067567605</v>
      </c>
      <c r="F110">
        <f t="shared" si="30"/>
        <v>521.32686548429103</v>
      </c>
      <c r="G110">
        <f t="shared" si="31"/>
        <v>1021.8006563492104</v>
      </c>
    </row>
    <row r="111" spans="1:7" x14ac:dyDescent="0.3">
      <c r="A111">
        <v>2012</v>
      </c>
      <c r="B111" t="s">
        <v>47</v>
      </c>
      <c r="C111">
        <f>'rockfish harvests'!D91</f>
        <v>4677</v>
      </c>
      <c r="D111">
        <f>'rockfish harvests'!E91</f>
        <v>3725</v>
      </c>
      <c r="E111">
        <f>'rockfish harvests'!F91</f>
        <v>397497.76136136171</v>
      </c>
      <c r="F111">
        <f t="shared" si="30"/>
        <v>630.47423528750301</v>
      </c>
      <c r="G111">
        <f t="shared" si="31"/>
        <v>1235.7295011635058</v>
      </c>
    </row>
    <row r="112" spans="1:7" x14ac:dyDescent="0.3">
      <c r="A112">
        <v>2013</v>
      </c>
      <c r="B112" t="s">
        <v>47</v>
      </c>
      <c r="C112">
        <f>'rockfish harvests'!D92</f>
        <v>4808</v>
      </c>
      <c r="D112">
        <f>'rockfish harvests'!E92</f>
        <v>4037</v>
      </c>
      <c r="E112">
        <f>'rockfish harvests'!F92</f>
        <v>420611.36510910874</v>
      </c>
      <c r="F112">
        <f t="shared" si="30"/>
        <v>648.54557674006901</v>
      </c>
      <c r="G112">
        <f t="shared" si="31"/>
        <v>1271.1493304105352</v>
      </c>
    </row>
    <row r="113" spans="1:7" x14ac:dyDescent="0.3">
      <c r="A113">
        <v>2014</v>
      </c>
      <c r="B113" t="s">
        <v>47</v>
      </c>
      <c r="C113">
        <f>'rockfish harvests'!D93</f>
        <v>4731</v>
      </c>
      <c r="D113">
        <f>'rockfish harvests'!E93</f>
        <v>6907</v>
      </c>
      <c r="E113">
        <f>'rockfish harvests'!F93</f>
        <v>856869.26777878113</v>
      </c>
      <c r="F113">
        <f t="shared" si="30"/>
        <v>925.67233283639905</v>
      </c>
      <c r="G113">
        <f t="shared" si="31"/>
        <v>1814.3177723593421</v>
      </c>
    </row>
    <row r="114" spans="1:7" x14ac:dyDescent="0.3">
      <c r="A114">
        <v>2015</v>
      </c>
      <c r="B114" t="s">
        <v>47</v>
      </c>
      <c r="C114">
        <f>'rockfish harvests'!D94</f>
        <v>6321</v>
      </c>
      <c r="D114">
        <f>'rockfish harvests'!E94</f>
        <v>6611</v>
      </c>
      <c r="E114">
        <f>'rockfish harvests'!F94</f>
        <v>769997.81975575699</v>
      </c>
      <c r="F114">
        <f t="shared" si="30"/>
        <v>877.49519642887901</v>
      </c>
      <c r="G114">
        <f t="shared" si="31"/>
        <v>1719.8905850006029</v>
      </c>
    </row>
    <row r="115" spans="1:7" x14ac:dyDescent="0.3">
      <c r="A115">
        <v>2016</v>
      </c>
      <c r="B115" t="s">
        <v>47</v>
      </c>
      <c r="C115">
        <f>'rockfish harvests'!D95</f>
        <v>10123</v>
      </c>
      <c r="D115">
        <f>'rockfish harvests'!E95</f>
        <v>9545</v>
      </c>
      <c r="E115">
        <f>'rockfish harvests'!F95</f>
        <v>1166196.6307867859</v>
      </c>
      <c r="F115">
        <f t="shared" si="30"/>
        <v>1079.9058434821</v>
      </c>
      <c r="G115">
        <f t="shared" si="31"/>
        <v>2116.6154532249157</v>
      </c>
    </row>
    <row r="116" spans="1:7" x14ac:dyDescent="0.3">
      <c r="A116">
        <v>2017</v>
      </c>
      <c r="B116" t="s">
        <v>47</v>
      </c>
      <c r="C116">
        <f>'rockfish harvests'!D96</f>
        <v>8376</v>
      </c>
      <c r="D116">
        <f>'rockfish harvests'!E96</f>
        <v>8163</v>
      </c>
      <c r="E116">
        <f>'rockfish harvests'!F96</f>
        <v>988291.94354254159</v>
      </c>
      <c r="F116">
        <f t="shared" si="30"/>
        <v>994.12873590020604</v>
      </c>
      <c r="G116">
        <f t="shared" si="31"/>
        <v>1948.4923223644039</v>
      </c>
    </row>
    <row r="117" spans="1:7" x14ac:dyDescent="0.3">
      <c r="A117">
        <v>2018</v>
      </c>
      <c r="B117" t="s">
        <v>47</v>
      </c>
      <c r="C117">
        <f>'rockfish harvests'!D97</f>
        <v>13009</v>
      </c>
      <c r="D117">
        <f>'rockfish harvests'!E97</f>
        <v>8296</v>
      </c>
      <c r="E117">
        <f>'rockfish harvests'!F97</f>
        <v>1244537.532476468</v>
      </c>
      <c r="F117">
        <f t="shared" si="30"/>
        <v>1115.58842431986</v>
      </c>
      <c r="G117">
        <f t="shared" si="31"/>
        <v>2186.5533116669258</v>
      </c>
    </row>
    <row r="118" spans="1:7" x14ac:dyDescent="0.3">
      <c r="A118">
        <v>2019</v>
      </c>
      <c r="B118" t="s">
        <v>47</v>
      </c>
      <c r="C118">
        <f>'rockfish harvests'!D98</f>
        <v>16061</v>
      </c>
      <c r="D118">
        <f>'rockfish harvests'!E98</f>
        <v>7349</v>
      </c>
      <c r="E118">
        <f>'rockfish harvests'!F98</f>
        <v>1026108.003002</v>
      </c>
      <c r="F118">
        <f>SQRT(E118)</f>
        <v>1012.96989244597</v>
      </c>
      <c r="G118">
        <f>1.96*F118</f>
        <v>1985.4209891941011</v>
      </c>
    </row>
    <row r="119" spans="1:7" x14ac:dyDescent="0.3">
      <c r="A119">
        <v>2020</v>
      </c>
      <c r="B119" t="s">
        <v>47</v>
      </c>
      <c r="C119">
        <f>'rockfish harvests'!D99</f>
        <v>9784</v>
      </c>
      <c r="D119">
        <f>'rockfish harvests'!E99</f>
        <v>4920</v>
      </c>
      <c r="E119">
        <f>'rockfish harvests'!F99</f>
        <v>431065.91887487448</v>
      </c>
      <c r="F119">
        <f t="shared" ref="F119:F120" si="36">SQRT(E119)</f>
        <v>656.55610489498497</v>
      </c>
      <c r="G119">
        <f t="shared" ref="G119:G120" si="37">1.96*F119</f>
        <v>1286.8499655941705</v>
      </c>
    </row>
    <row r="120" spans="1:7" x14ac:dyDescent="0.3">
      <c r="A120">
        <v>2021</v>
      </c>
      <c r="B120" t="s">
        <v>47</v>
      </c>
      <c r="C120">
        <f>'rockfish harvests'!D100</f>
        <v>14326</v>
      </c>
      <c r="D120">
        <f>'rockfish harvests'!E100</f>
        <v>12552</v>
      </c>
      <c r="E120">
        <f>'rockfish harvests'!F100</f>
        <v>2301376.8632142129</v>
      </c>
      <c r="F120">
        <f t="shared" si="36"/>
        <v>1517.0289592536501</v>
      </c>
      <c r="G120">
        <f t="shared" si="37"/>
        <v>2973.3767601371542</v>
      </c>
    </row>
    <row r="121" spans="1:7" x14ac:dyDescent="0.3">
      <c r="A121">
        <v>2022</v>
      </c>
      <c r="B121" t="s">
        <v>47</v>
      </c>
      <c r="C121">
        <f>'rockfish harvests'!D101</f>
        <v>13586</v>
      </c>
      <c r="D121">
        <f>'rockfish harvests'!E101</f>
        <v>11657</v>
      </c>
      <c r="E121">
        <f>'rockfish harvests'!F101</f>
        <v>2169729</v>
      </c>
      <c r="F121">
        <f t="shared" ref="F121" si="38">SQRT(E121)</f>
        <v>1473</v>
      </c>
      <c r="G121">
        <f t="shared" ref="G121" si="39">1.96*F121</f>
        <v>2887.08</v>
      </c>
    </row>
    <row r="122" spans="1:7" x14ac:dyDescent="0.3">
      <c r="A122">
        <v>2011</v>
      </c>
      <c r="B122" t="s">
        <v>48</v>
      </c>
      <c r="C122">
        <f>'rockfish harvests'!D115</f>
        <v>1928</v>
      </c>
      <c r="D122">
        <f>'rockfish harvests'!E115</f>
        <v>1611</v>
      </c>
      <c r="E122">
        <f>'rockfish harvests'!F115</f>
        <v>234019.09331731763</v>
      </c>
      <c r="F122">
        <f t="shared" si="30"/>
        <v>483.75519978323501</v>
      </c>
      <c r="G122">
        <f t="shared" si="31"/>
        <v>948.16019157514063</v>
      </c>
    </row>
    <row r="123" spans="1:7" x14ac:dyDescent="0.3">
      <c r="A123">
        <v>2012</v>
      </c>
      <c r="B123" t="s">
        <v>48</v>
      </c>
      <c r="C123">
        <f>'rockfish harvests'!D116</f>
        <v>3433</v>
      </c>
      <c r="D123">
        <f>'rockfish harvests'!E116</f>
        <v>3279</v>
      </c>
      <c r="E123">
        <f>'rockfish harvests'!F116</f>
        <v>722961.9843593596</v>
      </c>
      <c r="F123">
        <f t="shared" si="30"/>
        <v>850.27171207759204</v>
      </c>
      <c r="G123">
        <f t="shared" si="31"/>
        <v>1666.5325556720804</v>
      </c>
    </row>
    <row r="124" spans="1:7" x14ac:dyDescent="0.3">
      <c r="A124">
        <v>2013</v>
      </c>
      <c r="B124" t="s">
        <v>48</v>
      </c>
      <c r="C124">
        <f>'rockfish harvests'!D117</f>
        <v>2207</v>
      </c>
      <c r="D124">
        <f>'rockfish harvests'!E117</f>
        <v>2108</v>
      </c>
      <c r="E124">
        <f>'rockfish harvests'!F117</f>
        <v>348619.63040540554</v>
      </c>
      <c r="F124">
        <f t="shared" si="30"/>
        <v>590.44020053296299</v>
      </c>
      <c r="G124">
        <f t="shared" si="31"/>
        <v>1157.2627930446074</v>
      </c>
    </row>
    <row r="125" spans="1:7" x14ac:dyDescent="0.3">
      <c r="A125">
        <v>2014</v>
      </c>
      <c r="B125" t="s">
        <v>48</v>
      </c>
      <c r="C125">
        <f>'rockfish harvests'!D118</f>
        <v>3551</v>
      </c>
      <c r="D125">
        <f>'rockfish harvests'!E118</f>
        <v>3029</v>
      </c>
      <c r="E125">
        <f>'rockfish harvests'!F118</f>
        <v>593307.65881781862</v>
      </c>
      <c r="F125">
        <f t="shared" si="30"/>
        <v>770.26466803159201</v>
      </c>
      <c r="G125">
        <f t="shared" si="31"/>
        <v>1509.7187493419203</v>
      </c>
    </row>
    <row r="126" spans="1:7" x14ac:dyDescent="0.3">
      <c r="A126">
        <v>2015</v>
      </c>
      <c r="B126" t="s">
        <v>48</v>
      </c>
      <c r="C126">
        <f>'rockfish harvests'!D119</f>
        <v>2787</v>
      </c>
      <c r="D126">
        <f>'rockfish harvests'!E119</f>
        <v>2033</v>
      </c>
      <c r="E126">
        <f>'rockfish harvests'!F119</f>
        <v>412089.59622022061</v>
      </c>
      <c r="F126">
        <f t="shared" si="30"/>
        <v>641.94205051563699</v>
      </c>
      <c r="G126">
        <f t="shared" si="31"/>
        <v>1258.2064190106485</v>
      </c>
    </row>
    <row r="127" spans="1:7" x14ac:dyDescent="0.3">
      <c r="A127">
        <v>2016</v>
      </c>
      <c r="B127" t="s">
        <v>48</v>
      </c>
      <c r="C127">
        <f>'rockfish harvests'!D120</f>
        <v>3561</v>
      </c>
      <c r="D127">
        <f>'rockfish harvests'!E120</f>
        <v>2512</v>
      </c>
      <c r="E127">
        <f>'rockfish harvests'!F120</f>
        <v>737293.04611712019</v>
      </c>
      <c r="F127">
        <f t="shared" si="30"/>
        <v>858.65770020254297</v>
      </c>
      <c r="G127">
        <f t="shared" si="31"/>
        <v>1682.9690923969843</v>
      </c>
    </row>
    <row r="128" spans="1:7" x14ac:dyDescent="0.3">
      <c r="A128">
        <v>2017</v>
      </c>
      <c r="B128" t="s">
        <v>48</v>
      </c>
      <c r="C128">
        <f>'rockfish harvests'!D121</f>
        <v>3933</v>
      </c>
      <c r="D128">
        <f>'rockfish harvests'!E121</f>
        <v>2144</v>
      </c>
      <c r="E128">
        <f>'rockfish harvests'!F121</f>
        <v>280432.76311411388</v>
      </c>
      <c r="F128">
        <f t="shared" si="30"/>
        <v>529.55902703486595</v>
      </c>
      <c r="G128">
        <f t="shared" si="31"/>
        <v>1037.9356929883372</v>
      </c>
    </row>
    <row r="129" spans="1:7" x14ac:dyDescent="0.3">
      <c r="A129">
        <v>2018</v>
      </c>
      <c r="B129" t="s">
        <v>48</v>
      </c>
      <c r="C129">
        <f>'rockfish harvests'!D122</f>
        <v>3914</v>
      </c>
      <c r="D129">
        <f>'rockfish harvests'!E122</f>
        <v>3004</v>
      </c>
      <c r="E129">
        <f>'rockfish harvests'!F122</f>
        <v>672614.38643043162</v>
      </c>
      <c r="F129">
        <f t="shared" si="30"/>
        <v>820.13071301496302</v>
      </c>
      <c r="G129">
        <f t="shared" si="31"/>
        <v>1607.4561975093275</v>
      </c>
    </row>
    <row r="130" spans="1:7" x14ac:dyDescent="0.3">
      <c r="A130">
        <v>2019</v>
      </c>
      <c r="B130" t="s">
        <v>48</v>
      </c>
      <c r="C130">
        <f>'rockfish harvests'!D123</f>
        <v>5680</v>
      </c>
      <c r="D130">
        <f>'rockfish harvests'!E123</f>
        <v>1831</v>
      </c>
      <c r="E130">
        <f>'rockfish harvests'!F123</f>
        <v>541050.77915415505</v>
      </c>
      <c r="F130">
        <f>SQRT(E130)</f>
        <v>735.56154001834204</v>
      </c>
      <c r="G130">
        <f>1.96*F130</f>
        <v>1441.7006184359504</v>
      </c>
    </row>
    <row r="131" spans="1:7" x14ac:dyDescent="0.3">
      <c r="A131">
        <v>2020</v>
      </c>
      <c r="B131" t="s">
        <v>48</v>
      </c>
      <c r="C131">
        <f>'rockfish harvests'!D124</f>
        <v>1507</v>
      </c>
      <c r="D131">
        <f>'rockfish harvests'!E124</f>
        <v>2289</v>
      </c>
      <c r="E131">
        <f>'rockfish harvests'!F124</f>
        <v>233242.22538938923</v>
      </c>
      <c r="F131">
        <f t="shared" ref="F131:F132" si="40">SQRT(E131)</f>
        <v>482.951576650692</v>
      </c>
      <c r="G131">
        <f t="shared" ref="G131:G132" si="41">1.96*F131</f>
        <v>946.58509023535635</v>
      </c>
    </row>
    <row r="132" spans="1:7" x14ac:dyDescent="0.3">
      <c r="A132">
        <v>2021</v>
      </c>
      <c r="B132" t="s">
        <v>48</v>
      </c>
      <c r="C132">
        <f>'rockfish harvests'!D125</f>
        <v>2885</v>
      </c>
      <c r="D132">
        <f>'rockfish harvests'!E125</f>
        <v>8516</v>
      </c>
      <c r="E132">
        <f>'rockfish harvests'!F125</f>
        <v>2362897.2666416327</v>
      </c>
      <c r="F132">
        <f t="shared" si="40"/>
        <v>1537.17184030987</v>
      </c>
      <c r="G132">
        <f t="shared" si="41"/>
        <v>3012.8568070073452</v>
      </c>
    </row>
    <row r="133" spans="1:7" x14ac:dyDescent="0.3">
      <c r="A133">
        <v>2022</v>
      </c>
      <c r="B133" t="s">
        <v>48</v>
      </c>
      <c r="C133">
        <f>'rockfish harvests'!D126</f>
        <v>1829</v>
      </c>
      <c r="D133">
        <f>'rockfish harvests'!E126</f>
        <v>6339</v>
      </c>
      <c r="E133">
        <f>'rockfish harvests'!F126</f>
        <v>1466521</v>
      </c>
      <c r="F133">
        <f t="shared" ref="F133" si="42">SQRT(E133)</f>
        <v>1211</v>
      </c>
      <c r="G133">
        <f t="shared" ref="G133" si="43">1.96*F133</f>
        <v>2373.56</v>
      </c>
    </row>
    <row r="134" spans="1:7" x14ac:dyDescent="0.3">
      <c r="A134">
        <v>2011</v>
      </c>
      <c r="B134" t="s">
        <v>54</v>
      </c>
      <c r="C134">
        <f>'rockfish harvests'!D40</f>
        <v>1366</v>
      </c>
      <c r="D134">
        <f>'rockfish harvests'!E40</f>
        <v>991</v>
      </c>
      <c r="E134">
        <f>'rockfish harvests'!F40</f>
        <v>93606.430714714777</v>
      </c>
      <c r="F134">
        <f t="shared" si="30"/>
        <v>305.95168035935802</v>
      </c>
      <c r="G134">
        <f t="shared" si="31"/>
        <v>599.66529350434166</v>
      </c>
    </row>
    <row r="135" spans="1:7" x14ac:dyDescent="0.3">
      <c r="A135">
        <v>2012</v>
      </c>
      <c r="B135" t="s">
        <v>54</v>
      </c>
      <c r="C135">
        <f>'rockfish harvests'!D41</f>
        <v>1747</v>
      </c>
      <c r="D135">
        <f>'rockfish harvests'!E41</f>
        <v>612</v>
      </c>
      <c r="E135">
        <f>'rockfish harvests'!F41</f>
        <v>37368.602801802022</v>
      </c>
      <c r="F135">
        <f t="shared" si="30"/>
        <v>193.30960349088201</v>
      </c>
      <c r="G135">
        <f t="shared" si="31"/>
        <v>378.88682284212871</v>
      </c>
    </row>
    <row r="136" spans="1:7" x14ac:dyDescent="0.3">
      <c r="A136">
        <v>2013</v>
      </c>
      <c r="B136" t="s">
        <v>54</v>
      </c>
      <c r="C136">
        <f>'rockfish harvests'!D42</f>
        <v>1983</v>
      </c>
      <c r="D136">
        <f>'rockfish harvests'!E42</f>
        <v>2072</v>
      </c>
      <c r="E136">
        <f>'rockfish harvests'!F42</f>
        <v>290813.90840440401</v>
      </c>
      <c r="F136">
        <f t="shared" si="30"/>
        <v>539.27164620847998</v>
      </c>
      <c r="G136">
        <f t="shared" si="31"/>
        <v>1056.9724265686207</v>
      </c>
    </row>
    <row r="137" spans="1:7" x14ac:dyDescent="0.3">
      <c r="A137">
        <v>2014</v>
      </c>
      <c r="B137" t="s">
        <v>54</v>
      </c>
      <c r="C137">
        <f>'rockfish harvests'!D43</f>
        <v>2396</v>
      </c>
      <c r="D137">
        <f>'rockfish harvests'!E43</f>
        <v>2239</v>
      </c>
      <c r="E137">
        <f>'rockfish harvests'!F43</f>
        <v>356324.55903003004</v>
      </c>
      <c r="F137">
        <f t="shared" si="30"/>
        <v>596.92927473028999</v>
      </c>
      <c r="G137">
        <f t="shared" si="31"/>
        <v>1169.9813784713683</v>
      </c>
    </row>
    <row r="138" spans="1:7" x14ac:dyDescent="0.3">
      <c r="A138">
        <v>2015</v>
      </c>
      <c r="B138" t="s">
        <v>54</v>
      </c>
      <c r="C138">
        <f>'rockfish harvests'!D44</f>
        <v>2031</v>
      </c>
      <c r="D138">
        <f>'rockfish harvests'!E44</f>
        <v>1753</v>
      </c>
      <c r="E138">
        <f>'rockfish harvests'!F44</f>
        <v>589204.68546046084</v>
      </c>
      <c r="F138">
        <f t="shared" si="30"/>
        <v>767.59669453461095</v>
      </c>
      <c r="G138">
        <f t="shared" si="31"/>
        <v>1504.4895212878375</v>
      </c>
    </row>
    <row r="139" spans="1:7" x14ac:dyDescent="0.3">
      <c r="A139">
        <v>2016</v>
      </c>
      <c r="B139" t="s">
        <v>54</v>
      </c>
      <c r="C139">
        <f>'rockfish harvests'!D45</f>
        <v>3337</v>
      </c>
      <c r="D139">
        <f>'rockfish harvests'!E45</f>
        <v>5009</v>
      </c>
      <c r="E139">
        <f>'rockfish harvests'!F45</f>
        <v>1202196.1427988084</v>
      </c>
      <c r="F139">
        <f t="shared" si="30"/>
        <v>1096.44705426154</v>
      </c>
      <c r="G139">
        <f t="shared" si="31"/>
        <v>2149.0362263526181</v>
      </c>
    </row>
    <row r="140" spans="1:7" x14ac:dyDescent="0.3">
      <c r="A140">
        <v>2017</v>
      </c>
      <c r="B140" t="s">
        <v>54</v>
      </c>
      <c r="C140">
        <f>'rockfish harvests'!D46</f>
        <v>2899</v>
      </c>
      <c r="D140">
        <f>'rockfish harvests'!E46</f>
        <v>2144</v>
      </c>
      <c r="E140">
        <f>'rockfish harvests'!F46</f>
        <v>280432.76311411388</v>
      </c>
      <c r="F140">
        <f t="shared" si="30"/>
        <v>529.55902703486595</v>
      </c>
      <c r="G140">
        <f t="shared" si="31"/>
        <v>1037.9356929883372</v>
      </c>
    </row>
    <row r="141" spans="1:7" x14ac:dyDescent="0.3">
      <c r="A141">
        <v>2018</v>
      </c>
      <c r="B141" t="s">
        <v>54</v>
      </c>
      <c r="C141">
        <f>'rockfish harvests'!D47</f>
        <v>4291</v>
      </c>
      <c r="D141">
        <f>'rockfish harvests'!E47</f>
        <v>3896</v>
      </c>
      <c r="E141">
        <f>'rockfish harvests'!F47</f>
        <v>1060621.9609919984</v>
      </c>
      <c r="F141">
        <f t="shared" si="30"/>
        <v>1029.8650207634</v>
      </c>
      <c r="G141">
        <f t="shared" si="31"/>
        <v>2018.535440696264</v>
      </c>
    </row>
    <row r="142" spans="1:7" x14ac:dyDescent="0.3">
      <c r="A142">
        <v>2019</v>
      </c>
      <c r="B142" t="s">
        <v>54</v>
      </c>
      <c r="C142">
        <f>'rockfish harvests'!D48</f>
        <v>6954</v>
      </c>
      <c r="D142">
        <f>'rockfish harvests'!E48</f>
        <v>4471</v>
      </c>
      <c r="E142">
        <f>'rockfish harvests'!F48</f>
        <v>1079051.1470470487</v>
      </c>
      <c r="F142">
        <f>SQRT(E142)</f>
        <v>1038.7738671371401</v>
      </c>
      <c r="G142">
        <f>1.96*F142</f>
        <v>2035.9967795887944</v>
      </c>
    </row>
    <row r="143" spans="1:7" x14ac:dyDescent="0.3">
      <c r="A143">
        <v>2020</v>
      </c>
      <c r="B143" t="s">
        <v>54</v>
      </c>
      <c r="C143">
        <f>'rockfish harvests'!D49</f>
        <v>4035</v>
      </c>
      <c r="D143">
        <f>'rockfish harvests'!E49</f>
        <v>2289</v>
      </c>
      <c r="E143">
        <f>'rockfish harvests'!F49</f>
        <v>233242.22538938923</v>
      </c>
      <c r="F143">
        <f t="shared" ref="F143:F144" si="44">SQRT(E143)</f>
        <v>482.951576650692</v>
      </c>
      <c r="G143">
        <f t="shared" ref="G143:G144" si="45">1.96*F143</f>
        <v>946.58509023535635</v>
      </c>
    </row>
    <row r="144" spans="1:7" x14ac:dyDescent="0.3">
      <c r="A144">
        <v>2021</v>
      </c>
      <c r="B144" t="s">
        <v>54</v>
      </c>
      <c r="C144">
        <f>'rockfish harvests'!D50</f>
        <v>7924</v>
      </c>
      <c r="D144">
        <f>'rockfish harvests'!E50</f>
        <v>8516</v>
      </c>
      <c r="E144">
        <f>'rockfish harvests'!F50</f>
        <v>2362897.2666416327</v>
      </c>
      <c r="F144">
        <f t="shared" si="44"/>
        <v>1537.17184030987</v>
      </c>
      <c r="G144">
        <f t="shared" si="45"/>
        <v>3012.8568070073452</v>
      </c>
    </row>
    <row r="145" spans="1:7" x14ac:dyDescent="0.3">
      <c r="A145">
        <v>2022</v>
      </c>
      <c r="B145" t="s">
        <v>54</v>
      </c>
      <c r="C145">
        <f>'rockfish harvests'!D51</f>
        <v>11146</v>
      </c>
      <c r="D145">
        <f>'rockfish harvests'!E51</f>
        <v>5960</v>
      </c>
      <c r="E145">
        <f>'rockfish harvests'!F51</f>
        <v>2689600</v>
      </c>
      <c r="F145">
        <f t="shared" ref="F145" si="46">SQRT(E145)</f>
        <v>1640</v>
      </c>
      <c r="G145">
        <f t="shared" ref="G145" si="47">1.96*F145</f>
        <v>3214.4</v>
      </c>
    </row>
    <row r="146" spans="1:7" x14ac:dyDescent="0.3">
      <c r="A146">
        <v>2011</v>
      </c>
      <c r="B146" t="s">
        <v>49</v>
      </c>
      <c r="C146">
        <f>'rockfish harvests'!D140</f>
        <v>30322</v>
      </c>
      <c r="D146">
        <f>'rockfish harvests'!E140</f>
        <v>26745</v>
      </c>
      <c r="E146">
        <f>'rockfish harvests'!F140</f>
        <v>3371338.2992552528</v>
      </c>
      <c r="F146">
        <f t="shared" si="30"/>
        <v>1836.1204479160001</v>
      </c>
      <c r="G146">
        <f t="shared" si="31"/>
        <v>3598.79607791536</v>
      </c>
    </row>
    <row r="147" spans="1:7" x14ac:dyDescent="0.3">
      <c r="A147">
        <v>2012</v>
      </c>
      <c r="B147" t="s">
        <v>49</v>
      </c>
      <c r="C147">
        <f>'rockfish harvests'!D141</f>
        <v>27771</v>
      </c>
      <c r="D147">
        <f>'rockfish harvests'!E141</f>
        <v>25298</v>
      </c>
      <c r="E147">
        <f>'rockfish harvests'!F141</f>
        <v>2451631.8439079095</v>
      </c>
      <c r="F147">
        <f t="shared" si="30"/>
        <v>1565.7687708943199</v>
      </c>
      <c r="G147">
        <f t="shared" si="31"/>
        <v>3068.9067909528671</v>
      </c>
    </row>
    <row r="148" spans="1:7" x14ac:dyDescent="0.3">
      <c r="A148">
        <v>2013</v>
      </c>
      <c r="B148" t="s">
        <v>49</v>
      </c>
      <c r="C148">
        <f>'rockfish harvests'!D142</f>
        <v>30558</v>
      </c>
      <c r="D148">
        <f>'rockfish harvests'!E142</f>
        <v>29220</v>
      </c>
      <c r="E148">
        <f>'rockfish harvests'!F142</f>
        <v>2940937.0897137322</v>
      </c>
      <c r="F148">
        <f t="shared" si="30"/>
        <v>1714.91605908678</v>
      </c>
      <c r="G148">
        <f t="shared" si="31"/>
        <v>3361.2354758100887</v>
      </c>
    </row>
    <row r="149" spans="1:7" x14ac:dyDescent="0.3">
      <c r="A149">
        <v>2014</v>
      </c>
      <c r="B149" t="s">
        <v>49</v>
      </c>
      <c r="C149">
        <f>'rockfish harvests'!D143</f>
        <v>37025</v>
      </c>
      <c r="D149">
        <f>'rockfish harvests'!E143</f>
        <v>32841</v>
      </c>
      <c r="E149">
        <f>'rockfish harvests'!F143</f>
        <v>4288839.5662702508</v>
      </c>
      <c r="F149">
        <f t="shared" si="30"/>
        <v>2070.9513674324298</v>
      </c>
      <c r="G149">
        <f t="shared" si="31"/>
        <v>4059.0646801675625</v>
      </c>
    </row>
    <row r="150" spans="1:7" x14ac:dyDescent="0.3">
      <c r="A150">
        <v>2015</v>
      </c>
      <c r="B150" t="s">
        <v>49</v>
      </c>
      <c r="C150">
        <f>'rockfish harvests'!D144</f>
        <v>45883</v>
      </c>
      <c r="D150">
        <f>'rockfish harvests'!E144</f>
        <v>38015</v>
      </c>
      <c r="E150">
        <f>'rockfish harvests'!F144</f>
        <v>4690504.2996746805</v>
      </c>
      <c r="F150">
        <f t="shared" si="30"/>
        <v>2165.7572116178399</v>
      </c>
      <c r="G150">
        <f t="shared" si="31"/>
        <v>4244.8841347709658</v>
      </c>
    </row>
    <row r="151" spans="1:7" x14ac:dyDescent="0.3">
      <c r="A151">
        <v>2016</v>
      </c>
      <c r="B151" t="s">
        <v>49</v>
      </c>
      <c r="C151">
        <f>'rockfish harvests'!D145</f>
        <v>56991</v>
      </c>
      <c r="D151">
        <f>'rockfish harvests'!E145</f>
        <v>54312</v>
      </c>
      <c r="E151">
        <f>'rockfish harvests'!F145</f>
        <v>6811053.1334925136</v>
      </c>
      <c r="F151">
        <f t="shared" si="30"/>
        <v>2609.7994431550701</v>
      </c>
      <c r="G151">
        <f t="shared" si="31"/>
        <v>5115.2069085839375</v>
      </c>
    </row>
    <row r="152" spans="1:7" x14ac:dyDescent="0.3">
      <c r="A152">
        <v>2017</v>
      </c>
      <c r="B152" t="s">
        <v>49</v>
      </c>
      <c r="C152">
        <f>'rockfish harvests'!D146</f>
        <v>38626</v>
      </c>
      <c r="D152">
        <f>'rockfish harvests'!E146</f>
        <v>39626</v>
      </c>
      <c r="E152">
        <f>'rockfish harvests'!F146</f>
        <v>6115880.0231071012</v>
      </c>
      <c r="F152">
        <f t="shared" si="30"/>
        <v>2473.0305342043598</v>
      </c>
      <c r="G152">
        <f t="shared" si="31"/>
        <v>4847.1398470405447</v>
      </c>
    </row>
    <row r="153" spans="1:7" x14ac:dyDescent="0.3">
      <c r="A153">
        <v>2018</v>
      </c>
      <c r="B153" t="s">
        <v>49</v>
      </c>
      <c r="C153">
        <f>'rockfish harvests'!D147</f>
        <v>50115</v>
      </c>
      <c r="D153">
        <f>'rockfish harvests'!E147</f>
        <v>44958</v>
      </c>
      <c r="E153">
        <f>'rockfish harvests'!F147</f>
        <v>6589196.3836226137</v>
      </c>
      <c r="F153">
        <f t="shared" si="30"/>
        <v>2566.9430035788901</v>
      </c>
      <c r="G153">
        <f t="shared" si="31"/>
        <v>5031.2082870146241</v>
      </c>
    </row>
    <row r="154" spans="1:7" x14ac:dyDescent="0.3">
      <c r="A154">
        <v>2019</v>
      </c>
      <c r="B154" t="s">
        <v>49</v>
      </c>
      <c r="C154">
        <f>'rockfish harvests'!D148</f>
        <v>64565</v>
      </c>
      <c r="D154">
        <f>'rockfish harvests'!E148</f>
        <v>54358</v>
      </c>
      <c r="E154">
        <f>'rockfish harvests'!F148</f>
        <v>7817619.6806716658</v>
      </c>
      <c r="F154">
        <f>SQRT(E154)</f>
        <v>2796.0006582030101</v>
      </c>
      <c r="G154">
        <f>1.96*F154</f>
        <v>5480.1612900779</v>
      </c>
    </row>
    <row r="155" spans="1:7" x14ac:dyDescent="0.3">
      <c r="A155">
        <v>2020</v>
      </c>
      <c r="B155" t="s">
        <v>49</v>
      </c>
      <c r="C155">
        <f>'rockfish harvests'!D149</f>
        <v>43363</v>
      </c>
      <c r="D155">
        <f>'rockfish harvests'!E149</f>
        <v>38289</v>
      </c>
      <c r="E155">
        <f>'rockfish harvests'!F149</f>
        <v>3851267.7489399323</v>
      </c>
      <c r="F155">
        <f t="shared" ref="F155:F156" si="48">SQRT(E155)</f>
        <v>1962.46471278847</v>
      </c>
      <c r="G155">
        <f t="shared" ref="G155:G156" si="49">1.96*F155</f>
        <v>3846.4308370654012</v>
      </c>
    </row>
    <row r="156" spans="1:7" x14ac:dyDescent="0.3">
      <c r="A156">
        <v>2021</v>
      </c>
      <c r="B156" t="s">
        <v>49</v>
      </c>
      <c r="C156">
        <f>'rockfish harvests'!D150</f>
        <v>83097</v>
      </c>
      <c r="D156">
        <f>'rockfish harvests'!E150</f>
        <v>59688</v>
      </c>
      <c r="E156">
        <f>'rockfish harvests'!F150</f>
        <v>8990398.6151391603</v>
      </c>
      <c r="F156">
        <f t="shared" si="48"/>
        <v>2998.3993421722798</v>
      </c>
      <c r="G156">
        <f t="shared" si="49"/>
        <v>5876.8627106576687</v>
      </c>
    </row>
    <row r="157" spans="1:7" x14ac:dyDescent="0.3">
      <c r="A157">
        <v>2022</v>
      </c>
      <c r="B157" t="s">
        <v>49</v>
      </c>
      <c r="C157">
        <f>'rockfish harvests'!D151</f>
        <v>86545</v>
      </c>
      <c r="D157">
        <f>'rockfish harvests'!E151</f>
        <v>64214</v>
      </c>
      <c r="E157">
        <f>'rockfish harvests'!F151</f>
        <v>13118884</v>
      </c>
      <c r="F157">
        <f t="shared" ref="F157" si="50">SQRT(E157)</f>
        <v>3622</v>
      </c>
      <c r="G157">
        <f t="shared" ref="G157" si="51">1.96*F157</f>
        <v>7099.12</v>
      </c>
    </row>
    <row r="158" spans="1:7" x14ac:dyDescent="0.3">
      <c r="A158">
        <v>2011</v>
      </c>
      <c r="B158" t="s">
        <v>50</v>
      </c>
      <c r="C158">
        <f>'rockfish harvests'!D165</f>
        <v>6904</v>
      </c>
      <c r="D158">
        <f>'rockfish harvests'!E165</f>
        <v>5586</v>
      </c>
      <c r="E158">
        <f>'rockfish harvests'!F165</f>
        <v>1018027.7018928905</v>
      </c>
      <c r="F158">
        <f t="shared" si="30"/>
        <v>1008.97358830293</v>
      </c>
      <c r="G158">
        <f t="shared" si="31"/>
        <v>1977.5882330737427</v>
      </c>
    </row>
    <row r="159" spans="1:7" x14ac:dyDescent="0.3">
      <c r="A159">
        <v>2012</v>
      </c>
      <c r="B159" t="s">
        <v>50</v>
      </c>
      <c r="C159">
        <f>'rockfish harvests'!D166</f>
        <v>6813</v>
      </c>
      <c r="D159">
        <f>'rockfish harvests'!E166</f>
        <v>6484</v>
      </c>
      <c r="E159">
        <f>'rockfish harvests'!F166</f>
        <v>1240637.6038428419</v>
      </c>
      <c r="F159">
        <f t="shared" si="30"/>
        <v>1113.8391283497101</v>
      </c>
      <c r="G159">
        <f t="shared" si="31"/>
        <v>2183.1246915654319</v>
      </c>
    </row>
    <row r="160" spans="1:7" x14ac:dyDescent="0.3">
      <c r="A160">
        <v>2013</v>
      </c>
      <c r="B160" t="s">
        <v>50</v>
      </c>
      <c r="C160">
        <f>'rockfish harvests'!D167</f>
        <v>9965</v>
      </c>
      <c r="D160">
        <f>'rockfish harvests'!E167</f>
        <v>5313</v>
      </c>
      <c r="E160">
        <f>'rockfish harvests'!F167</f>
        <v>736780.25336436427</v>
      </c>
      <c r="F160">
        <f t="shared" si="30"/>
        <v>858.35904688210996</v>
      </c>
      <c r="G160">
        <f t="shared" si="31"/>
        <v>1682.3837318889355</v>
      </c>
    </row>
    <row r="161" spans="1:7" x14ac:dyDescent="0.3">
      <c r="A161">
        <v>2014</v>
      </c>
      <c r="B161" t="s">
        <v>50</v>
      </c>
      <c r="C161">
        <f>'rockfish harvests'!D168</f>
        <v>11896</v>
      </c>
      <c r="D161">
        <f>'rockfish harvests'!E168</f>
        <v>14189</v>
      </c>
      <c r="E161">
        <f>'rockfish harvests'!F168</f>
        <v>3624990.0104104094</v>
      </c>
      <c r="F161">
        <f t="shared" si="30"/>
        <v>1903.94065306942</v>
      </c>
      <c r="G161">
        <f t="shared" si="31"/>
        <v>3731.7236800160631</v>
      </c>
    </row>
    <row r="162" spans="1:7" x14ac:dyDescent="0.3">
      <c r="A162">
        <v>2015</v>
      </c>
      <c r="B162" t="s">
        <v>50</v>
      </c>
      <c r="C162">
        <f>'rockfish harvests'!D169</f>
        <v>12377</v>
      </c>
      <c r="D162">
        <f>'rockfish harvests'!E169</f>
        <v>8808</v>
      </c>
      <c r="E162">
        <f>'rockfish harvests'!F169</f>
        <v>1555658.3352462491</v>
      </c>
      <c r="F162">
        <f t="shared" si="30"/>
        <v>1247.2603317857299</v>
      </c>
      <c r="G162">
        <f t="shared" si="31"/>
        <v>2444.6302503000306</v>
      </c>
    </row>
    <row r="163" spans="1:7" x14ac:dyDescent="0.3">
      <c r="A163">
        <v>2016</v>
      </c>
      <c r="B163" t="s">
        <v>50</v>
      </c>
      <c r="C163">
        <f>'rockfish harvests'!D170</f>
        <v>13580</v>
      </c>
      <c r="D163">
        <f>'rockfish harvests'!E170</f>
        <v>7013</v>
      </c>
      <c r="E163">
        <f>'rockfish harvests'!F170</f>
        <v>1611474.156360368</v>
      </c>
      <c r="F163">
        <f t="shared" si="30"/>
        <v>1269.43852011839</v>
      </c>
      <c r="G163">
        <f t="shared" si="31"/>
        <v>2488.0994994320445</v>
      </c>
    </row>
    <row r="164" spans="1:7" x14ac:dyDescent="0.3">
      <c r="A164">
        <v>2017</v>
      </c>
      <c r="B164" t="s">
        <v>50</v>
      </c>
      <c r="C164">
        <f>'rockfish harvests'!D171</f>
        <v>6719</v>
      </c>
      <c r="D164">
        <f>'rockfish harvests'!E171</f>
        <v>8635</v>
      </c>
      <c r="E164">
        <f>'rockfish harvests'!F171</f>
        <v>2065818.5137577469</v>
      </c>
      <c r="F164">
        <f t="shared" si="30"/>
        <v>1437.29555546441</v>
      </c>
      <c r="G164">
        <f t="shared" si="31"/>
        <v>2817.0992887102434</v>
      </c>
    </row>
    <row r="165" spans="1:7" x14ac:dyDescent="0.3">
      <c r="A165">
        <v>2018</v>
      </c>
      <c r="B165" t="s">
        <v>50</v>
      </c>
      <c r="C165">
        <f>'rockfish harvests'!D172</f>
        <v>8479</v>
      </c>
      <c r="D165">
        <f>'rockfish harvests'!E172</f>
        <v>6486</v>
      </c>
      <c r="E165">
        <f>'rockfish harvests'!F172</f>
        <v>1145866.3617056981</v>
      </c>
      <c r="F165">
        <f t="shared" si="30"/>
        <v>1070.45147564273</v>
      </c>
      <c r="G165">
        <f t="shared" si="31"/>
        <v>2098.0848922597506</v>
      </c>
    </row>
    <row r="166" spans="1:7" x14ac:dyDescent="0.3">
      <c r="A166">
        <v>2019</v>
      </c>
      <c r="B166" t="s">
        <v>50</v>
      </c>
      <c r="C166">
        <f>'rockfish harvests'!D173</f>
        <v>9881</v>
      </c>
      <c r="D166">
        <f>'rockfish harvests'!E173</f>
        <v>7481</v>
      </c>
      <c r="E166">
        <f>'rockfish harvests'!F173</f>
        <v>975394.6246156171</v>
      </c>
      <c r="F166">
        <f>SQRT(E166)</f>
        <v>987.62068863284605</v>
      </c>
      <c r="G166">
        <f>1.96*F166</f>
        <v>1935.7365497203782</v>
      </c>
    </row>
    <row r="167" spans="1:7" x14ac:dyDescent="0.3">
      <c r="A167">
        <v>2020</v>
      </c>
      <c r="B167" t="s">
        <v>50</v>
      </c>
      <c r="C167">
        <f>'rockfish harvests'!D174</f>
        <v>4479</v>
      </c>
      <c r="D167">
        <f>'rockfish harvests'!E174</f>
        <v>2696</v>
      </c>
      <c r="E167">
        <f>'rockfish harvests'!F174</f>
        <v>281022.69369269308</v>
      </c>
      <c r="F167">
        <f t="shared" ref="F167:F168" si="52">SQRT(E167)</f>
        <v>530.11573613003895</v>
      </c>
      <c r="G167">
        <f t="shared" ref="G167:G168" si="53">1.96*F167</f>
        <v>1039.0268428148763</v>
      </c>
    </row>
    <row r="168" spans="1:7" x14ac:dyDescent="0.3">
      <c r="A168">
        <v>2021</v>
      </c>
      <c r="B168" t="s">
        <v>50</v>
      </c>
      <c r="C168">
        <f>'rockfish harvests'!D175</f>
        <v>9680</v>
      </c>
      <c r="D168">
        <f>'rockfish harvests'!E175</f>
        <v>9479</v>
      </c>
      <c r="E168">
        <f>'rockfish harvests'!F175</f>
        <v>1897417.6877187195</v>
      </c>
      <c r="F168">
        <f t="shared" si="52"/>
        <v>1377.46785360629</v>
      </c>
      <c r="G168">
        <f t="shared" si="53"/>
        <v>2699.8369930683284</v>
      </c>
    </row>
    <row r="169" spans="1:7" x14ac:dyDescent="0.3">
      <c r="A169">
        <v>2022</v>
      </c>
      <c r="B169" t="s">
        <v>50</v>
      </c>
      <c r="C169">
        <f>'rockfish harvests'!D176</f>
        <v>10973</v>
      </c>
      <c r="D169">
        <f>'rockfish harvests'!E176</f>
        <v>9783</v>
      </c>
      <c r="E169">
        <f>'rockfish harvests'!F176</f>
        <v>1918225</v>
      </c>
      <c r="F169">
        <f t="shared" ref="F169" si="54">SQRT(E169)</f>
        <v>1385</v>
      </c>
      <c r="G169">
        <f t="shared" ref="G169" si="55">1.96*F169</f>
        <v>2714.6</v>
      </c>
    </row>
    <row r="170" spans="1:7" x14ac:dyDescent="0.3">
      <c r="A170">
        <v>2011</v>
      </c>
      <c r="B170" t="s">
        <v>51</v>
      </c>
      <c r="C170">
        <f>'rockfish harvests'!D190</f>
        <v>11367</v>
      </c>
      <c r="D170">
        <f>'rockfish harvests'!E190</f>
        <v>3774</v>
      </c>
      <c r="E170">
        <f>'rockfish harvests'!F190</f>
        <v>242434.32982982989</v>
      </c>
      <c r="F170">
        <f t="shared" si="30"/>
        <v>492.37620761956998</v>
      </c>
      <c r="G170">
        <f t="shared" si="31"/>
        <v>965.05736693435711</v>
      </c>
    </row>
    <row r="171" spans="1:7" x14ac:dyDescent="0.3">
      <c r="A171">
        <v>2012</v>
      </c>
      <c r="B171" t="s">
        <v>51</v>
      </c>
      <c r="C171">
        <f>'rockfish harvests'!D191</f>
        <v>13580</v>
      </c>
      <c r="D171">
        <f>'rockfish harvests'!E191</f>
        <v>6613</v>
      </c>
      <c r="E171">
        <f>'rockfish harvests'!F191</f>
        <v>843123.71126226336</v>
      </c>
      <c r="F171">
        <f t="shared" si="30"/>
        <v>918.21768185015003</v>
      </c>
      <c r="G171">
        <f t="shared" si="31"/>
        <v>1799.7066564262941</v>
      </c>
    </row>
    <row r="172" spans="1:7" x14ac:dyDescent="0.3">
      <c r="A172">
        <v>2013</v>
      </c>
      <c r="B172" t="s">
        <v>51</v>
      </c>
      <c r="C172">
        <f>'rockfish harvests'!D192</f>
        <v>14209</v>
      </c>
      <c r="D172">
        <f>'rockfish harvests'!E192</f>
        <v>6102</v>
      </c>
      <c r="E172">
        <f>'rockfish harvests'!F192</f>
        <v>488966.8653613613</v>
      </c>
      <c r="F172">
        <f t="shared" si="30"/>
        <v>699.261657293864</v>
      </c>
      <c r="G172">
        <f t="shared" si="31"/>
        <v>1370.5528482959735</v>
      </c>
    </row>
    <row r="173" spans="1:7" x14ac:dyDescent="0.3">
      <c r="A173">
        <v>2014</v>
      </c>
      <c r="B173" t="s">
        <v>51</v>
      </c>
      <c r="C173">
        <f>'rockfish harvests'!D193</f>
        <v>14913</v>
      </c>
      <c r="D173">
        <f>'rockfish harvests'!E193</f>
        <v>9046</v>
      </c>
      <c r="E173">
        <f>'rockfish harvests'!F193</f>
        <v>1666839.6055055037</v>
      </c>
      <c r="F173">
        <f t="shared" si="30"/>
        <v>1291.06142592268</v>
      </c>
      <c r="G173">
        <f t="shared" si="31"/>
        <v>2530.4803948084527</v>
      </c>
    </row>
    <row r="174" spans="1:7" x14ac:dyDescent="0.3">
      <c r="A174">
        <v>2015</v>
      </c>
      <c r="B174" t="s">
        <v>51</v>
      </c>
      <c r="C174">
        <f>'rockfish harvests'!D194</f>
        <v>20073</v>
      </c>
      <c r="D174">
        <f>'rockfish harvests'!E194</f>
        <v>8996</v>
      </c>
      <c r="E174">
        <f>'rockfish harvests'!F194</f>
        <v>892984.73656756792</v>
      </c>
      <c r="F174">
        <f t="shared" si="30"/>
        <v>944.97869635646703</v>
      </c>
      <c r="G174">
        <f t="shared" si="31"/>
        <v>1852.1582448586753</v>
      </c>
    </row>
    <row r="175" spans="1:7" x14ac:dyDescent="0.3">
      <c r="A175">
        <v>2016</v>
      </c>
      <c r="B175" t="s">
        <v>51</v>
      </c>
      <c r="C175">
        <f>'rockfish harvests'!D195</f>
        <v>28893</v>
      </c>
      <c r="D175">
        <f>'rockfish harvests'!E195</f>
        <v>10302</v>
      </c>
      <c r="E175">
        <f>'rockfish harvests'!F195</f>
        <v>1365515.0305345249</v>
      </c>
      <c r="F175">
        <f t="shared" si="30"/>
        <v>1168.5525364888499</v>
      </c>
      <c r="G175">
        <f t="shared" si="31"/>
        <v>2290.362971518146</v>
      </c>
    </row>
    <row r="176" spans="1:7" x14ac:dyDescent="0.3">
      <c r="A176">
        <v>2017</v>
      </c>
      <c r="B176" t="s">
        <v>51</v>
      </c>
      <c r="C176">
        <f>'rockfish harvests'!D196</f>
        <v>16300</v>
      </c>
      <c r="D176">
        <f>'rockfish harvests'!E196</f>
        <v>8241</v>
      </c>
      <c r="E176">
        <f>'rockfish harvests'!F196</f>
        <v>868708.97628728708</v>
      </c>
      <c r="F176">
        <f t="shared" si="30"/>
        <v>932.04558702205497</v>
      </c>
      <c r="G176">
        <f t="shared" si="31"/>
        <v>1826.8093505632278</v>
      </c>
    </row>
    <row r="177" spans="1:7" x14ac:dyDescent="0.3">
      <c r="A177">
        <v>2018</v>
      </c>
      <c r="B177" t="s">
        <v>51</v>
      </c>
      <c r="C177">
        <f>'rockfish harvests'!D197</f>
        <v>12107</v>
      </c>
      <c r="D177">
        <f>'rockfish harvests'!E197</f>
        <v>9514</v>
      </c>
      <c r="E177">
        <f>'rockfish harvests'!F197</f>
        <v>1343205.7000110077</v>
      </c>
      <c r="F177">
        <f t="shared" si="30"/>
        <v>1158.96751464871</v>
      </c>
      <c r="G177">
        <f t="shared" si="31"/>
        <v>2271.5763287114714</v>
      </c>
    </row>
    <row r="178" spans="1:7" x14ac:dyDescent="0.3">
      <c r="A178">
        <v>2019</v>
      </c>
      <c r="B178" t="s">
        <v>51</v>
      </c>
      <c r="C178">
        <f>'rockfish harvests'!D198</f>
        <v>15083</v>
      </c>
      <c r="D178">
        <f>'rockfish harvests'!E198</f>
        <v>13138</v>
      </c>
      <c r="E178">
        <f>'rockfish harvests'!F198</f>
        <v>1542503.0820410531</v>
      </c>
      <c r="F178">
        <f>SQRT(E178)</f>
        <v>1241.9754756198099</v>
      </c>
      <c r="G178">
        <f>1.96*F178</f>
        <v>2434.2719322148273</v>
      </c>
    </row>
    <row r="179" spans="1:7" x14ac:dyDescent="0.3">
      <c r="A179">
        <v>2020</v>
      </c>
      <c r="B179" t="s">
        <v>51</v>
      </c>
      <c r="C179">
        <f>'rockfish harvests'!D199</f>
        <v>9001</v>
      </c>
      <c r="D179">
        <f>'rockfish harvests'!E199</f>
        <v>8645</v>
      </c>
      <c r="E179">
        <f>'rockfish harvests'!F199</f>
        <v>908092.66942042112</v>
      </c>
      <c r="F179">
        <f t="shared" ref="F179:F180" si="56">SQRT(E179)</f>
        <v>952.93896416319399</v>
      </c>
      <c r="G179">
        <f t="shared" ref="G179:G180" si="57">1.96*F179</f>
        <v>1867.7603697598602</v>
      </c>
    </row>
    <row r="180" spans="1:7" x14ac:dyDescent="0.3">
      <c r="A180">
        <v>2021</v>
      </c>
      <c r="B180" t="s">
        <v>51</v>
      </c>
      <c r="C180">
        <f>'rockfish harvests'!D200</f>
        <v>16848</v>
      </c>
      <c r="D180">
        <f>'rockfish harvests'!E200</f>
        <v>13179</v>
      </c>
      <c r="E180">
        <f>'rockfish harvests'!F200</f>
        <v>2669707.3398508485</v>
      </c>
      <c r="F180">
        <f t="shared" si="56"/>
        <v>1633.92390883139</v>
      </c>
      <c r="G180">
        <f t="shared" si="57"/>
        <v>3202.4908613095245</v>
      </c>
    </row>
    <row r="181" spans="1:7" x14ac:dyDescent="0.3">
      <c r="A181">
        <v>2022</v>
      </c>
      <c r="B181" t="s">
        <v>51</v>
      </c>
      <c r="C181">
        <f>'rockfish harvests'!D201</f>
        <v>21685</v>
      </c>
      <c r="D181">
        <f>'rockfish harvests'!E201</f>
        <v>14868</v>
      </c>
      <c r="E181">
        <f>'rockfish harvests'!F201</f>
        <v>2214144</v>
      </c>
      <c r="F181">
        <f t="shared" ref="F181" si="58">SQRT(E181)</f>
        <v>1488</v>
      </c>
      <c r="G181">
        <f t="shared" ref="G181" si="59">1.96*F181</f>
        <v>2916.48</v>
      </c>
    </row>
    <row r="182" spans="1:7" x14ac:dyDescent="0.3">
      <c r="A182">
        <v>2011</v>
      </c>
      <c r="B182" t="s">
        <v>52</v>
      </c>
      <c r="C182">
        <f>'rockfish harvests'!D215</f>
        <v>15590</v>
      </c>
      <c r="D182">
        <f>'rockfish harvests'!E215</f>
        <v>9523</v>
      </c>
      <c r="E182">
        <f>'rockfish harvests'!F215</f>
        <v>1000086.8635795786</v>
      </c>
      <c r="F182">
        <f t="shared" si="30"/>
        <v>1000.04343084667</v>
      </c>
      <c r="G182">
        <f t="shared" si="31"/>
        <v>1960.0851244594733</v>
      </c>
    </row>
    <row r="183" spans="1:7" x14ac:dyDescent="0.3">
      <c r="A183">
        <v>2012</v>
      </c>
      <c r="B183" t="s">
        <v>52</v>
      </c>
      <c r="C183">
        <f>'rockfish harvests'!D216</f>
        <v>16566</v>
      </c>
      <c r="D183">
        <f>'rockfish harvests'!E216</f>
        <v>11672</v>
      </c>
      <c r="E183">
        <f>'rockfish harvests'!F216</f>
        <v>1684349.2401111166</v>
      </c>
      <c r="F183">
        <f t="shared" si="30"/>
        <v>1297.82481102463</v>
      </c>
      <c r="G183">
        <f t="shared" si="31"/>
        <v>2543.7366296082746</v>
      </c>
    </row>
    <row r="184" spans="1:7" x14ac:dyDescent="0.3">
      <c r="A184">
        <v>2013</v>
      </c>
      <c r="B184" t="s">
        <v>52</v>
      </c>
      <c r="C184">
        <f>'rockfish harvests'!D217</f>
        <v>19818</v>
      </c>
      <c r="D184">
        <f>'rockfish harvests'!E217</f>
        <v>12255</v>
      </c>
      <c r="E184">
        <f>'rockfish harvests'!F217</f>
        <v>1635681.2696055952</v>
      </c>
      <c r="F184">
        <f t="shared" si="30"/>
        <v>1278.9375550063401</v>
      </c>
      <c r="G184">
        <f t="shared" si="31"/>
        <v>2506.7176078124266</v>
      </c>
    </row>
    <row r="185" spans="1:7" x14ac:dyDescent="0.3">
      <c r="A185">
        <v>2014</v>
      </c>
      <c r="B185" t="s">
        <v>52</v>
      </c>
      <c r="C185">
        <f>'rockfish harvests'!D218</f>
        <v>21309</v>
      </c>
      <c r="D185">
        <f>'rockfish harvests'!E218</f>
        <v>10778</v>
      </c>
      <c r="E185">
        <f>'rockfish harvests'!F218</f>
        <v>1179415.2438478486</v>
      </c>
      <c r="F185">
        <f t="shared" si="30"/>
        <v>1086.00885993064</v>
      </c>
      <c r="G185">
        <f t="shared" si="31"/>
        <v>2128.5773654640543</v>
      </c>
    </row>
    <row r="186" spans="1:7" x14ac:dyDescent="0.3">
      <c r="A186">
        <v>2015</v>
      </c>
      <c r="B186" t="s">
        <v>52</v>
      </c>
      <c r="C186">
        <f>'rockfish harvests'!D219</f>
        <v>24516</v>
      </c>
      <c r="D186">
        <f>'rockfish harvests'!E219</f>
        <v>14327</v>
      </c>
      <c r="E186">
        <f>'rockfish harvests'!F219</f>
        <v>2243009.0109109143</v>
      </c>
      <c r="F186">
        <f t="shared" si="30"/>
        <v>1497.66785734051</v>
      </c>
      <c r="G186">
        <f t="shared" si="31"/>
        <v>2935.4290003873994</v>
      </c>
    </row>
    <row r="187" spans="1:7" x14ac:dyDescent="0.3">
      <c r="A187">
        <v>2016</v>
      </c>
      <c r="B187" t="s">
        <v>52</v>
      </c>
      <c r="C187">
        <f>'rockfish harvests'!D220</f>
        <v>29349</v>
      </c>
      <c r="D187">
        <f>'rockfish harvests'!E220</f>
        <v>19835</v>
      </c>
      <c r="E187">
        <f>'rockfish harvests'!F220</f>
        <v>2640694.0164164146</v>
      </c>
      <c r="F187">
        <f t="shared" si="30"/>
        <v>1625.0212356816801</v>
      </c>
      <c r="G187">
        <f t="shared" si="31"/>
        <v>3185.0416219360927</v>
      </c>
    </row>
    <row r="188" spans="1:7" x14ac:dyDescent="0.3">
      <c r="A188">
        <v>2017</v>
      </c>
      <c r="B188" t="s">
        <v>52</v>
      </c>
      <c r="C188">
        <f>'rockfish harvests'!D221</f>
        <v>28647</v>
      </c>
      <c r="D188">
        <f>'rockfish harvests'!E221</f>
        <v>10418</v>
      </c>
      <c r="E188">
        <f>'rockfish harvests'!F221</f>
        <v>1578689.6600600502</v>
      </c>
      <c r="F188">
        <f t="shared" si="30"/>
        <v>1256.45917564402</v>
      </c>
      <c r="G188">
        <f t="shared" si="31"/>
        <v>2462.6599842622791</v>
      </c>
    </row>
    <row r="189" spans="1:7" x14ac:dyDescent="0.3">
      <c r="A189">
        <v>2018</v>
      </c>
      <c r="B189" t="s">
        <v>52</v>
      </c>
      <c r="C189">
        <f>'rockfish harvests'!D222</f>
        <v>27142</v>
      </c>
      <c r="D189">
        <f>'rockfish harvests'!E222</f>
        <v>11327</v>
      </c>
      <c r="E189">
        <f>'rockfish harvests'!F222</f>
        <v>3278882.3630991206</v>
      </c>
      <c r="F189">
        <f t="shared" si="30"/>
        <v>1810.76844546704</v>
      </c>
      <c r="G189">
        <f t="shared" si="31"/>
        <v>3549.1061531153982</v>
      </c>
    </row>
    <row r="190" spans="1:7" x14ac:dyDescent="0.3">
      <c r="A190">
        <v>2019</v>
      </c>
      <c r="B190" t="s">
        <v>52</v>
      </c>
      <c r="C190">
        <f>'rockfish harvests'!D223</f>
        <v>33682</v>
      </c>
      <c r="D190">
        <f>'rockfish harvests'!E223</f>
        <v>9235</v>
      </c>
      <c r="E190">
        <f>'rockfish harvests'!F223</f>
        <v>1570889.8454044154</v>
      </c>
      <c r="F190">
        <f>SQRT(E190)</f>
        <v>1253.35144528756</v>
      </c>
      <c r="G190">
        <f>1.96*F190</f>
        <v>2456.5688327636176</v>
      </c>
    </row>
    <row r="191" spans="1:7" x14ac:dyDescent="0.3">
      <c r="A191">
        <v>2020</v>
      </c>
      <c r="B191" t="s">
        <v>52</v>
      </c>
      <c r="C191">
        <f>'rockfish harvests'!D224</f>
        <v>29279</v>
      </c>
      <c r="D191">
        <f>'rockfish harvests'!E224</f>
        <v>7465</v>
      </c>
      <c r="E191">
        <f>'rockfish harvests'!F224</f>
        <v>726238.58025125181</v>
      </c>
      <c r="F191">
        <f t="shared" ref="F191:F192" si="60">SQRT(E191)</f>
        <v>852.19632729274997</v>
      </c>
      <c r="G191">
        <f t="shared" ref="G191:G192" si="61">1.96*F191</f>
        <v>1670.3048014937899</v>
      </c>
    </row>
    <row r="192" spans="1:7" x14ac:dyDescent="0.3">
      <c r="A192">
        <v>2021</v>
      </c>
      <c r="B192" t="s">
        <v>52</v>
      </c>
      <c r="C192">
        <f>'rockfish harvests'!D225</f>
        <v>38638</v>
      </c>
      <c r="D192">
        <f>'rockfish harvests'!E225</f>
        <v>12079</v>
      </c>
      <c r="E192">
        <f>'rockfish harvests'!F225</f>
        <v>1555376.4304304256</v>
      </c>
      <c r="F192">
        <f t="shared" si="60"/>
        <v>1247.1473170521699</v>
      </c>
      <c r="G192">
        <f t="shared" si="61"/>
        <v>2444.4087414222531</v>
      </c>
    </row>
    <row r="193" spans="1:7" x14ac:dyDescent="0.3">
      <c r="A193">
        <v>2022</v>
      </c>
      <c r="B193" t="s">
        <v>52</v>
      </c>
      <c r="C193">
        <f>'rockfish harvests'!D226</f>
        <v>36656</v>
      </c>
      <c r="D193">
        <f>'rockfish harvests'!E226</f>
        <v>11206</v>
      </c>
      <c r="E193">
        <f>'rockfish harvests'!F226</f>
        <v>1948816</v>
      </c>
      <c r="F193">
        <f t="shared" ref="F193" si="62">SQRT(E193)</f>
        <v>1396</v>
      </c>
      <c r="G193">
        <f t="shared" ref="G193" si="63">1.96*F193</f>
        <v>2736.16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7DBA8-6E17-4622-A858-33AEC9BC7FC1}">
  <sheetPr>
    <tabColor theme="0" tint="-0.499984740745262"/>
  </sheetPr>
  <dimension ref="A1:K224"/>
  <sheetViews>
    <sheetView zoomScale="80" zoomScaleNormal="80" workbookViewId="0">
      <selection activeCell="K167" sqref="K167"/>
    </sheetView>
  </sheetViews>
  <sheetFormatPr defaultRowHeight="14.4" x14ac:dyDescent="0.3"/>
  <sheetData>
    <row r="1" spans="1:11" x14ac:dyDescent="0.3">
      <c r="B1" t="s">
        <v>88</v>
      </c>
      <c r="C1" t="s">
        <v>89</v>
      </c>
    </row>
    <row r="2" spans="1:11" x14ac:dyDescent="0.3">
      <c r="B2" s="34" t="s">
        <v>42</v>
      </c>
      <c r="G2" s="34" t="s">
        <v>90</v>
      </c>
      <c r="H2" s="34" t="s">
        <v>45</v>
      </c>
      <c r="I2" s="34" t="s">
        <v>92</v>
      </c>
    </row>
    <row r="3" spans="1:11" x14ac:dyDescent="0.3">
      <c r="A3" s="35">
        <v>1996</v>
      </c>
      <c r="B3" s="11">
        <v>8489</v>
      </c>
      <c r="G3" s="35">
        <v>1996</v>
      </c>
      <c r="H3" s="11">
        <v>843</v>
      </c>
      <c r="I3" s="11"/>
    </row>
    <row r="4" spans="1:11" x14ac:dyDescent="0.3">
      <c r="A4" s="35">
        <v>1997</v>
      </c>
      <c r="B4" s="11">
        <v>9593</v>
      </c>
      <c r="G4" s="35">
        <v>1997</v>
      </c>
      <c r="H4" s="11">
        <v>1826</v>
      </c>
      <c r="I4" s="11"/>
    </row>
    <row r="5" spans="1:11" x14ac:dyDescent="0.3">
      <c r="A5" s="35">
        <v>1998</v>
      </c>
      <c r="B5" s="11">
        <v>12979</v>
      </c>
      <c r="C5">
        <f>'rockfish harvests'!D227</f>
        <v>9366</v>
      </c>
      <c r="D5" s="37">
        <f>C5-B5</f>
        <v>-3613</v>
      </c>
      <c r="G5" s="35">
        <v>1998</v>
      </c>
      <c r="H5" s="11">
        <v>1540</v>
      </c>
      <c r="I5" s="11">
        <f>'rockfish harvests'!D2</f>
        <v>416</v>
      </c>
      <c r="J5" s="37">
        <f>I5-H5</f>
        <v>-1124</v>
      </c>
    </row>
    <row r="6" spans="1:11" x14ac:dyDescent="0.3">
      <c r="A6" s="35">
        <v>1999</v>
      </c>
      <c r="B6" s="11">
        <v>18327</v>
      </c>
      <c r="C6">
        <f>'rockfish harvests'!D228</f>
        <v>9636</v>
      </c>
      <c r="D6" s="37">
        <f t="shared" ref="D6:D25" si="0">C6-B6</f>
        <v>-8691</v>
      </c>
      <c r="G6" s="35">
        <v>1999</v>
      </c>
      <c r="H6" s="11">
        <v>1454</v>
      </c>
      <c r="I6" s="11">
        <f>'rockfish harvests'!D3</f>
        <v>506</v>
      </c>
      <c r="J6" s="37">
        <f t="shared" ref="J6:J26" si="1">I6-H6</f>
        <v>-948</v>
      </c>
    </row>
    <row r="7" spans="1:11" x14ac:dyDescent="0.3">
      <c r="A7" s="35">
        <v>2000</v>
      </c>
      <c r="B7" s="11">
        <v>15815</v>
      </c>
      <c r="C7">
        <f>'rockfish harvests'!D229</f>
        <v>16855</v>
      </c>
      <c r="D7" s="37">
        <f t="shared" si="0"/>
        <v>1040</v>
      </c>
      <c r="E7" s="17">
        <f>D7/B7</f>
        <v>6.5760354094214352E-2</v>
      </c>
      <c r="G7" s="35">
        <v>2000</v>
      </c>
      <c r="H7" s="11">
        <v>1169</v>
      </c>
      <c r="I7" s="11">
        <f>'rockfish harvests'!D4</f>
        <v>1412</v>
      </c>
      <c r="J7" s="37">
        <f t="shared" si="1"/>
        <v>243</v>
      </c>
      <c r="K7" s="17">
        <f>J7/H7</f>
        <v>0.20786997433704021</v>
      </c>
    </row>
    <row r="8" spans="1:11" x14ac:dyDescent="0.3">
      <c r="A8" s="35">
        <v>2001</v>
      </c>
      <c r="B8" s="11">
        <v>14843</v>
      </c>
      <c r="C8">
        <f>'rockfish harvests'!D230</f>
        <v>15083</v>
      </c>
      <c r="D8" s="37">
        <f t="shared" si="0"/>
        <v>240</v>
      </c>
      <c r="E8" s="17">
        <f t="shared" ref="E8:E26" si="2">D8/B8</f>
        <v>1.6169238024658087E-2</v>
      </c>
      <c r="G8" s="35">
        <v>2001</v>
      </c>
      <c r="H8" s="11">
        <v>706</v>
      </c>
      <c r="I8" s="11">
        <f>'rockfish harvests'!D5</f>
        <v>535</v>
      </c>
      <c r="J8" s="37">
        <f t="shared" si="1"/>
        <v>-171</v>
      </c>
      <c r="K8" s="17"/>
    </row>
    <row r="9" spans="1:11" x14ac:dyDescent="0.3">
      <c r="A9" s="35">
        <v>2002</v>
      </c>
      <c r="B9" s="11">
        <v>13808</v>
      </c>
      <c r="C9">
        <f>'rockfish harvests'!D231</f>
        <v>14004</v>
      </c>
      <c r="D9" s="37">
        <f t="shared" si="0"/>
        <v>196</v>
      </c>
      <c r="E9" s="17">
        <f t="shared" si="2"/>
        <v>1.4194669756662804E-2</v>
      </c>
      <c r="G9" s="35">
        <v>2002</v>
      </c>
      <c r="H9" s="11">
        <v>1287</v>
      </c>
      <c r="I9" s="11">
        <f>'rockfish harvests'!D6</f>
        <v>345</v>
      </c>
      <c r="J9" s="37">
        <f t="shared" si="1"/>
        <v>-942</v>
      </c>
      <c r="K9" s="17"/>
    </row>
    <row r="10" spans="1:11" x14ac:dyDescent="0.3">
      <c r="A10" s="35">
        <v>2003</v>
      </c>
      <c r="B10" s="11">
        <v>13730</v>
      </c>
      <c r="C10">
        <f>'rockfish harvests'!D232</f>
        <v>15272</v>
      </c>
      <c r="D10" s="37">
        <f t="shared" si="0"/>
        <v>1542</v>
      </c>
      <c r="E10" s="17">
        <f t="shared" si="2"/>
        <v>0.1123088128186453</v>
      </c>
      <c r="G10" s="35">
        <v>2003</v>
      </c>
      <c r="H10" s="11">
        <v>1787</v>
      </c>
      <c r="I10" s="11">
        <f>'rockfish harvests'!D7</f>
        <v>567</v>
      </c>
      <c r="J10" s="37">
        <f t="shared" si="1"/>
        <v>-1220</v>
      </c>
      <c r="K10" s="17"/>
    </row>
    <row r="11" spans="1:11" x14ac:dyDescent="0.3">
      <c r="A11" s="35">
        <v>2004</v>
      </c>
      <c r="B11" s="11">
        <v>25516</v>
      </c>
      <c r="C11">
        <f>'rockfish harvests'!D233</f>
        <v>21796</v>
      </c>
      <c r="D11" s="37">
        <f t="shared" si="0"/>
        <v>-3720</v>
      </c>
      <c r="G11" s="35">
        <v>2004</v>
      </c>
      <c r="H11" s="11">
        <v>2169</v>
      </c>
      <c r="I11" s="11">
        <f>'rockfish harvests'!D8</f>
        <v>468</v>
      </c>
      <c r="J11" s="37">
        <f t="shared" si="1"/>
        <v>-1701</v>
      </c>
    </row>
    <row r="12" spans="1:11" x14ac:dyDescent="0.3">
      <c r="A12" s="35">
        <v>2005</v>
      </c>
      <c r="B12" s="11">
        <v>26687</v>
      </c>
      <c r="C12">
        <f>'rockfish harvests'!D234</f>
        <v>27304</v>
      </c>
      <c r="D12" s="37">
        <f t="shared" si="0"/>
        <v>617</v>
      </c>
      <c r="E12" s="17">
        <f t="shared" si="2"/>
        <v>2.3119871098287555E-2</v>
      </c>
      <c r="G12" s="35">
        <v>2005</v>
      </c>
      <c r="H12" s="11">
        <v>1990</v>
      </c>
      <c r="I12" s="11">
        <f>'rockfish harvests'!D9</f>
        <v>1385</v>
      </c>
      <c r="J12" s="37">
        <f t="shared" si="1"/>
        <v>-605</v>
      </c>
      <c r="K12" s="17"/>
    </row>
    <row r="13" spans="1:11" x14ac:dyDescent="0.3">
      <c r="A13" s="35">
        <v>2006</v>
      </c>
      <c r="B13" s="11">
        <v>30575</v>
      </c>
      <c r="C13">
        <f>'rockfish harvests'!D235</f>
        <v>33748</v>
      </c>
      <c r="D13" s="37">
        <f t="shared" si="0"/>
        <v>3173</v>
      </c>
      <c r="E13" s="17">
        <f t="shared" si="2"/>
        <v>0.10377759607522485</v>
      </c>
      <c r="G13" s="35">
        <v>2006</v>
      </c>
      <c r="H13" s="11">
        <v>4342</v>
      </c>
      <c r="I13" s="11">
        <f>'rockfish harvests'!D10</f>
        <v>925</v>
      </c>
      <c r="J13" s="37">
        <f t="shared" si="1"/>
        <v>-3417</v>
      </c>
      <c r="K13" s="17"/>
    </row>
    <row r="14" spans="1:11" x14ac:dyDescent="0.3">
      <c r="A14" s="35">
        <v>2007</v>
      </c>
      <c r="B14" s="11">
        <v>33077</v>
      </c>
      <c r="C14">
        <f>'rockfish harvests'!D236</f>
        <v>38443</v>
      </c>
      <c r="D14" s="37">
        <f t="shared" si="0"/>
        <v>5366</v>
      </c>
      <c r="E14" s="17">
        <f t="shared" si="2"/>
        <v>0.1622275297034193</v>
      </c>
      <c r="G14" s="35">
        <v>2007</v>
      </c>
      <c r="H14" s="11">
        <v>1846</v>
      </c>
      <c r="I14" s="11">
        <f>'rockfish harvests'!D11</f>
        <v>2488</v>
      </c>
      <c r="J14" s="37">
        <f t="shared" si="1"/>
        <v>642</v>
      </c>
      <c r="K14" s="17">
        <f>J14/H14</f>
        <v>0.34777898158179849</v>
      </c>
    </row>
    <row r="15" spans="1:11" x14ac:dyDescent="0.3">
      <c r="A15" s="35">
        <v>2008</v>
      </c>
      <c r="B15" s="11">
        <v>50492</v>
      </c>
      <c r="C15">
        <f>'rockfish harvests'!D237</f>
        <v>52901</v>
      </c>
      <c r="D15" s="37">
        <f t="shared" si="0"/>
        <v>2409</v>
      </c>
      <c r="E15" s="17">
        <f t="shared" si="2"/>
        <v>4.7710528400538701E-2</v>
      </c>
      <c r="G15" s="35">
        <v>2008</v>
      </c>
      <c r="H15" s="11">
        <v>2622</v>
      </c>
      <c r="I15" s="11">
        <f>'rockfish harvests'!D12</f>
        <v>2670</v>
      </c>
      <c r="J15" s="37">
        <f t="shared" si="1"/>
        <v>48</v>
      </c>
      <c r="K15" s="17">
        <f>J15/H15</f>
        <v>1.8306636155606407E-2</v>
      </c>
    </row>
    <row r="16" spans="1:11" x14ac:dyDescent="0.3">
      <c r="A16" s="35">
        <v>2009</v>
      </c>
      <c r="B16" s="11">
        <v>28473</v>
      </c>
      <c r="C16">
        <f>'rockfish harvests'!D238</f>
        <v>31717</v>
      </c>
      <c r="D16" s="37">
        <f t="shared" si="0"/>
        <v>3244</v>
      </c>
      <c r="E16" s="17">
        <f t="shared" si="2"/>
        <v>0.11393249745372809</v>
      </c>
      <c r="G16" s="35">
        <v>2009</v>
      </c>
      <c r="H16" s="11">
        <v>2827</v>
      </c>
      <c r="I16" s="11">
        <f>'rockfish harvests'!D13</f>
        <v>3763</v>
      </c>
      <c r="J16" s="37">
        <f t="shared" si="1"/>
        <v>936</v>
      </c>
      <c r="K16" s="17">
        <f>J16/H16</f>
        <v>0.33109303148213654</v>
      </c>
    </row>
    <row r="17" spans="1:11" x14ac:dyDescent="0.3">
      <c r="A17" s="35">
        <v>2010</v>
      </c>
      <c r="B17" s="11">
        <v>41136</v>
      </c>
      <c r="C17">
        <f>'rockfish harvests'!D239</f>
        <v>43813</v>
      </c>
      <c r="D17" s="37">
        <f t="shared" si="0"/>
        <v>2677</v>
      </c>
      <c r="E17" s="17">
        <f t="shared" si="2"/>
        <v>6.5076818358615326E-2</v>
      </c>
      <c r="G17" s="35">
        <v>2010</v>
      </c>
      <c r="H17" s="11">
        <v>4473</v>
      </c>
      <c r="I17" s="11">
        <f>'rockfish harvests'!D14</f>
        <v>3032</v>
      </c>
      <c r="J17" s="37">
        <f t="shared" si="1"/>
        <v>-1441</v>
      </c>
      <c r="K17" s="17"/>
    </row>
    <row r="18" spans="1:11" x14ac:dyDescent="0.3">
      <c r="A18" s="35">
        <v>2011</v>
      </c>
      <c r="B18">
        <f>'rockfish harvests'!E240+'rockfish harvests'!G240</f>
        <v>48501</v>
      </c>
      <c r="C18">
        <f>'rockfish harvests'!D240</f>
        <v>58843</v>
      </c>
      <c r="D18" s="37">
        <f t="shared" si="0"/>
        <v>10342</v>
      </c>
      <c r="E18" s="17">
        <f t="shared" si="2"/>
        <v>0.21323271685119893</v>
      </c>
      <c r="G18" s="35">
        <v>2011</v>
      </c>
      <c r="H18">
        <f>'rockfish harvests'!E15+'rockfish harvests'!G15</f>
        <v>2404</v>
      </c>
      <c r="I18" s="11">
        <f>'rockfish harvests'!D15</f>
        <v>3052</v>
      </c>
      <c r="J18" s="37">
        <f t="shared" si="1"/>
        <v>648</v>
      </c>
      <c r="K18" s="17">
        <f>J18/H18</f>
        <v>0.26955074875207985</v>
      </c>
    </row>
    <row r="19" spans="1:11" x14ac:dyDescent="0.3">
      <c r="A19" s="35">
        <v>2012</v>
      </c>
      <c r="B19">
        <f>'rockfish harvests'!E241+'rockfish harvests'!G241</f>
        <v>57929</v>
      </c>
      <c r="C19">
        <f>'rockfish harvests'!D241</f>
        <v>57675</v>
      </c>
      <c r="D19" s="37">
        <f t="shared" si="0"/>
        <v>-254</v>
      </c>
      <c r="G19" s="35">
        <v>2012</v>
      </c>
      <c r="H19">
        <f>'rockfish harvests'!E16+'rockfish harvests'!G16</f>
        <v>2692</v>
      </c>
      <c r="I19" s="11">
        <f>'rockfish harvests'!D16</f>
        <v>3025</v>
      </c>
      <c r="J19" s="37">
        <f t="shared" si="1"/>
        <v>333</v>
      </c>
    </row>
    <row r="20" spans="1:11" x14ac:dyDescent="0.3">
      <c r="A20" s="35">
        <v>2013</v>
      </c>
      <c r="B20">
        <f>'rockfish harvests'!E242+'rockfish harvests'!G242</f>
        <v>56862</v>
      </c>
      <c r="C20">
        <f>'rockfish harvests'!D242</f>
        <v>60735</v>
      </c>
      <c r="D20" s="37">
        <f t="shared" si="0"/>
        <v>3873</v>
      </c>
      <c r="E20" s="17">
        <f t="shared" si="2"/>
        <v>6.8112271815975525E-2</v>
      </c>
      <c r="G20" s="35">
        <v>2013</v>
      </c>
      <c r="H20">
        <f>'rockfish harvests'!E17+'rockfish harvests'!G17</f>
        <v>4987</v>
      </c>
      <c r="I20" s="11">
        <f>'rockfish harvests'!D17</f>
        <v>2487</v>
      </c>
      <c r="J20" s="37">
        <f t="shared" si="1"/>
        <v>-2500</v>
      </c>
      <c r="K20" s="17"/>
    </row>
    <row r="21" spans="1:11" x14ac:dyDescent="0.3">
      <c r="A21" s="35">
        <v>2014</v>
      </c>
      <c r="B21">
        <f>'rockfish harvests'!E243+'rockfish harvests'!G243</f>
        <v>78770</v>
      </c>
      <c r="C21">
        <f>'rockfish harvests'!D243</f>
        <v>73709</v>
      </c>
      <c r="D21" s="37">
        <f t="shared" si="0"/>
        <v>-5061</v>
      </c>
      <c r="G21" s="35">
        <v>2014</v>
      </c>
      <c r="H21">
        <f>'rockfish harvests'!E18+'rockfish harvests'!G18</f>
        <v>3221</v>
      </c>
      <c r="I21" s="11">
        <f>'rockfish harvests'!D18</f>
        <v>2843</v>
      </c>
      <c r="J21" s="37">
        <f t="shared" si="1"/>
        <v>-378</v>
      </c>
    </row>
    <row r="22" spans="1:11" x14ac:dyDescent="0.3">
      <c r="A22" s="35">
        <v>2015</v>
      </c>
      <c r="B22">
        <f>'rockfish harvests'!E244+'rockfish harvests'!G244</f>
        <v>76651</v>
      </c>
      <c r="C22">
        <f>'rockfish harvests'!D244</f>
        <v>80105</v>
      </c>
      <c r="D22" s="37">
        <f t="shared" si="0"/>
        <v>3454</v>
      </c>
      <c r="E22" s="17">
        <f t="shared" si="2"/>
        <v>4.5061382108517831E-2</v>
      </c>
      <c r="G22" s="35">
        <v>2015</v>
      </c>
      <c r="H22">
        <f>'rockfish harvests'!E19+'rockfish harvests'!G19</f>
        <v>4045</v>
      </c>
      <c r="I22" s="11">
        <f>'rockfish harvests'!D19</f>
        <v>3919</v>
      </c>
      <c r="J22" s="37">
        <f t="shared" si="1"/>
        <v>-126</v>
      </c>
      <c r="K22" s="17"/>
    </row>
    <row r="23" spans="1:11" x14ac:dyDescent="0.3">
      <c r="A23" s="35">
        <v>2016</v>
      </c>
      <c r="B23">
        <f>'rockfish harvests'!E245+'rockfish harvests'!G245</f>
        <v>63372</v>
      </c>
      <c r="C23">
        <f>'rockfish harvests'!D245</f>
        <v>54908</v>
      </c>
      <c r="D23" s="37">
        <f t="shared" si="0"/>
        <v>-8464</v>
      </c>
      <c r="G23" s="35">
        <v>2016</v>
      </c>
      <c r="H23">
        <f>'rockfish harvests'!E20+'rockfish harvests'!G20</f>
        <v>5452</v>
      </c>
      <c r="I23" s="11">
        <f>'rockfish harvests'!D20</f>
        <v>5287</v>
      </c>
      <c r="J23" s="37">
        <f t="shared" si="1"/>
        <v>-165</v>
      </c>
    </row>
    <row r="24" spans="1:11" x14ac:dyDescent="0.3">
      <c r="A24" s="35">
        <v>2017</v>
      </c>
      <c r="B24">
        <f>'rockfish harvests'!E246+'rockfish harvests'!G246</f>
        <v>55161</v>
      </c>
      <c r="C24">
        <f>'rockfish harvests'!D246</f>
        <v>57388</v>
      </c>
      <c r="D24" s="37">
        <f t="shared" si="0"/>
        <v>2227</v>
      </c>
      <c r="E24" s="17">
        <f t="shared" si="2"/>
        <v>4.0372727107920454E-2</v>
      </c>
      <c r="G24" s="35">
        <v>2017</v>
      </c>
      <c r="H24">
        <f>'rockfish harvests'!E21+'rockfish harvests'!G21</f>
        <v>4489</v>
      </c>
      <c r="I24" s="11">
        <f>'rockfish harvests'!D21</f>
        <v>4756</v>
      </c>
      <c r="J24" s="37">
        <f t="shared" si="1"/>
        <v>267</v>
      </c>
      <c r="K24" s="17">
        <f>J24/H24</f>
        <v>5.9478725774114505E-2</v>
      </c>
    </row>
    <row r="25" spans="1:11" x14ac:dyDescent="0.3">
      <c r="A25" s="35">
        <v>2018</v>
      </c>
      <c r="B25">
        <f>'rockfish harvests'!E247+'rockfish harvests'!G247</f>
        <v>53273</v>
      </c>
      <c r="C25">
        <f>'rockfish harvests'!D247</f>
        <v>55460</v>
      </c>
      <c r="D25" s="37">
        <f t="shared" si="0"/>
        <v>2187</v>
      </c>
      <c r="E25" s="17">
        <f t="shared" si="2"/>
        <v>4.1052690856531453E-2</v>
      </c>
      <c r="G25" s="35">
        <v>2018</v>
      </c>
      <c r="H25">
        <f>'rockfish harvests'!E22+'rockfish harvests'!G22</f>
        <v>5622</v>
      </c>
      <c r="I25" s="11">
        <f>'rockfish harvests'!D22</f>
        <v>5694</v>
      </c>
      <c r="J25" s="37">
        <f t="shared" si="1"/>
        <v>72</v>
      </c>
      <c r="K25" s="17">
        <f>J25/H25</f>
        <v>1.2806830309498399E-2</v>
      </c>
    </row>
    <row r="26" spans="1:11" x14ac:dyDescent="0.3">
      <c r="A26" s="35">
        <v>2019</v>
      </c>
      <c r="B26">
        <f>'rockfish harvests'!E248+'rockfish harvests'!G248</f>
        <v>51643</v>
      </c>
      <c r="C26">
        <f>'rockfish harvests'!D248</f>
        <v>59842</v>
      </c>
      <c r="D26" s="37">
        <f>C26-B26</f>
        <v>8199</v>
      </c>
      <c r="E26" s="17">
        <f t="shared" si="2"/>
        <v>0.15876304629862711</v>
      </c>
      <c r="G26" s="35">
        <v>2019</v>
      </c>
      <c r="H26">
        <f>'rockfish harvests'!E23+'rockfish harvests'!G23</f>
        <v>7395</v>
      </c>
      <c r="I26" s="11">
        <f>'rockfish harvests'!D23</f>
        <v>6782</v>
      </c>
      <c r="J26" s="37">
        <f t="shared" si="1"/>
        <v>-613</v>
      </c>
      <c r="K26" s="17"/>
    </row>
    <row r="27" spans="1:11" x14ac:dyDescent="0.3">
      <c r="A27" s="35">
        <v>2020</v>
      </c>
      <c r="B27">
        <f>'rockfish harvests'!E249+'rockfish harvests'!G249</f>
        <v>29381</v>
      </c>
      <c r="C27">
        <f>'rockfish harvests'!D249</f>
        <v>24728</v>
      </c>
      <c r="D27" s="37">
        <f t="shared" ref="D27" si="3">C27-B27</f>
        <v>-4653</v>
      </c>
      <c r="E27" s="17"/>
      <c r="G27" s="35">
        <v>2020</v>
      </c>
      <c r="H27">
        <f>'rockfish harvests'!E24+'rockfish harvests'!G24</f>
        <v>4347</v>
      </c>
      <c r="I27" s="11">
        <f>'rockfish harvests'!D24</f>
        <v>5835</v>
      </c>
      <c r="J27" s="37">
        <f t="shared" ref="J27:J28" si="4">I27-H27</f>
        <v>1488</v>
      </c>
      <c r="K27" s="17">
        <f>J27/H27</f>
        <v>0.34230503795721184</v>
      </c>
    </row>
    <row r="28" spans="1:11" x14ac:dyDescent="0.3">
      <c r="A28" s="35">
        <v>2021</v>
      </c>
      <c r="B28">
        <f>'rockfish harvests'!E250+'rockfish harvests'!G250</f>
        <v>64044</v>
      </c>
      <c r="C28">
        <f>'rockfish harvests'!D250</f>
        <v>56521</v>
      </c>
      <c r="D28" s="37">
        <f>C28-B28</f>
        <v>-7523</v>
      </c>
      <c r="E28" s="17"/>
      <c r="G28" s="35">
        <v>2021</v>
      </c>
      <c r="H28">
        <f>'rockfish harvests'!E25+'rockfish harvests'!G25</f>
        <v>9846</v>
      </c>
      <c r="I28" s="11">
        <f>'rockfish harvests'!D25</f>
        <v>9007</v>
      </c>
      <c r="J28" s="37">
        <f t="shared" si="4"/>
        <v>-839</v>
      </c>
      <c r="K28" s="17"/>
    </row>
    <row r="29" spans="1:11" x14ac:dyDescent="0.3">
      <c r="A29" s="53"/>
      <c r="D29" s="37"/>
      <c r="E29" s="17"/>
      <c r="G29" s="53"/>
      <c r="J29" s="37"/>
      <c r="K29" s="17"/>
    </row>
    <row r="30" spans="1:11" x14ac:dyDescent="0.3">
      <c r="B30" s="34" t="s">
        <v>83</v>
      </c>
      <c r="D30" s="37"/>
      <c r="H30" s="34" t="s">
        <v>47</v>
      </c>
    </row>
    <row r="31" spans="1:11" x14ac:dyDescent="0.3">
      <c r="A31" s="35">
        <v>1996</v>
      </c>
      <c r="B31" s="11">
        <v>599</v>
      </c>
      <c r="G31" s="35">
        <v>1996</v>
      </c>
      <c r="H31" s="11">
        <v>4052</v>
      </c>
    </row>
    <row r="32" spans="1:11" x14ac:dyDescent="0.3">
      <c r="A32" s="35">
        <v>1997</v>
      </c>
      <c r="B32" s="11">
        <v>1396</v>
      </c>
      <c r="G32" s="35">
        <v>1997</v>
      </c>
      <c r="H32" s="11">
        <v>3608</v>
      </c>
    </row>
    <row r="33" spans="1:11" x14ac:dyDescent="0.3">
      <c r="A33" s="35">
        <v>1998</v>
      </c>
      <c r="B33" s="11">
        <v>1223</v>
      </c>
      <c r="C33">
        <f>'rockfish harvests'!D252</f>
        <v>1305</v>
      </c>
      <c r="D33" s="37">
        <f>C33-B33</f>
        <v>82</v>
      </c>
      <c r="E33" s="17">
        <f>D33/B33</f>
        <v>6.7048242027800492E-2</v>
      </c>
      <c r="G33" s="35">
        <v>1998</v>
      </c>
      <c r="H33" s="11">
        <v>3159</v>
      </c>
      <c r="I33">
        <f>'rockfish harvests'!D77</f>
        <v>994</v>
      </c>
      <c r="J33" s="37">
        <f>I33-H33</f>
        <v>-2165</v>
      </c>
    </row>
    <row r="34" spans="1:11" x14ac:dyDescent="0.3">
      <c r="A34" s="35">
        <v>1999</v>
      </c>
      <c r="B34" s="11">
        <v>772</v>
      </c>
      <c r="C34">
        <f>'rockfish harvests'!D253</f>
        <v>663</v>
      </c>
      <c r="D34" s="37">
        <f t="shared" ref="D34:D54" si="5">C34-B34</f>
        <v>-109</v>
      </c>
      <c r="G34" s="35">
        <v>1999</v>
      </c>
      <c r="H34" s="11">
        <v>5105</v>
      </c>
      <c r="I34">
        <f>'rockfish harvests'!D78</f>
        <v>911</v>
      </c>
      <c r="J34" s="37">
        <f t="shared" ref="J34:J54" si="6">I34-H34</f>
        <v>-4194</v>
      </c>
    </row>
    <row r="35" spans="1:11" x14ac:dyDescent="0.3">
      <c r="A35" s="35">
        <v>2000</v>
      </c>
      <c r="B35" s="11">
        <v>858</v>
      </c>
      <c r="C35">
        <f>'rockfish harvests'!D254</f>
        <v>1199</v>
      </c>
      <c r="D35" s="37">
        <f t="shared" si="5"/>
        <v>341</v>
      </c>
      <c r="E35" s="17">
        <f>D35/B35</f>
        <v>0.39743589743589741</v>
      </c>
      <c r="G35" s="35">
        <v>2000</v>
      </c>
      <c r="H35" s="11">
        <v>3435</v>
      </c>
      <c r="I35">
        <f>'rockfish harvests'!D79</f>
        <v>1400</v>
      </c>
      <c r="J35" s="37">
        <f t="shared" si="6"/>
        <v>-2035</v>
      </c>
      <c r="K35" s="17"/>
    </row>
    <row r="36" spans="1:11" x14ac:dyDescent="0.3">
      <c r="A36" s="35">
        <v>2001</v>
      </c>
      <c r="B36" s="11">
        <v>668</v>
      </c>
      <c r="C36">
        <f>'rockfish harvests'!D255</f>
        <v>1043</v>
      </c>
      <c r="D36" s="37">
        <f t="shared" si="5"/>
        <v>375</v>
      </c>
      <c r="E36" s="17">
        <f>D36/B36</f>
        <v>0.56137724550898205</v>
      </c>
      <c r="G36" s="35">
        <v>2001</v>
      </c>
      <c r="H36" s="11">
        <v>3811</v>
      </c>
      <c r="I36">
        <f>'rockfish harvests'!D80</f>
        <v>763</v>
      </c>
      <c r="J36" s="37">
        <f t="shared" si="6"/>
        <v>-3048</v>
      </c>
      <c r="K36" s="17"/>
    </row>
    <row r="37" spans="1:11" x14ac:dyDescent="0.3">
      <c r="A37" s="35">
        <v>2002</v>
      </c>
      <c r="B37" s="11">
        <v>737</v>
      </c>
      <c r="C37">
        <f>'rockfish harvests'!D256</f>
        <v>893</v>
      </c>
      <c r="D37" s="37">
        <f t="shared" si="5"/>
        <v>156</v>
      </c>
      <c r="E37" s="17">
        <f>D37/B37</f>
        <v>0.21166892808683854</v>
      </c>
      <c r="G37" s="35">
        <v>2002</v>
      </c>
      <c r="H37" s="11">
        <v>4318</v>
      </c>
      <c r="I37">
        <f>'rockfish harvests'!D81</f>
        <v>2378</v>
      </c>
      <c r="J37" s="37">
        <f t="shared" si="6"/>
        <v>-1940</v>
      </c>
      <c r="K37" s="17"/>
    </row>
    <row r="38" spans="1:11" x14ac:dyDescent="0.3">
      <c r="A38" s="35">
        <v>2003</v>
      </c>
      <c r="B38" s="11">
        <v>1615</v>
      </c>
      <c r="C38">
        <f>'rockfish harvests'!D257</f>
        <v>1627</v>
      </c>
      <c r="D38" s="37">
        <f t="shared" si="5"/>
        <v>12</v>
      </c>
      <c r="E38" s="17">
        <f>D38/B38</f>
        <v>7.4303405572755414E-3</v>
      </c>
      <c r="G38" s="35">
        <v>2003</v>
      </c>
      <c r="H38" s="11">
        <v>3932</v>
      </c>
      <c r="I38">
        <f>'rockfish harvests'!D82</f>
        <v>4623</v>
      </c>
      <c r="J38" s="37">
        <f t="shared" si="6"/>
        <v>691</v>
      </c>
      <c r="K38" s="17">
        <f>J38/H38</f>
        <v>0.17573753814852491</v>
      </c>
    </row>
    <row r="39" spans="1:11" x14ac:dyDescent="0.3">
      <c r="A39" s="35">
        <v>2004</v>
      </c>
      <c r="B39" s="11">
        <v>1413</v>
      </c>
      <c r="C39">
        <f>'rockfish harvests'!D258</f>
        <v>1501</v>
      </c>
      <c r="D39" s="37">
        <f t="shared" si="5"/>
        <v>88</v>
      </c>
      <c r="E39" s="17">
        <f>D39/B39</f>
        <v>6.2278839348903041E-2</v>
      </c>
      <c r="G39" s="35">
        <v>2004</v>
      </c>
      <c r="H39" s="11">
        <v>4941</v>
      </c>
      <c r="I39">
        <f>'rockfish harvests'!D83</f>
        <v>4736</v>
      </c>
      <c r="J39" s="37">
        <f t="shared" si="6"/>
        <v>-205</v>
      </c>
      <c r="K39" s="17"/>
    </row>
    <row r="40" spans="1:11" x14ac:dyDescent="0.3">
      <c r="A40" s="35">
        <v>2005</v>
      </c>
      <c r="B40" s="11">
        <v>2371</v>
      </c>
      <c r="C40">
        <f>'rockfish harvests'!D259</f>
        <v>1676</v>
      </c>
      <c r="D40" s="37">
        <f t="shared" si="5"/>
        <v>-695</v>
      </c>
      <c r="G40" s="35">
        <v>2005</v>
      </c>
      <c r="H40" s="11">
        <v>7035</v>
      </c>
      <c r="I40">
        <f>'rockfish harvests'!D84</f>
        <v>3615</v>
      </c>
      <c r="J40" s="37">
        <f t="shared" si="6"/>
        <v>-3420</v>
      </c>
      <c r="K40" s="17"/>
    </row>
    <row r="41" spans="1:11" x14ac:dyDescent="0.3">
      <c r="A41" s="35">
        <v>2006</v>
      </c>
      <c r="B41" s="11">
        <v>2800</v>
      </c>
      <c r="C41">
        <f>'rockfish harvests'!D260</f>
        <v>2529</v>
      </c>
      <c r="D41" s="37">
        <f t="shared" si="5"/>
        <v>-271</v>
      </c>
      <c r="G41" s="35">
        <v>2006</v>
      </c>
      <c r="H41" s="11">
        <v>5286</v>
      </c>
      <c r="I41">
        <f>'rockfish harvests'!D85</f>
        <v>2463</v>
      </c>
      <c r="J41" s="37">
        <f t="shared" si="6"/>
        <v>-2823</v>
      </c>
      <c r="K41" s="17"/>
    </row>
    <row r="42" spans="1:11" x14ac:dyDescent="0.3">
      <c r="A42" s="35">
        <v>2007</v>
      </c>
      <c r="B42" s="11">
        <v>2013</v>
      </c>
      <c r="C42">
        <f>'rockfish harvests'!D261</f>
        <v>2290</v>
      </c>
      <c r="D42" s="37">
        <f t="shared" si="5"/>
        <v>277</v>
      </c>
      <c r="E42" s="17">
        <f>D42/B42</f>
        <v>0.13760556383507203</v>
      </c>
      <c r="G42" s="35">
        <v>2007</v>
      </c>
      <c r="H42" s="11">
        <v>5543</v>
      </c>
      <c r="I42">
        <f>'rockfish harvests'!D86</f>
        <v>2559</v>
      </c>
      <c r="J42" s="37">
        <f t="shared" si="6"/>
        <v>-2984</v>
      </c>
      <c r="K42" s="17"/>
    </row>
    <row r="43" spans="1:11" x14ac:dyDescent="0.3">
      <c r="A43" s="35">
        <v>2008</v>
      </c>
      <c r="B43" s="11">
        <v>2636</v>
      </c>
      <c r="C43">
        <f>'rockfish harvests'!D262</f>
        <v>2857</v>
      </c>
      <c r="D43" s="37">
        <f t="shared" si="5"/>
        <v>221</v>
      </c>
      <c r="E43" s="17">
        <f>D43/B43</f>
        <v>8.3839150227617606E-2</v>
      </c>
      <c r="G43" s="35">
        <v>2008</v>
      </c>
      <c r="H43" s="11">
        <v>4896</v>
      </c>
      <c r="I43">
        <f>'rockfish harvests'!D87</f>
        <v>2163</v>
      </c>
      <c r="J43" s="37">
        <f t="shared" si="6"/>
        <v>-2733</v>
      </c>
      <c r="K43" s="17"/>
    </row>
    <row r="44" spans="1:11" x14ac:dyDescent="0.3">
      <c r="A44" s="35">
        <v>2009</v>
      </c>
      <c r="B44" s="11">
        <v>2372</v>
      </c>
      <c r="C44">
        <f>'rockfish harvests'!D263</f>
        <v>2494</v>
      </c>
      <c r="D44" s="37">
        <f t="shared" si="5"/>
        <v>122</v>
      </c>
      <c r="E44" s="17">
        <f>D44/B44</f>
        <v>5.1433389544688027E-2</v>
      </c>
      <c r="G44" s="35">
        <v>2009</v>
      </c>
      <c r="H44" s="11">
        <v>6852</v>
      </c>
      <c r="I44">
        <f>'rockfish harvests'!D88</f>
        <v>2918</v>
      </c>
      <c r="J44" s="37">
        <f t="shared" si="6"/>
        <v>-3934</v>
      </c>
      <c r="K44" s="17"/>
    </row>
    <row r="45" spans="1:11" x14ac:dyDescent="0.3">
      <c r="A45" s="35">
        <v>2010</v>
      </c>
      <c r="B45" s="11">
        <v>3723</v>
      </c>
      <c r="C45">
        <f>'rockfish harvests'!D264</f>
        <v>2435</v>
      </c>
      <c r="D45" s="37">
        <f t="shared" si="5"/>
        <v>-1288</v>
      </c>
      <c r="G45" s="35">
        <v>2010</v>
      </c>
      <c r="H45" s="11">
        <v>7819</v>
      </c>
      <c r="I45">
        <f>'rockfish harvests'!D89</f>
        <v>4422</v>
      </c>
      <c r="J45" s="37">
        <f t="shared" si="6"/>
        <v>-3397</v>
      </c>
      <c r="K45" s="17"/>
    </row>
    <row r="46" spans="1:11" x14ac:dyDescent="0.3">
      <c r="A46" s="35">
        <v>2011</v>
      </c>
      <c r="B46">
        <f>'rockfish harvests'!E265+'rockfish harvests'!G265</f>
        <v>2756</v>
      </c>
      <c r="C46">
        <f>'rockfish harvests'!D265</f>
        <v>2848</v>
      </c>
      <c r="D46" s="37">
        <f t="shared" si="5"/>
        <v>92</v>
      </c>
      <c r="E46" s="17">
        <f>D46/B46</f>
        <v>3.3381712626995644E-2</v>
      </c>
      <c r="G46" s="35">
        <v>2011</v>
      </c>
      <c r="H46">
        <f>'rockfish harvests'!E90+'rockfish harvests'!G90</f>
        <v>5317</v>
      </c>
      <c r="I46">
        <f>'rockfish harvests'!D90</f>
        <v>3046</v>
      </c>
      <c r="J46" s="37">
        <f t="shared" si="6"/>
        <v>-2271</v>
      </c>
      <c r="K46" s="17"/>
    </row>
    <row r="47" spans="1:11" x14ac:dyDescent="0.3">
      <c r="A47" s="35">
        <v>2012</v>
      </c>
      <c r="B47">
        <f>'rockfish harvests'!E266+'rockfish harvests'!G266</f>
        <v>3634</v>
      </c>
      <c r="C47">
        <f>'rockfish harvests'!D266</f>
        <v>3241</v>
      </c>
      <c r="D47" s="37">
        <f t="shared" si="5"/>
        <v>-393</v>
      </c>
      <c r="G47" s="35">
        <v>2012</v>
      </c>
      <c r="H47">
        <f>'rockfish harvests'!E91+'rockfish harvests'!G91</f>
        <v>7978</v>
      </c>
      <c r="I47">
        <f>'rockfish harvests'!D91</f>
        <v>4677</v>
      </c>
      <c r="J47" s="37">
        <f t="shared" si="6"/>
        <v>-3301</v>
      </c>
      <c r="K47" s="17"/>
    </row>
    <row r="48" spans="1:11" x14ac:dyDescent="0.3">
      <c r="A48" s="35">
        <v>2013</v>
      </c>
      <c r="B48">
        <f>'rockfish harvests'!E267+'rockfish harvests'!G267</f>
        <v>4518</v>
      </c>
      <c r="C48">
        <f>'rockfish harvests'!D267</f>
        <v>3884</v>
      </c>
      <c r="D48" s="37">
        <f t="shared" si="5"/>
        <v>-634</v>
      </c>
      <c r="G48" s="35">
        <v>2013</v>
      </c>
      <c r="H48">
        <f>'rockfish harvests'!E92+'rockfish harvests'!G92</f>
        <v>6961</v>
      </c>
      <c r="I48">
        <f>'rockfish harvests'!D92</f>
        <v>4808</v>
      </c>
      <c r="J48" s="37">
        <f t="shared" si="6"/>
        <v>-2153</v>
      </c>
      <c r="K48" s="17"/>
    </row>
    <row r="49" spans="1:11" x14ac:dyDescent="0.3">
      <c r="A49" s="35">
        <v>2014</v>
      </c>
      <c r="B49">
        <f>'rockfish harvests'!E268+'rockfish harvests'!G268</f>
        <v>6796</v>
      </c>
      <c r="C49">
        <f>'rockfish harvests'!D268</f>
        <v>4695</v>
      </c>
      <c r="D49" s="37">
        <f t="shared" si="5"/>
        <v>-2101</v>
      </c>
      <c r="G49" s="35">
        <v>2014</v>
      </c>
      <c r="H49">
        <f>'rockfish harvests'!E93+'rockfish harvests'!G93</f>
        <v>11936</v>
      </c>
      <c r="I49">
        <f>'rockfish harvests'!D93</f>
        <v>4731</v>
      </c>
      <c r="J49" s="37">
        <f t="shared" si="6"/>
        <v>-7205</v>
      </c>
      <c r="K49" s="17"/>
    </row>
    <row r="50" spans="1:11" x14ac:dyDescent="0.3">
      <c r="A50" s="35">
        <v>2015</v>
      </c>
      <c r="B50">
        <f>'rockfish harvests'!E269+'rockfish harvests'!G269</f>
        <v>4586</v>
      </c>
      <c r="C50">
        <f>'rockfish harvests'!D269</f>
        <v>5729</v>
      </c>
      <c r="D50" s="37">
        <f t="shared" si="5"/>
        <v>1143</v>
      </c>
      <c r="E50" s="17">
        <f t="shared" ref="E50:E55" si="7">D50/B50</f>
        <v>0.24923680767553424</v>
      </c>
      <c r="G50" s="35">
        <v>2015</v>
      </c>
      <c r="H50">
        <f>'rockfish harvests'!E94+'rockfish harvests'!G94</f>
        <v>10797</v>
      </c>
      <c r="I50">
        <f>'rockfish harvests'!D94</f>
        <v>6321</v>
      </c>
      <c r="J50" s="37">
        <f t="shared" si="6"/>
        <v>-4476</v>
      </c>
      <c r="K50" s="17"/>
    </row>
    <row r="51" spans="1:11" x14ac:dyDescent="0.3">
      <c r="A51" s="35">
        <v>2016</v>
      </c>
      <c r="B51">
        <f>'rockfish harvests'!E270+'rockfish harvests'!G270</f>
        <v>5141</v>
      </c>
      <c r="C51">
        <f>'rockfish harvests'!D270</f>
        <v>7499</v>
      </c>
      <c r="D51" s="37">
        <f t="shared" si="5"/>
        <v>2358</v>
      </c>
      <c r="E51" s="17">
        <f t="shared" si="7"/>
        <v>0.45866562925500876</v>
      </c>
      <c r="G51" s="35">
        <v>2016</v>
      </c>
      <c r="H51">
        <f>'rockfish harvests'!E95+'rockfish harvests'!G95</f>
        <v>15507</v>
      </c>
      <c r="I51">
        <f>'rockfish harvests'!D95</f>
        <v>10123</v>
      </c>
      <c r="J51" s="37">
        <f t="shared" si="6"/>
        <v>-5384</v>
      </c>
      <c r="K51" s="17"/>
    </row>
    <row r="52" spans="1:11" x14ac:dyDescent="0.3">
      <c r="A52" s="35">
        <v>2017</v>
      </c>
      <c r="B52">
        <f>'rockfish harvests'!E271+'rockfish harvests'!G271</f>
        <v>5890</v>
      </c>
      <c r="C52">
        <f>'rockfish harvests'!D271</f>
        <v>6324</v>
      </c>
      <c r="D52" s="37">
        <f t="shared" si="5"/>
        <v>434</v>
      </c>
      <c r="E52" s="17">
        <f t="shared" si="7"/>
        <v>7.3684210526315783E-2</v>
      </c>
      <c r="G52" s="35">
        <v>2017</v>
      </c>
      <c r="H52">
        <f>'rockfish harvests'!E96+'rockfish harvests'!G96</f>
        <v>11401</v>
      </c>
      <c r="I52">
        <f>'rockfish harvests'!D96</f>
        <v>8376</v>
      </c>
      <c r="J52" s="37">
        <f t="shared" si="6"/>
        <v>-3025</v>
      </c>
      <c r="K52" s="17"/>
    </row>
    <row r="53" spans="1:11" x14ac:dyDescent="0.3">
      <c r="A53" s="35">
        <v>2018</v>
      </c>
      <c r="B53">
        <f>'rockfish harvests'!E272+'rockfish harvests'!G272</f>
        <v>6913</v>
      </c>
      <c r="C53">
        <f>'rockfish harvests'!D272</f>
        <v>8659</v>
      </c>
      <c r="D53" s="37">
        <f t="shared" si="5"/>
        <v>1746</v>
      </c>
      <c r="E53" s="17">
        <f t="shared" si="7"/>
        <v>0.2525676262114856</v>
      </c>
      <c r="G53" s="35">
        <v>2018</v>
      </c>
      <c r="H53">
        <f>'rockfish harvests'!E97+'rockfish harvests'!G97</f>
        <v>14692</v>
      </c>
      <c r="I53">
        <f>'rockfish harvests'!D97</f>
        <v>13009</v>
      </c>
      <c r="J53" s="37">
        <f t="shared" si="6"/>
        <v>-1683</v>
      </c>
      <c r="K53" s="17"/>
    </row>
    <row r="54" spans="1:11" x14ac:dyDescent="0.3">
      <c r="A54" s="35">
        <v>2019</v>
      </c>
      <c r="B54">
        <f>'rockfish harvests'!E273+'rockfish harvests'!G273</f>
        <v>7115</v>
      </c>
      <c r="C54">
        <f>'rockfish harvests'!D273</f>
        <v>7908</v>
      </c>
      <c r="D54" s="37">
        <f t="shared" si="5"/>
        <v>793</v>
      </c>
      <c r="E54" s="17">
        <f t="shared" si="7"/>
        <v>0.11145467322557977</v>
      </c>
      <c r="G54" s="35">
        <v>2019</v>
      </c>
      <c r="H54">
        <f>'rockfish harvests'!E98+'rockfish harvests'!G98</f>
        <v>12641</v>
      </c>
      <c r="I54">
        <f>'rockfish harvests'!D98</f>
        <v>16061</v>
      </c>
      <c r="J54" s="37">
        <f t="shared" si="6"/>
        <v>3420</v>
      </c>
      <c r="K54" s="17">
        <f>J54/H54</f>
        <v>0.27054821612214225</v>
      </c>
    </row>
    <row r="55" spans="1:11" x14ac:dyDescent="0.3">
      <c r="A55" s="35">
        <v>2020</v>
      </c>
      <c r="B55">
        <f>'rockfish harvests'!E274+'rockfish harvests'!G274</f>
        <v>3192</v>
      </c>
      <c r="C55">
        <f>'rockfish harvests'!D274</f>
        <v>4059</v>
      </c>
      <c r="D55" s="37">
        <f t="shared" ref="D55:D56" si="8">C55-B55</f>
        <v>867</v>
      </c>
      <c r="E55" s="17">
        <f t="shared" si="7"/>
        <v>0.27161654135338348</v>
      </c>
      <c r="G55" s="35">
        <v>2020</v>
      </c>
      <c r="H55">
        <f>'rockfish harvests'!E99+'rockfish harvests'!G99</f>
        <v>10120</v>
      </c>
      <c r="I55">
        <f>'rockfish harvests'!D99</f>
        <v>9784</v>
      </c>
      <c r="J55" s="37">
        <f t="shared" ref="J55:J56" si="9">I55-H55</f>
        <v>-336</v>
      </c>
      <c r="K55" s="17"/>
    </row>
    <row r="56" spans="1:11" x14ac:dyDescent="0.3">
      <c r="A56" s="35">
        <v>2021</v>
      </c>
      <c r="B56">
        <f>'rockfish harvests'!E275+'rockfish harvests'!G275</f>
        <v>8121</v>
      </c>
      <c r="C56">
        <f>'rockfish harvests'!D275</f>
        <v>7343</v>
      </c>
      <c r="D56" s="37">
        <f t="shared" si="8"/>
        <v>-778</v>
      </c>
      <c r="E56" s="17"/>
      <c r="G56" s="35">
        <v>2021</v>
      </c>
      <c r="H56">
        <f>'rockfish harvests'!E100+'rockfish harvests'!G100</f>
        <v>18745</v>
      </c>
      <c r="I56">
        <f>'rockfish harvests'!D100</f>
        <v>14326</v>
      </c>
      <c r="J56" s="37">
        <f t="shared" si="9"/>
        <v>-4419</v>
      </c>
      <c r="K56" s="17"/>
    </row>
    <row r="57" spans="1:11" x14ac:dyDescent="0.3">
      <c r="A57" s="53"/>
      <c r="D57" s="37"/>
      <c r="E57" s="17"/>
      <c r="G57" s="53"/>
      <c r="J57" s="37"/>
      <c r="K57" s="17"/>
    </row>
    <row r="58" spans="1:11" x14ac:dyDescent="0.3">
      <c r="B58" s="34" t="s">
        <v>38</v>
      </c>
      <c r="H58" s="34" t="s">
        <v>54</v>
      </c>
    </row>
    <row r="59" spans="1:11" x14ac:dyDescent="0.3">
      <c r="A59" s="35">
        <v>1996</v>
      </c>
      <c r="B59" s="11">
        <v>5693</v>
      </c>
      <c r="G59" s="35">
        <v>1996</v>
      </c>
      <c r="H59" s="11">
        <v>26</v>
      </c>
    </row>
    <row r="60" spans="1:11" x14ac:dyDescent="0.3">
      <c r="A60" s="35">
        <v>1997</v>
      </c>
      <c r="B60" s="11">
        <v>7693</v>
      </c>
      <c r="G60" s="35">
        <v>1997</v>
      </c>
      <c r="H60" s="11">
        <v>164</v>
      </c>
    </row>
    <row r="61" spans="1:11" x14ac:dyDescent="0.3">
      <c r="A61" s="35">
        <v>1998</v>
      </c>
      <c r="B61" s="11">
        <v>10337</v>
      </c>
      <c r="C61">
        <f>'rockfish harvests'!D277</f>
        <v>5285</v>
      </c>
      <c r="D61" s="37">
        <f>C61-B61</f>
        <v>-5052</v>
      </c>
      <c r="G61" s="35">
        <v>1998</v>
      </c>
      <c r="H61" s="11">
        <v>144</v>
      </c>
      <c r="I61">
        <f>'rockfish harvests'!D27</f>
        <v>148</v>
      </c>
      <c r="J61" s="37">
        <f>I61-H61</f>
        <v>4</v>
      </c>
      <c r="K61" s="17">
        <f>J61/H61</f>
        <v>2.7777777777777776E-2</v>
      </c>
    </row>
    <row r="62" spans="1:11" x14ac:dyDescent="0.3">
      <c r="A62" s="35">
        <v>1999</v>
      </c>
      <c r="B62" s="11">
        <v>14478</v>
      </c>
      <c r="C62">
        <f>'rockfish harvests'!D278</f>
        <v>6363</v>
      </c>
      <c r="D62" s="37">
        <f t="shared" ref="D62:D82" si="10">C62-B62</f>
        <v>-8115</v>
      </c>
      <c r="G62" s="35">
        <v>1999</v>
      </c>
      <c r="H62" s="11">
        <v>470</v>
      </c>
      <c r="I62">
        <f>'rockfish harvests'!D28</f>
        <v>228</v>
      </c>
      <c r="J62" s="37">
        <f t="shared" ref="J62:J82" si="11">I62-H62</f>
        <v>-242</v>
      </c>
    </row>
    <row r="63" spans="1:11" x14ac:dyDescent="0.3">
      <c r="A63" s="35">
        <v>2000</v>
      </c>
      <c r="B63" s="11">
        <v>16762</v>
      </c>
      <c r="C63">
        <f>'rockfish harvests'!D279</f>
        <v>9746</v>
      </c>
      <c r="D63" s="37">
        <f t="shared" si="10"/>
        <v>-7016</v>
      </c>
      <c r="G63" s="35">
        <v>2000</v>
      </c>
      <c r="H63" s="11">
        <v>519</v>
      </c>
      <c r="I63">
        <f>'rockfish harvests'!D29</f>
        <v>386</v>
      </c>
      <c r="J63" s="37">
        <f t="shared" si="11"/>
        <v>-133</v>
      </c>
      <c r="K63" s="17"/>
    </row>
    <row r="64" spans="1:11" x14ac:dyDescent="0.3">
      <c r="A64" s="35">
        <v>2001</v>
      </c>
      <c r="B64" s="11">
        <v>12712</v>
      </c>
      <c r="C64">
        <f>'rockfish harvests'!D280</f>
        <v>7242</v>
      </c>
      <c r="D64" s="37">
        <f t="shared" si="10"/>
        <v>-5470</v>
      </c>
      <c r="G64" s="35">
        <v>2001</v>
      </c>
      <c r="H64" s="11">
        <v>409</v>
      </c>
      <c r="I64">
        <f>'rockfish harvests'!D30</f>
        <v>1182</v>
      </c>
      <c r="J64" s="37">
        <f t="shared" si="11"/>
        <v>773</v>
      </c>
      <c r="K64" s="17">
        <f t="shared" ref="K64:K70" si="12">J64/H64</f>
        <v>1.8899755501222495</v>
      </c>
    </row>
    <row r="65" spans="1:11" x14ac:dyDescent="0.3">
      <c r="A65" s="35">
        <v>2002</v>
      </c>
      <c r="B65" s="11">
        <v>10076</v>
      </c>
      <c r="C65">
        <f>'rockfish harvests'!D281</f>
        <v>4958</v>
      </c>
      <c r="D65" s="37">
        <f t="shared" si="10"/>
        <v>-5118</v>
      </c>
      <c r="G65" s="35">
        <v>2002</v>
      </c>
      <c r="H65" s="11">
        <v>471</v>
      </c>
      <c r="I65">
        <f>'rockfish harvests'!D31</f>
        <v>880</v>
      </c>
      <c r="J65" s="37">
        <f t="shared" si="11"/>
        <v>409</v>
      </c>
      <c r="K65" s="17">
        <f t="shared" si="12"/>
        <v>0.86836518046709132</v>
      </c>
    </row>
    <row r="66" spans="1:11" x14ac:dyDescent="0.3">
      <c r="A66" s="35">
        <v>2003</v>
      </c>
      <c r="B66" s="11">
        <v>13309</v>
      </c>
      <c r="C66">
        <f>'rockfish harvests'!D282</f>
        <v>6069</v>
      </c>
      <c r="D66" s="37">
        <f t="shared" si="10"/>
        <v>-7240</v>
      </c>
      <c r="G66" s="35">
        <v>2003</v>
      </c>
      <c r="H66" s="11">
        <v>359</v>
      </c>
      <c r="I66">
        <f>'rockfish harvests'!D32</f>
        <v>1107</v>
      </c>
      <c r="J66" s="37">
        <f t="shared" si="11"/>
        <v>748</v>
      </c>
      <c r="K66" s="17">
        <f t="shared" si="12"/>
        <v>2.0835654596100279</v>
      </c>
    </row>
    <row r="67" spans="1:11" x14ac:dyDescent="0.3">
      <c r="A67" s="35">
        <v>2004</v>
      </c>
      <c r="B67" s="11">
        <v>14280</v>
      </c>
      <c r="C67">
        <f>'rockfish harvests'!D283</f>
        <v>6052</v>
      </c>
      <c r="D67" s="37">
        <f t="shared" si="10"/>
        <v>-8228</v>
      </c>
      <c r="G67" s="35">
        <v>2004</v>
      </c>
      <c r="H67" s="11">
        <v>692</v>
      </c>
      <c r="I67">
        <f>'rockfish harvests'!D33</f>
        <v>810</v>
      </c>
      <c r="J67" s="37">
        <f t="shared" si="11"/>
        <v>118</v>
      </c>
      <c r="K67" s="17">
        <f t="shared" si="12"/>
        <v>0.17052023121387283</v>
      </c>
    </row>
    <row r="68" spans="1:11" x14ac:dyDescent="0.3">
      <c r="A68" s="35">
        <v>2005</v>
      </c>
      <c r="B68" s="11">
        <v>17786</v>
      </c>
      <c r="C68">
        <f>'rockfish harvests'!D284</f>
        <v>7678</v>
      </c>
      <c r="D68" s="37">
        <f t="shared" si="10"/>
        <v>-10108</v>
      </c>
      <c r="G68" s="35">
        <v>2005</v>
      </c>
      <c r="H68" s="11">
        <v>727</v>
      </c>
      <c r="I68">
        <f>'rockfish harvests'!D34</f>
        <v>1266</v>
      </c>
      <c r="J68" s="37">
        <f t="shared" si="11"/>
        <v>539</v>
      </c>
      <c r="K68" s="17">
        <f t="shared" si="12"/>
        <v>0.74140302613480058</v>
      </c>
    </row>
    <row r="69" spans="1:11" x14ac:dyDescent="0.3">
      <c r="A69" s="35">
        <v>2006</v>
      </c>
      <c r="B69" s="11">
        <v>11005</v>
      </c>
      <c r="C69">
        <f>'rockfish harvests'!D285</f>
        <v>6437</v>
      </c>
      <c r="D69" s="37">
        <f t="shared" si="10"/>
        <v>-4568</v>
      </c>
      <c r="G69" s="35">
        <v>2006</v>
      </c>
      <c r="H69" s="11">
        <v>527</v>
      </c>
      <c r="I69">
        <f>'rockfish harvests'!D35</f>
        <v>737</v>
      </c>
      <c r="J69" s="37">
        <f t="shared" si="11"/>
        <v>210</v>
      </c>
      <c r="K69" s="17">
        <f t="shared" si="12"/>
        <v>0.39848197343453512</v>
      </c>
    </row>
    <row r="70" spans="1:11" x14ac:dyDescent="0.3">
      <c r="A70" s="35">
        <v>2007</v>
      </c>
      <c r="B70" s="11">
        <v>14332</v>
      </c>
      <c r="C70">
        <f>'rockfish harvests'!D286</f>
        <v>7499</v>
      </c>
      <c r="D70" s="37">
        <f t="shared" si="10"/>
        <v>-6833</v>
      </c>
      <c r="G70" s="35">
        <v>2007</v>
      </c>
      <c r="H70" s="11">
        <v>901</v>
      </c>
      <c r="I70">
        <f>'rockfish harvests'!D36</f>
        <v>1645</v>
      </c>
      <c r="J70" s="37">
        <f t="shared" si="11"/>
        <v>744</v>
      </c>
      <c r="K70" s="17">
        <f t="shared" si="12"/>
        <v>0.82574916759156491</v>
      </c>
    </row>
    <row r="71" spans="1:11" x14ac:dyDescent="0.3">
      <c r="A71" s="35">
        <v>2008</v>
      </c>
      <c r="B71" s="11">
        <v>13424</v>
      </c>
      <c r="C71">
        <f>'rockfish harvests'!D287</f>
        <v>10923</v>
      </c>
      <c r="D71" s="37">
        <f t="shared" si="10"/>
        <v>-2501</v>
      </c>
      <c r="G71" s="35">
        <v>2008</v>
      </c>
      <c r="H71" s="11">
        <v>1394</v>
      </c>
      <c r="I71">
        <f>'rockfish harvests'!D37</f>
        <v>1196</v>
      </c>
      <c r="J71" s="37">
        <f t="shared" si="11"/>
        <v>-198</v>
      </c>
      <c r="K71" s="17"/>
    </row>
    <row r="72" spans="1:11" x14ac:dyDescent="0.3">
      <c r="A72" s="35">
        <v>2009</v>
      </c>
      <c r="B72" s="11">
        <v>17139</v>
      </c>
      <c r="C72">
        <f>'rockfish harvests'!D288</f>
        <v>9325</v>
      </c>
      <c r="D72" s="37">
        <f t="shared" si="10"/>
        <v>-7814</v>
      </c>
      <c r="G72" s="35">
        <v>2009</v>
      </c>
      <c r="H72" s="11">
        <v>539</v>
      </c>
      <c r="I72">
        <f>'rockfish harvests'!D38</f>
        <v>1849</v>
      </c>
      <c r="J72" s="37">
        <f t="shared" si="11"/>
        <v>1310</v>
      </c>
      <c r="K72" s="17">
        <f>J72/H72</f>
        <v>2.4304267161410018</v>
      </c>
    </row>
    <row r="73" spans="1:11" x14ac:dyDescent="0.3">
      <c r="A73" s="35">
        <v>2010</v>
      </c>
      <c r="B73" s="11">
        <v>15425</v>
      </c>
      <c r="C73">
        <f>'rockfish harvests'!D289</f>
        <v>11942</v>
      </c>
      <c r="D73" s="37">
        <f t="shared" si="10"/>
        <v>-3483</v>
      </c>
      <c r="G73" s="35">
        <v>2010</v>
      </c>
      <c r="H73" s="11">
        <v>760</v>
      </c>
      <c r="I73">
        <f>'rockfish harvests'!D39</f>
        <v>1266</v>
      </c>
      <c r="J73" s="37">
        <f t="shared" si="11"/>
        <v>506</v>
      </c>
      <c r="K73" s="17">
        <f>J73/H73</f>
        <v>0.66578947368421049</v>
      </c>
    </row>
    <row r="74" spans="1:11" x14ac:dyDescent="0.3">
      <c r="A74" s="35">
        <v>2011</v>
      </c>
      <c r="B74">
        <f>'rockfish harvests'!E290+'rockfish harvests'!G290</f>
        <v>11825</v>
      </c>
      <c r="C74">
        <f>'rockfish harvests'!D290</f>
        <v>13281</v>
      </c>
      <c r="D74" s="37">
        <f t="shared" si="10"/>
        <v>1456</v>
      </c>
      <c r="E74" s="17">
        <f>D74/B74</f>
        <v>0.12312896405919661</v>
      </c>
      <c r="G74" s="35">
        <v>2011</v>
      </c>
      <c r="H74">
        <f>'rockfish harvests'!E40+'rockfish harvests'!G40</f>
        <v>1224</v>
      </c>
      <c r="I74">
        <f>'rockfish harvests'!D40</f>
        <v>1366</v>
      </c>
      <c r="J74" s="37">
        <f t="shared" si="11"/>
        <v>142</v>
      </c>
      <c r="K74" s="17">
        <f>J74/H74</f>
        <v>0.11601307189542484</v>
      </c>
    </row>
    <row r="75" spans="1:11" x14ac:dyDescent="0.3">
      <c r="A75" s="35">
        <v>2012</v>
      </c>
      <c r="B75">
        <f>'rockfish harvests'!E291+'rockfish harvests'!G291</f>
        <v>17511</v>
      </c>
      <c r="C75">
        <f>'rockfish harvests'!D291</f>
        <v>15243</v>
      </c>
      <c r="D75" s="37">
        <f t="shared" si="10"/>
        <v>-2268</v>
      </c>
      <c r="G75" s="35">
        <v>2012</v>
      </c>
      <c r="H75">
        <f>'rockfish harvests'!E41+'rockfish harvests'!G41</f>
        <v>1006</v>
      </c>
      <c r="I75">
        <f>'rockfish harvests'!D41</f>
        <v>1747</v>
      </c>
      <c r="J75" s="37">
        <f t="shared" si="11"/>
        <v>741</v>
      </c>
      <c r="K75" s="17">
        <f>J75/H75</f>
        <v>0.73658051689860837</v>
      </c>
    </row>
    <row r="76" spans="1:11" x14ac:dyDescent="0.3">
      <c r="A76" s="35">
        <v>2013</v>
      </c>
      <c r="B76">
        <f>'rockfish harvests'!E292+'rockfish harvests'!G292</f>
        <v>21959</v>
      </c>
      <c r="C76">
        <f>'rockfish harvests'!D292</f>
        <v>14770</v>
      </c>
      <c r="D76" s="37">
        <f t="shared" si="10"/>
        <v>-7189</v>
      </c>
      <c r="G76" s="35">
        <v>2013</v>
      </c>
      <c r="H76">
        <f>'rockfish harvests'!E42+'rockfish harvests'!G42</f>
        <v>2492</v>
      </c>
      <c r="I76">
        <f>'rockfish harvests'!D42</f>
        <v>1983</v>
      </c>
      <c r="J76" s="37">
        <f t="shared" si="11"/>
        <v>-509</v>
      </c>
      <c r="K76" s="17"/>
    </row>
    <row r="77" spans="1:11" x14ac:dyDescent="0.3">
      <c r="A77" s="35">
        <v>2014</v>
      </c>
      <c r="B77">
        <f>'rockfish harvests'!E293+'rockfish harvests'!G293</f>
        <v>35145</v>
      </c>
      <c r="C77">
        <f>'rockfish harvests'!D293</f>
        <v>19857</v>
      </c>
      <c r="D77" s="37">
        <f t="shared" si="10"/>
        <v>-15288</v>
      </c>
      <c r="G77" s="35">
        <v>2014</v>
      </c>
      <c r="H77">
        <f>'rockfish harvests'!E43+'rockfish harvests'!G43</f>
        <v>2993</v>
      </c>
      <c r="I77">
        <f>'rockfish harvests'!D43</f>
        <v>2396</v>
      </c>
      <c r="J77" s="37">
        <f t="shared" si="11"/>
        <v>-597</v>
      </c>
    </row>
    <row r="78" spans="1:11" x14ac:dyDescent="0.3">
      <c r="A78" s="35">
        <v>2015</v>
      </c>
      <c r="B78">
        <f>'rockfish harvests'!E294+'rockfish harvests'!G294</f>
        <v>29054</v>
      </c>
      <c r="C78">
        <f>'rockfish harvests'!D294</f>
        <v>22095</v>
      </c>
      <c r="D78" s="37">
        <f t="shared" si="10"/>
        <v>-6959</v>
      </c>
      <c r="G78" s="35">
        <v>2015</v>
      </c>
      <c r="H78">
        <f>'rockfish harvests'!E44+'rockfish harvests'!G44</f>
        <v>2551</v>
      </c>
      <c r="I78">
        <f>'rockfish harvests'!D44</f>
        <v>2031</v>
      </c>
      <c r="J78" s="37">
        <f t="shared" si="11"/>
        <v>-520</v>
      </c>
      <c r="K78" s="17"/>
    </row>
    <row r="79" spans="1:11" x14ac:dyDescent="0.3">
      <c r="A79" s="35">
        <v>2016</v>
      </c>
      <c r="B79">
        <f>'rockfish harvests'!E295+'rockfish harvests'!G295</f>
        <v>35220</v>
      </c>
      <c r="C79">
        <f>'rockfish harvests'!D295</f>
        <v>25877</v>
      </c>
      <c r="D79" s="37">
        <f t="shared" si="10"/>
        <v>-9343</v>
      </c>
      <c r="G79" s="35">
        <v>2016</v>
      </c>
      <c r="H79">
        <f>'rockfish harvests'!E45+'rockfish harvests'!G45</f>
        <v>5452</v>
      </c>
      <c r="I79">
        <f>'rockfish harvests'!D45</f>
        <v>3337</v>
      </c>
      <c r="J79" s="37">
        <f t="shared" si="11"/>
        <v>-2115</v>
      </c>
    </row>
    <row r="80" spans="1:11" x14ac:dyDescent="0.3">
      <c r="A80" s="35">
        <v>2017</v>
      </c>
      <c r="B80">
        <f>'rockfish harvests'!E296+'rockfish harvests'!G296</f>
        <v>29117</v>
      </c>
      <c r="C80">
        <f>'rockfish harvests'!D296</f>
        <v>24305</v>
      </c>
      <c r="D80" s="37">
        <f t="shared" si="10"/>
        <v>-4812</v>
      </c>
      <c r="G80" s="35">
        <v>2017</v>
      </c>
      <c r="H80">
        <f>'rockfish harvests'!E46+'rockfish harvests'!G46</f>
        <v>2882</v>
      </c>
      <c r="I80">
        <f>'rockfish harvests'!D46</f>
        <v>2899</v>
      </c>
      <c r="J80" s="37">
        <f t="shared" si="11"/>
        <v>17</v>
      </c>
      <c r="K80" s="17">
        <f>J80/H80</f>
        <v>5.8986814712005554E-3</v>
      </c>
    </row>
    <row r="81" spans="1:11" x14ac:dyDescent="0.3">
      <c r="A81" s="35">
        <v>2018</v>
      </c>
      <c r="B81">
        <f>'rockfish harvests'!E297+'rockfish harvests'!G297</f>
        <v>32006</v>
      </c>
      <c r="C81">
        <f>'rockfish harvests'!D297</f>
        <v>34673</v>
      </c>
      <c r="D81" s="37">
        <f t="shared" si="10"/>
        <v>2667</v>
      </c>
      <c r="E81" s="17">
        <f>D81/B81</f>
        <v>8.3328125976379425E-2</v>
      </c>
      <c r="G81" s="35">
        <v>2018</v>
      </c>
      <c r="H81">
        <f>'rockfish harvests'!E47+'rockfish harvests'!G47</f>
        <v>4521</v>
      </c>
      <c r="I81">
        <f>'rockfish harvests'!D47</f>
        <v>4291</v>
      </c>
      <c r="J81" s="37">
        <f t="shared" si="11"/>
        <v>-230</v>
      </c>
      <c r="K81" s="17"/>
    </row>
    <row r="82" spans="1:11" x14ac:dyDescent="0.3">
      <c r="A82" s="35">
        <v>2019</v>
      </c>
      <c r="B82">
        <f>'rockfish harvests'!E298+'rockfish harvests'!G298</f>
        <v>24998</v>
      </c>
      <c r="C82">
        <f>'rockfish harvests'!D298</f>
        <v>36293</v>
      </c>
      <c r="D82" s="37">
        <f t="shared" si="10"/>
        <v>11295</v>
      </c>
      <c r="E82" s="17">
        <f>D82/B82</f>
        <v>0.45183614689175133</v>
      </c>
      <c r="G82" s="35">
        <v>2019</v>
      </c>
      <c r="H82">
        <f>'rockfish harvests'!E48+'rockfish harvests'!G48</f>
        <v>7395</v>
      </c>
      <c r="I82">
        <f>'rockfish harvests'!D48</f>
        <v>6954</v>
      </c>
      <c r="J82" s="37">
        <f t="shared" si="11"/>
        <v>-441</v>
      </c>
      <c r="K82" s="17"/>
    </row>
    <row r="83" spans="1:11" x14ac:dyDescent="0.3">
      <c r="A83" s="35">
        <v>2020</v>
      </c>
      <c r="B83">
        <f>'rockfish harvests'!E299+'rockfish harvests'!G299</f>
        <v>14399</v>
      </c>
      <c r="C83">
        <f>'rockfish harvests'!D299</f>
        <v>17585</v>
      </c>
      <c r="D83" s="37">
        <f t="shared" ref="D83:D84" si="13">C83-B83</f>
        <v>3186</v>
      </c>
      <c r="E83" s="17">
        <f>D83/B83</f>
        <v>0.2212653656503924</v>
      </c>
      <c r="G83" s="35">
        <v>2020</v>
      </c>
      <c r="H83">
        <f>'rockfish harvests'!E49+'rockfish harvests'!G49</f>
        <v>2722</v>
      </c>
      <c r="I83">
        <f>'rockfish harvests'!D49</f>
        <v>4035</v>
      </c>
      <c r="J83" s="37">
        <f t="shared" ref="J83:J84" si="14">I83-H83</f>
        <v>1313</v>
      </c>
      <c r="K83" s="17">
        <f>J83/H83</f>
        <v>0.48236590742101398</v>
      </c>
    </row>
    <row r="84" spans="1:11" x14ac:dyDescent="0.3">
      <c r="A84" s="35">
        <v>2021</v>
      </c>
      <c r="B84">
        <f>'rockfish harvests'!E300+'rockfish harvests'!G300</f>
        <v>29990</v>
      </c>
      <c r="C84">
        <f>'rockfish harvests'!D300</f>
        <v>33151</v>
      </c>
      <c r="D84" s="37">
        <f t="shared" si="13"/>
        <v>3161</v>
      </c>
      <c r="E84" s="17">
        <f>D84/B84</f>
        <v>0.10540180060020006</v>
      </c>
      <c r="G84" s="35">
        <v>2021</v>
      </c>
      <c r="H84">
        <f>'rockfish harvests'!E50+'rockfish harvests'!G50</f>
        <v>9846</v>
      </c>
      <c r="I84">
        <f>'rockfish harvests'!D50</f>
        <v>7924</v>
      </c>
      <c r="J84" s="37">
        <f t="shared" si="14"/>
        <v>-1922</v>
      </c>
      <c r="K84" s="17"/>
    </row>
    <row r="85" spans="1:11" x14ac:dyDescent="0.3">
      <c r="A85" s="53"/>
      <c r="D85" s="37"/>
      <c r="G85" s="53"/>
      <c r="J85" s="37"/>
      <c r="K85" s="17"/>
    </row>
    <row r="86" spans="1:11" x14ac:dyDescent="0.3">
      <c r="B86" s="34" t="s">
        <v>41</v>
      </c>
      <c r="H86" s="34" t="s">
        <v>48</v>
      </c>
    </row>
    <row r="87" spans="1:11" x14ac:dyDescent="0.3">
      <c r="A87" s="35">
        <v>1996</v>
      </c>
      <c r="B87" s="11">
        <v>772</v>
      </c>
      <c r="G87" s="35">
        <v>1996</v>
      </c>
      <c r="H87" s="11">
        <v>526</v>
      </c>
    </row>
    <row r="88" spans="1:11" x14ac:dyDescent="0.3">
      <c r="A88" s="35">
        <v>1997</v>
      </c>
      <c r="B88" s="11">
        <v>1193</v>
      </c>
      <c r="G88" s="35">
        <v>1997</v>
      </c>
      <c r="H88" s="11">
        <v>118</v>
      </c>
    </row>
    <row r="89" spans="1:11" x14ac:dyDescent="0.3">
      <c r="A89" s="35">
        <v>1998</v>
      </c>
      <c r="B89" s="11">
        <v>1044</v>
      </c>
      <c r="C89">
        <f>'rockfish harvests'!D302</f>
        <v>1123</v>
      </c>
      <c r="D89" s="37">
        <f>C89-B89</f>
        <v>79</v>
      </c>
      <c r="E89" s="17">
        <f>D89/B89</f>
        <v>7.5670498084291188E-2</v>
      </c>
      <c r="G89" s="35">
        <v>1998</v>
      </c>
      <c r="H89" s="11">
        <v>320</v>
      </c>
      <c r="I89">
        <f>'rockfish harvests'!D102</f>
        <v>157</v>
      </c>
      <c r="J89" s="37">
        <f>I89-H89</f>
        <v>-163</v>
      </c>
      <c r="K89" s="17"/>
    </row>
    <row r="90" spans="1:11" x14ac:dyDescent="0.3">
      <c r="A90" s="35">
        <v>1999</v>
      </c>
      <c r="B90" s="11">
        <v>1352</v>
      </c>
      <c r="C90">
        <f>'rockfish harvests'!D303</f>
        <v>1071</v>
      </c>
      <c r="D90" s="37">
        <f t="shared" ref="D90:D110" si="15">C90-B90</f>
        <v>-281</v>
      </c>
      <c r="G90" s="35">
        <v>1999</v>
      </c>
      <c r="H90" s="11">
        <v>175</v>
      </c>
      <c r="I90">
        <f>'rockfish harvests'!D103</f>
        <v>121</v>
      </c>
      <c r="J90" s="37">
        <f t="shared" ref="J90:J110" si="16">I90-H90</f>
        <v>-54</v>
      </c>
    </row>
    <row r="91" spans="1:11" x14ac:dyDescent="0.3">
      <c r="A91" s="35">
        <v>2000</v>
      </c>
      <c r="B91" s="11">
        <v>3817</v>
      </c>
      <c r="C91">
        <f>'rockfish harvests'!D304</f>
        <v>2883</v>
      </c>
      <c r="D91" s="37">
        <f t="shared" si="15"/>
        <v>-934</v>
      </c>
      <c r="G91" s="35">
        <v>2000</v>
      </c>
      <c r="H91" s="11">
        <v>528</v>
      </c>
      <c r="I91">
        <f>'rockfish harvests'!D104</f>
        <v>423</v>
      </c>
      <c r="J91" s="37">
        <f t="shared" si="16"/>
        <v>-105</v>
      </c>
      <c r="K91" s="17"/>
    </row>
    <row r="92" spans="1:11" x14ac:dyDescent="0.3">
      <c r="A92" s="35">
        <v>2001</v>
      </c>
      <c r="B92" s="11">
        <v>2106</v>
      </c>
      <c r="C92">
        <f>'rockfish harvests'!D305</f>
        <v>2839</v>
      </c>
      <c r="D92" s="37">
        <f t="shared" si="15"/>
        <v>733</v>
      </c>
      <c r="E92" s="17">
        <f>D92/B92</f>
        <v>0.3480531813865147</v>
      </c>
      <c r="G92" s="35">
        <v>2001</v>
      </c>
      <c r="H92" s="11">
        <v>217</v>
      </c>
      <c r="I92">
        <f>'rockfish harvests'!D105</f>
        <v>298</v>
      </c>
      <c r="J92" s="37">
        <f t="shared" si="16"/>
        <v>81</v>
      </c>
      <c r="K92" s="17">
        <f t="shared" ref="K92:K102" si="17">J92/H92</f>
        <v>0.37327188940092165</v>
      </c>
    </row>
    <row r="93" spans="1:11" x14ac:dyDescent="0.3">
      <c r="A93" s="35">
        <v>2002</v>
      </c>
      <c r="B93" s="11">
        <v>1760</v>
      </c>
      <c r="C93">
        <f>'rockfish harvests'!D306</f>
        <v>2029</v>
      </c>
      <c r="D93" s="37">
        <f t="shared" si="15"/>
        <v>269</v>
      </c>
      <c r="E93" s="17">
        <f>D93/B93</f>
        <v>0.15284090909090908</v>
      </c>
      <c r="G93" s="35">
        <v>2002</v>
      </c>
      <c r="H93" s="11">
        <v>386</v>
      </c>
      <c r="I93">
        <f>'rockfish harvests'!D106</f>
        <v>319</v>
      </c>
      <c r="J93" s="37">
        <f t="shared" si="16"/>
        <v>-67</v>
      </c>
      <c r="K93" s="17"/>
    </row>
    <row r="94" spans="1:11" x14ac:dyDescent="0.3">
      <c r="A94" s="35">
        <v>2003</v>
      </c>
      <c r="B94" s="11">
        <v>2934</v>
      </c>
      <c r="C94">
        <f>'rockfish harvests'!D307</f>
        <v>3083</v>
      </c>
      <c r="D94" s="37">
        <f t="shared" si="15"/>
        <v>149</v>
      </c>
      <c r="E94" s="17">
        <f>D94/B94</f>
        <v>5.0783912747102929E-2</v>
      </c>
      <c r="G94" s="35">
        <v>2003</v>
      </c>
      <c r="H94" s="11">
        <v>633</v>
      </c>
      <c r="I94">
        <f>'rockfish harvests'!D107</f>
        <v>1012</v>
      </c>
      <c r="J94" s="37">
        <f t="shared" si="16"/>
        <v>379</v>
      </c>
      <c r="K94" s="17">
        <f t="shared" si="17"/>
        <v>0.59873617693522907</v>
      </c>
    </row>
    <row r="95" spans="1:11" x14ac:dyDescent="0.3">
      <c r="A95" s="35">
        <v>2004</v>
      </c>
      <c r="B95" s="11">
        <v>2439</v>
      </c>
      <c r="C95">
        <f>'rockfish harvests'!D308</f>
        <v>2923</v>
      </c>
      <c r="D95" s="37">
        <f t="shared" si="15"/>
        <v>484</v>
      </c>
      <c r="E95" s="17">
        <f>D95/B95</f>
        <v>0.1984419844198442</v>
      </c>
      <c r="G95" s="35">
        <v>2004</v>
      </c>
      <c r="H95" s="11">
        <v>292</v>
      </c>
      <c r="I95">
        <f>'rockfish harvests'!D108</f>
        <v>730</v>
      </c>
      <c r="J95" s="37">
        <f t="shared" si="16"/>
        <v>438</v>
      </c>
      <c r="K95" s="17">
        <f t="shared" si="17"/>
        <v>1.5</v>
      </c>
    </row>
    <row r="96" spans="1:11" x14ac:dyDescent="0.3">
      <c r="A96" s="35">
        <v>2005</v>
      </c>
      <c r="B96" s="11">
        <v>4496</v>
      </c>
      <c r="C96">
        <f>'rockfish harvests'!D309</f>
        <v>2796</v>
      </c>
      <c r="D96" s="37">
        <f t="shared" si="15"/>
        <v>-1700</v>
      </c>
      <c r="G96" s="35">
        <v>2005</v>
      </c>
      <c r="H96" s="11">
        <v>1772</v>
      </c>
      <c r="I96">
        <f>'rockfish harvests'!D109</f>
        <v>1242</v>
      </c>
      <c r="J96" s="37">
        <f t="shared" si="16"/>
        <v>-530</v>
      </c>
      <c r="K96" s="17"/>
    </row>
    <row r="97" spans="1:11" x14ac:dyDescent="0.3">
      <c r="A97" s="35">
        <v>2006</v>
      </c>
      <c r="B97" s="11">
        <v>2138</v>
      </c>
      <c r="C97">
        <f>'rockfish harvests'!D310</f>
        <v>3058</v>
      </c>
      <c r="D97" s="37">
        <f t="shared" si="15"/>
        <v>920</v>
      </c>
      <c r="E97" s="17">
        <f>D97/B97</f>
        <v>0.43030869971936392</v>
      </c>
      <c r="G97" s="35">
        <v>2006</v>
      </c>
      <c r="H97" s="11">
        <v>412</v>
      </c>
      <c r="I97">
        <f>'rockfish harvests'!D110</f>
        <v>1516</v>
      </c>
      <c r="J97" s="37">
        <f t="shared" si="16"/>
        <v>1104</v>
      </c>
      <c r="K97" s="17">
        <f t="shared" si="17"/>
        <v>2.679611650485437</v>
      </c>
    </row>
    <row r="98" spans="1:11" x14ac:dyDescent="0.3">
      <c r="A98" s="35">
        <v>2007</v>
      </c>
      <c r="B98" s="11">
        <v>2078</v>
      </c>
      <c r="C98">
        <f>'rockfish harvests'!D311</f>
        <v>4266</v>
      </c>
      <c r="D98" s="37">
        <f t="shared" si="15"/>
        <v>2188</v>
      </c>
      <c r="E98" s="17">
        <f>D98/B98</f>
        <v>1.0529355149181905</v>
      </c>
      <c r="G98" s="35">
        <v>2007</v>
      </c>
      <c r="H98" s="11">
        <v>1143</v>
      </c>
      <c r="I98">
        <f>'rockfish harvests'!D111</f>
        <v>3481</v>
      </c>
      <c r="J98" s="37">
        <f t="shared" si="16"/>
        <v>2338</v>
      </c>
      <c r="K98" s="17">
        <f t="shared" si="17"/>
        <v>2.0454943132108485</v>
      </c>
    </row>
    <row r="99" spans="1:11" x14ac:dyDescent="0.3">
      <c r="A99" s="35">
        <v>2008</v>
      </c>
      <c r="B99" s="11">
        <v>3762</v>
      </c>
      <c r="C99">
        <f>'rockfish harvests'!D312</f>
        <v>5010</v>
      </c>
      <c r="D99" s="37">
        <f t="shared" si="15"/>
        <v>1248</v>
      </c>
      <c r="E99" s="17">
        <f>D99/B99</f>
        <v>0.33173843700159489</v>
      </c>
      <c r="G99" s="35">
        <v>2008</v>
      </c>
      <c r="H99" s="11">
        <v>1238</v>
      </c>
      <c r="I99">
        <f>'rockfish harvests'!D112</f>
        <v>2311</v>
      </c>
      <c r="J99" s="37">
        <f t="shared" si="16"/>
        <v>1073</v>
      </c>
      <c r="K99" s="17">
        <f t="shared" si="17"/>
        <v>0.86672051696284325</v>
      </c>
    </row>
    <row r="100" spans="1:11" x14ac:dyDescent="0.3">
      <c r="A100" s="35">
        <v>2009</v>
      </c>
      <c r="B100" s="11">
        <v>3561</v>
      </c>
      <c r="C100">
        <f>'rockfish harvests'!D313</f>
        <v>2818</v>
      </c>
      <c r="D100" s="37">
        <f t="shared" si="15"/>
        <v>-743</v>
      </c>
      <c r="G100" s="35">
        <v>2009</v>
      </c>
      <c r="H100" s="11">
        <v>1035</v>
      </c>
      <c r="I100">
        <f>'rockfish harvests'!D113</f>
        <v>2296</v>
      </c>
      <c r="J100" s="37">
        <f t="shared" si="16"/>
        <v>1261</v>
      </c>
      <c r="K100" s="17">
        <f t="shared" si="17"/>
        <v>1.2183574879227053</v>
      </c>
    </row>
    <row r="101" spans="1:11" x14ac:dyDescent="0.3">
      <c r="A101" s="35">
        <v>2010</v>
      </c>
      <c r="B101" s="11">
        <v>5301</v>
      </c>
      <c r="C101">
        <f>'rockfish harvests'!D314</f>
        <v>4613</v>
      </c>
      <c r="D101" s="37">
        <f t="shared" si="15"/>
        <v>-688</v>
      </c>
      <c r="G101" s="35">
        <v>2010</v>
      </c>
      <c r="H101" s="11">
        <v>1614</v>
      </c>
      <c r="I101">
        <f>'rockfish harvests'!D114</f>
        <v>2555</v>
      </c>
      <c r="J101" s="37">
        <f t="shared" si="16"/>
        <v>941</v>
      </c>
      <c r="K101" s="17">
        <f t="shared" si="17"/>
        <v>0.58302354399008671</v>
      </c>
    </row>
    <row r="102" spans="1:11" x14ac:dyDescent="0.3">
      <c r="A102" s="35">
        <v>2011</v>
      </c>
      <c r="B102">
        <f>'rockfish harvests'!E315+'rockfish harvests'!G315</f>
        <v>5719</v>
      </c>
      <c r="C102">
        <f>'rockfish harvests'!D315</f>
        <v>8950</v>
      </c>
      <c r="D102" s="37">
        <f t="shared" si="15"/>
        <v>3231</v>
      </c>
      <c r="E102" s="17">
        <f>D102/B102</f>
        <v>0.56495890890015732</v>
      </c>
      <c r="G102" s="35">
        <v>2011</v>
      </c>
      <c r="H102">
        <f>'rockfish harvests'!E115+'rockfish harvests'!G115</f>
        <v>1654</v>
      </c>
      <c r="I102">
        <f>'rockfish harvests'!D115</f>
        <v>1928</v>
      </c>
      <c r="J102" s="37">
        <f t="shared" si="16"/>
        <v>274</v>
      </c>
      <c r="K102" s="17">
        <f t="shared" si="17"/>
        <v>0.16565900846432891</v>
      </c>
    </row>
    <row r="103" spans="1:11" x14ac:dyDescent="0.3">
      <c r="A103" s="35">
        <v>2012</v>
      </c>
      <c r="B103">
        <f>'rockfish harvests'!E316+'rockfish harvests'!G316</f>
        <v>7214</v>
      </c>
      <c r="C103">
        <f>'rockfish harvests'!D316</f>
        <v>8600</v>
      </c>
      <c r="D103" s="37">
        <f t="shared" si="15"/>
        <v>1386</v>
      </c>
      <c r="E103" s="17">
        <f>D103/B103</f>
        <v>0.19212642084835044</v>
      </c>
      <c r="G103" s="35">
        <v>2012</v>
      </c>
      <c r="H103">
        <f>'rockfish harvests'!E116+'rockfish harvests'!G116</f>
        <v>3543</v>
      </c>
      <c r="I103">
        <f>'rockfish harvests'!D116</f>
        <v>3433</v>
      </c>
      <c r="J103" s="37">
        <f t="shared" si="16"/>
        <v>-110</v>
      </c>
      <c r="K103" s="17"/>
    </row>
    <row r="104" spans="1:11" x14ac:dyDescent="0.3">
      <c r="A104" s="35">
        <v>2013</v>
      </c>
      <c r="B104">
        <f>'rockfish harvests'!E317+'rockfish harvests'!G317</f>
        <v>8726</v>
      </c>
      <c r="C104">
        <f>'rockfish harvests'!D317</f>
        <v>6970</v>
      </c>
      <c r="D104" s="37">
        <f t="shared" si="15"/>
        <v>-1756</v>
      </c>
      <c r="G104" s="35">
        <v>2013</v>
      </c>
      <c r="H104">
        <f>'rockfish harvests'!E117+'rockfish harvests'!G117</f>
        <v>2444</v>
      </c>
      <c r="I104">
        <f>'rockfish harvests'!D117</f>
        <v>2207</v>
      </c>
      <c r="J104" s="37">
        <f t="shared" si="16"/>
        <v>-237</v>
      </c>
      <c r="K104" s="17"/>
    </row>
    <row r="105" spans="1:11" x14ac:dyDescent="0.3">
      <c r="A105" s="35">
        <v>2014</v>
      </c>
      <c r="B105">
        <f>'rockfish harvests'!E318+'rockfish harvests'!G318</f>
        <v>12585</v>
      </c>
      <c r="C105">
        <f>'rockfish harvests'!D318</f>
        <v>8688</v>
      </c>
      <c r="D105" s="37">
        <f t="shared" si="15"/>
        <v>-3897</v>
      </c>
      <c r="G105" s="35">
        <v>2014</v>
      </c>
      <c r="H105">
        <f>'rockfish harvests'!E118+'rockfish harvests'!G118</f>
        <v>3243</v>
      </c>
      <c r="I105">
        <f>'rockfish harvests'!D118</f>
        <v>3551</v>
      </c>
      <c r="J105" s="37">
        <f t="shared" si="16"/>
        <v>308</v>
      </c>
      <c r="K105" s="17">
        <f t="shared" ref="K105:K110" si="18">J105/H105</f>
        <v>9.4973789700894234E-2</v>
      </c>
    </row>
    <row r="106" spans="1:11" x14ac:dyDescent="0.3">
      <c r="A106" s="35">
        <v>2015</v>
      </c>
      <c r="B106">
        <f>'rockfish harvests'!E319+'rockfish harvests'!G319</f>
        <v>13962</v>
      </c>
      <c r="C106">
        <f>'rockfish harvests'!D319</f>
        <v>9156</v>
      </c>
      <c r="D106" s="37">
        <f t="shared" si="15"/>
        <v>-4806</v>
      </c>
      <c r="G106" s="35">
        <v>2015</v>
      </c>
      <c r="H106">
        <f>'rockfish harvests'!E119+'rockfish harvests'!G119</f>
        <v>2713</v>
      </c>
      <c r="I106">
        <f>'rockfish harvests'!D119</f>
        <v>2787</v>
      </c>
      <c r="J106" s="37">
        <f t="shared" si="16"/>
        <v>74</v>
      </c>
      <c r="K106" s="17">
        <f t="shared" si="18"/>
        <v>2.7276078142277921E-2</v>
      </c>
    </row>
    <row r="107" spans="1:11" x14ac:dyDescent="0.3">
      <c r="A107" s="35">
        <v>2016</v>
      </c>
      <c r="B107">
        <f>'rockfish harvests'!E320+'rockfish harvests'!G320</f>
        <v>13291</v>
      </c>
      <c r="C107">
        <f>'rockfish harvests'!D320</f>
        <v>5839</v>
      </c>
      <c r="D107" s="37">
        <f t="shared" si="15"/>
        <v>-7452</v>
      </c>
      <c r="G107" s="35">
        <v>2016</v>
      </c>
      <c r="H107">
        <f>'rockfish harvests'!E120+'rockfish harvests'!G120</f>
        <v>2807</v>
      </c>
      <c r="I107">
        <f>'rockfish harvests'!D120</f>
        <v>3561</v>
      </c>
      <c r="J107" s="37">
        <f t="shared" si="16"/>
        <v>754</v>
      </c>
      <c r="K107" s="17">
        <f t="shared" si="18"/>
        <v>0.26861417883861777</v>
      </c>
    </row>
    <row r="108" spans="1:11" x14ac:dyDescent="0.3">
      <c r="A108" s="35">
        <v>2017</v>
      </c>
      <c r="B108">
        <f>'rockfish harvests'!E321+'rockfish harvests'!G321</f>
        <v>11503</v>
      </c>
      <c r="C108">
        <f>'rockfish harvests'!D321</f>
        <v>9211</v>
      </c>
      <c r="D108" s="37">
        <f t="shared" si="15"/>
        <v>-2292</v>
      </c>
      <c r="G108" s="35">
        <v>2017</v>
      </c>
      <c r="H108">
        <f>'rockfish harvests'!E121+'rockfish harvests'!G121</f>
        <v>2882</v>
      </c>
      <c r="I108">
        <f>'rockfish harvests'!D121</f>
        <v>3933</v>
      </c>
      <c r="J108" s="37">
        <f t="shared" si="16"/>
        <v>1051</v>
      </c>
      <c r="K108" s="17">
        <f t="shared" si="18"/>
        <v>0.36467730742539906</v>
      </c>
    </row>
    <row r="109" spans="1:11" x14ac:dyDescent="0.3">
      <c r="A109" s="35">
        <v>2018</v>
      </c>
      <c r="B109">
        <f>'rockfish harvests'!E322+'rockfish harvests'!G322</f>
        <v>12895</v>
      </c>
      <c r="C109">
        <f>'rockfish harvests'!D322</f>
        <v>11024</v>
      </c>
      <c r="D109" s="37">
        <f t="shared" si="15"/>
        <v>-1871</v>
      </c>
      <c r="G109" s="35">
        <v>2018</v>
      </c>
      <c r="H109">
        <f>'rockfish harvests'!E122+'rockfish harvests'!G122</f>
        <v>3236</v>
      </c>
      <c r="I109">
        <f>'rockfish harvests'!D122</f>
        <v>3914</v>
      </c>
      <c r="J109" s="37">
        <f t="shared" si="16"/>
        <v>678</v>
      </c>
      <c r="K109" s="17">
        <f t="shared" si="18"/>
        <v>0.20951792336217553</v>
      </c>
    </row>
    <row r="110" spans="1:11" x14ac:dyDescent="0.3">
      <c r="A110" s="35">
        <v>2019</v>
      </c>
      <c r="B110">
        <f>'rockfish harvests'!E323+'rockfish harvests'!G323</f>
        <v>15348</v>
      </c>
      <c r="C110">
        <f>'rockfish harvests'!D323</f>
        <v>11553</v>
      </c>
      <c r="D110" s="37">
        <f t="shared" si="15"/>
        <v>-3795</v>
      </c>
      <c r="G110" s="35">
        <v>2019</v>
      </c>
      <c r="H110">
        <f>'rockfish harvests'!E123+'rockfish harvests'!G123</f>
        <v>2420</v>
      </c>
      <c r="I110">
        <f>'rockfish harvests'!D123</f>
        <v>5680</v>
      </c>
      <c r="J110" s="37">
        <f t="shared" si="16"/>
        <v>3260</v>
      </c>
      <c r="K110" s="17">
        <f t="shared" si="18"/>
        <v>1.3471074380165289</v>
      </c>
    </row>
    <row r="111" spans="1:11" x14ac:dyDescent="0.3">
      <c r="A111" s="35">
        <v>2020</v>
      </c>
      <c r="B111">
        <f>'rockfish harvests'!E324+'rockfish harvests'!G324</f>
        <v>6221</v>
      </c>
      <c r="C111">
        <f>'rockfish harvests'!D324</f>
        <v>3314</v>
      </c>
      <c r="D111" s="37">
        <f t="shared" ref="D111:D112" si="19">C111-B111</f>
        <v>-2907</v>
      </c>
      <c r="E111" s="17"/>
      <c r="G111" s="35">
        <v>2020</v>
      </c>
      <c r="H111">
        <f>'rockfish harvests'!E124+'rockfish harvests'!G124</f>
        <v>2722</v>
      </c>
      <c r="I111">
        <f>'rockfish harvests'!D124</f>
        <v>1507</v>
      </c>
      <c r="J111" s="37">
        <f t="shared" ref="J111:J112" si="20">I111-H111</f>
        <v>-1215</v>
      </c>
      <c r="K111" s="17"/>
    </row>
    <row r="112" spans="1:11" x14ac:dyDescent="0.3">
      <c r="A112" s="35">
        <v>2021</v>
      </c>
      <c r="B112">
        <f>'rockfish harvests'!E325+'rockfish harvests'!G325</f>
        <v>13311</v>
      </c>
      <c r="C112">
        <f>'rockfish harvests'!D325</f>
        <v>9732</v>
      </c>
      <c r="D112" s="37">
        <f t="shared" si="19"/>
        <v>-3579</v>
      </c>
      <c r="E112" s="17"/>
      <c r="G112" s="35">
        <v>2021</v>
      </c>
      <c r="H112">
        <f>'rockfish harvests'!E125+'rockfish harvests'!G125</f>
        <v>9846</v>
      </c>
      <c r="I112">
        <f>'rockfish harvests'!D125</f>
        <v>2885</v>
      </c>
      <c r="J112" s="37">
        <f t="shared" si="20"/>
        <v>-6961</v>
      </c>
      <c r="K112" s="17"/>
    </row>
    <row r="113" spans="1:11" x14ac:dyDescent="0.3">
      <c r="A113" s="53"/>
      <c r="D113" s="37"/>
      <c r="G113" s="53"/>
      <c r="J113" s="37"/>
      <c r="K113" s="17"/>
    </row>
    <row r="114" spans="1:11" x14ac:dyDescent="0.3">
      <c r="B114" t="s">
        <v>39</v>
      </c>
      <c r="H114" s="34" t="s">
        <v>49</v>
      </c>
    </row>
    <row r="115" spans="1:11" x14ac:dyDescent="0.3">
      <c r="A115" s="35">
        <v>1996</v>
      </c>
      <c r="B115" s="36">
        <v>13178</v>
      </c>
      <c r="G115" s="35">
        <v>1996</v>
      </c>
      <c r="H115" s="11">
        <v>22470</v>
      </c>
    </row>
    <row r="116" spans="1:11" x14ac:dyDescent="0.3">
      <c r="A116" s="35">
        <v>1997</v>
      </c>
      <c r="B116" s="36">
        <v>14873</v>
      </c>
      <c r="G116" s="35">
        <v>1997</v>
      </c>
      <c r="H116" s="11">
        <v>21203</v>
      </c>
    </row>
    <row r="117" spans="1:11" x14ac:dyDescent="0.3">
      <c r="A117" s="35">
        <v>1998</v>
      </c>
      <c r="B117" s="36">
        <v>12291</v>
      </c>
      <c r="C117">
        <f>'rockfish harvests'!D327</f>
        <v>6261</v>
      </c>
      <c r="D117" s="37">
        <f>C117-B117</f>
        <v>-6030</v>
      </c>
      <c r="G117" s="35">
        <v>1998</v>
      </c>
      <c r="H117" s="11">
        <v>21573</v>
      </c>
      <c r="I117">
        <f>'rockfish harvests'!D127</f>
        <v>5169</v>
      </c>
      <c r="J117" s="37">
        <f>I117-H117</f>
        <v>-16404</v>
      </c>
      <c r="K117" s="17"/>
    </row>
    <row r="118" spans="1:11" x14ac:dyDescent="0.3">
      <c r="A118" s="35">
        <v>1999</v>
      </c>
      <c r="B118" s="36">
        <v>21884</v>
      </c>
      <c r="C118">
        <f>'rockfish harvests'!D328</f>
        <v>7370</v>
      </c>
      <c r="D118" s="37">
        <f t="shared" ref="D118:D138" si="21">C118-B118</f>
        <v>-14514</v>
      </c>
      <c r="G118" s="35">
        <v>1999</v>
      </c>
      <c r="H118" s="11">
        <v>24798</v>
      </c>
      <c r="I118">
        <f>'rockfish harvests'!D128</f>
        <v>9276</v>
      </c>
      <c r="J118" s="37">
        <f t="shared" ref="J118:J138" si="22">I118-H118</f>
        <v>-15522</v>
      </c>
    </row>
    <row r="119" spans="1:11" x14ac:dyDescent="0.3">
      <c r="A119" s="35">
        <v>2000</v>
      </c>
      <c r="B119" s="36">
        <v>21692</v>
      </c>
      <c r="C119">
        <f>'rockfish harvests'!D329</f>
        <v>11989</v>
      </c>
      <c r="D119" s="37">
        <f t="shared" si="21"/>
        <v>-9703</v>
      </c>
      <c r="G119" s="35">
        <v>2000</v>
      </c>
      <c r="H119" s="11">
        <v>33008</v>
      </c>
      <c r="I119">
        <f>'rockfish harvests'!D129</f>
        <v>13107</v>
      </c>
      <c r="J119" s="37">
        <f t="shared" si="22"/>
        <v>-19901</v>
      </c>
      <c r="K119" s="17"/>
    </row>
    <row r="120" spans="1:11" x14ac:dyDescent="0.3">
      <c r="A120" s="35">
        <v>2001</v>
      </c>
      <c r="B120" s="36">
        <v>14897</v>
      </c>
      <c r="C120">
        <f>'rockfish harvests'!D330</f>
        <v>9348</v>
      </c>
      <c r="D120" s="37">
        <f t="shared" si="21"/>
        <v>-5549</v>
      </c>
      <c r="G120" s="35">
        <v>2001</v>
      </c>
      <c r="H120" s="11">
        <v>24676</v>
      </c>
      <c r="I120">
        <f>'rockfish harvests'!D130</f>
        <v>20907</v>
      </c>
      <c r="J120" s="37">
        <f t="shared" si="22"/>
        <v>-3769</v>
      </c>
      <c r="K120" s="17"/>
    </row>
    <row r="121" spans="1:11" x14ac:dyDescent="0.3">
      <c r="A121" s="35">
        <v>2002</v>
      </c>
      <c r="B121" s="36">
        <v>14455</v>
      </c>
      <c r="C121">
        <f>'rockfish harvests'!D331</f>
        <v>8033</v>
      </c>
      <c r="D121" s="37">
        <f t="shared" si="21"/>
        <v>-6422</v>
      </c>
      <c r="G121" s="35">
        <v>2002</v>
      </c>
      <c r="H121" s="11">
        <v>26143</v>
      </c>
      <c r="I121">
        <f>'rockfish harvests'!D131</f>
        <v>17318</v>
      </c>
      <c r="J121" s="37">
        <f t="shared" si="22"/>
        <v>-8825</v>
      </c>
      <c r="K121" s="17"/>
    </row>
    <row r="122" spans="1:11" x14ac:dyDescent="0.3">
      <c r="A122" s="35">
        <v>2003</v>
      </c>
      <c r="B122" s="36">
        <v>13343</v>
      </c>
      <c r="C122">
        <f>'rockfish harvests'!D332</f>
        <v>11263</v>
      </c>
      <c r="D122" s="37">
        <f t="shared" si="21"/>
        <v>-2080</v>
      </c>
      <c r="G122" s="35">
        <v>2003</v>
      </c>
      <c r="H122" s="11">
        <v>23471</v>
      </c>
      <c r="I122">
        <f>'rockfish harvests'!D132</f>
        <v>17020</v>
      </c>
      <c r="J122" s="37">
        <f t="shared" si="22"/>
        <v>-6451</v>
      </c>
      <c r="K122" s="17"/>
    </row>
    <row r="123" spans="1:11" x14ac:dyDescent="0.3">
      <c r="A123" s="35">
        <v>2004</v>
      </c>
      <c r="B123" s="36">
        <v>26217</v>
      </c>
      <c r="C123">
        <f>'rockfish harvests'!D333</f>
        <v>13195</v>
      </c>
      <c r="D123" s="37">
        <f t="shared" si="21"/>
        <v>-13022</v>
      </c>
      <c r="G123" s="35">
        <v>2004</v>
      </c>
      <c r="H123" s="11">
        <v>34153</v>
      </c>
      <c r="I123">
        <f>'rockfish harvests'!D133</f>
        <v>19434</v>
      </c>
      <c r="J123" s="37">
        <f t="shared" si="22"/>
        <v>-14719</v>
      </c>
      <c r="K123" s="17"/>
    </row>
    <row r="124" spans="1:11" x14ac:dyDescent="0.3">
      <c r="A124" s="35">
        <v>2005</v>
      </c>
      <c r="B124" s="36">
        <v>21699</v>
      </c>
      <c r="C124">
        <f>'rockfish harvests'!D334</f>
        <v>15329</v>
      </c>
      <c r="D124" s="37">
        <f t="shared" si="21"/>
        <v>-6370</v>
      </c>
      <c r="G124" s="35">
        <v>2005</v>
      </c>
      <c r="H124" s="11">
        <v>28779</v>
      </c>
      <c r="I124">
        <f>'rockfish harvests'!D134</f>
        <v>22792</v>
      </c>
      <c r="J124" s="37">
        <f t="shared" si="22"/>
        <v>-5987</v>
      </c>
      <c r="K124" s="17"/>
    </row>
    <row r="125" spans="1:11" x14ac:dyDescent="0.3">
      <c r="A125" s="35">
        <v>2006</v>
      </c>
      <c r="B125" s="36">
        <v>25718</v>
      </c>
      <c r="C125">
        <f>'rockfish harvests'!D335</f>
        <v>17714</v>
      </c>
      <c r="D125" s="37">
        <f t="shared" si="21"/>
        <v>-8004</v>
      </c>
      <c r="G125" s="35">
        <v>2006</v>
      </c>
      <c r="H125" s="11">
        <v>26948</v>
      </c>
      <c r="I125">
        <f>'rockfish harvests'!D135</f>
        <v>19998</v>
      </c>
      <c r="J125" s="37">
        <f t="shared" si="22"/>
        <v>-6950</v>
      </c>
      <c r="K125" s="17"/>
    </row>
    <row r="126" spans="1:11" x14ac:dyDescent="0.3">
      <c r="A126" s="35">
        <v>2007</v>
      </c>
      <c r="B126" s="36">
        <v>25693</v>
      </c>
      <c r="C126">
        <f>'rockfish harvests'!D336</f>
        <v>20368</v>
      </c>
      <c r="D126" s="37">
        <f t="shared" si="21"/>
        <v>-5325</v>
      </c>
      <c r="G126" s="35">
        <v>2007</v>
      </c>
      <c r="H126" s="11">
        <v>32843</v>
      </c>
      <c r="I126">
        <f>'rockfish harvests'!D136</f>
        <v>23861</v>
      </c>
      <c r="J126" s="37">
        <f t="shared" si="22"/>
        <v>-8982</v>
      </c>
      <c r="K126" s="17"/>
    </row>
    <row r="127" spans="1:11" x14ac:dyDescent="0.3">
      <c r="A127" s="35">
        <v>2008</v>
      </c>
      <c r="B127" s="36">
        <v>28365</v>
      </c>
      <c r="C127">
        <f>'rockfish harvests'!D337</f>
        <v>18756</v>
      </c>
      <c r="D127" s="37">
        <f t="shared" si="21"/>
        <v>-9609</v>
      </c>
      <c r="G127" s="35">
        <v>2008</v>
      </c>
      <c r="H127" s="11">
        <v>45924</v>
      </c>
      <c r="I127">
        <f>'rockfish harvests'!D137</f>
        <v>25596</v>
      </c>
      <c r="J127" s="37">
        <f t="shared" si="22"/>
        <v>-20328</v>
      </c>
      <c r="K127" s="17"/>
    </row>
    <row r="128" spans="1:11" x14ac:dyDescent="0.3">
      <c r="A128" s="35">
        <v>2009</v>
      </c>
      <c r="B128" s="36">
        <v>26828</v>
      </c>
      <c r="C128">
        <f>'rockfish harvests'!D338</f>
        <v>14837</v>
      </c>
      <c r="D128" s="37">
        <f t="shared" si="21"/>
        <v>-11991</v>
      </c>
      <c r="G128" s="35">
        <v>2009</v>
      </c>
      <c r="H128" s="11">
        <v>47940</v>
      </c>
      <c r="I128">
        <f>'rockfish harvests'!D138</f>
        <v>21909</v>
      </c>
      <c r="J128" s="37">
        <f t="shared" si="22"/>
        <v>-26031</v>
      </c>
      <c r="K128" s="17"/>
    </row>
    <row r="129" spans="1:11" x14ac:dyDescent="0.3">
      <c r="A129" s="35">
        <v>2010</v>
      </c>
      <c r="B129" s="36">
        <v>22982</v>
      </c>
      <c r="C129">
        <f>'rockfish harvests'!D339</f>
        <v>20015</v>
      </c>
      <c r="D129" s="37">
        <f t="shared" si="21"/>
        <v>-2967</v>
      </c>
      <c r="G129" s="35">
        <v>2010</v>
      </c>
      <c r="H129" s="11">
        <v>50044</v>
      </c>
      <c r="I129">
        <f>'rockfish harvests'!D139</f>
        <v>27027</v>
      </c>
      <c r="J129" s="37">
        <f t="shared" si="22"/>
        <v>-23017</v>
      </c>
      <c r="K129" s="17"/>
    </row>
    <row r="130" spans="1:11" x14ac:dyDescent="0.3">
      <c r="A130" s="35">
        <v>2011</v>
      </c>
      <c r="B130">
        <f>'rockfish harvests'!E340+'rockfish harvests'!G340</f>
        <v>24780</v>
      </c>
      <c r="C130">
        <f>'rockfish harvests'!D340</f>
        <v>17328</v>
      </c>
      <c r="D130" s="37">
        <f t="shared" si="21"/>
        <v>-7452</v>
      </c>
      <c r="G130" s="35">
        <v>2011</v>
      </c>
      <c r="H130">
        <f>'rockfish harvests'!E140+'rockfish harvests'!G140</f>
        <v>46046</v>
      </c>
      <c r="I130">
        <f>'rockfish harvests'!D140</f>
        <v>30322</v>
      </c>
      <c r="J130" s="37">
        <f t="shared" si="22"/>
        <v>-15724</v>
      </c>
      <c r="K130" s="17"/>
    </row>
    <row r="131" spans="1:11" x14ac:dyDescent="0.3">
      <c r="A131" s="35">
        <v>2012</v>
      </c>
      <c r="B131">
        <f>'rockfish harvests'!E341+'rockfish harvests'!G341</f>
        <v>26385</v>
      </c>
      <c r="C131">
        <f>'rockfish harvests'!D341</f>
        <v>20908</v>
      </c>
      <c r="D131" s="37">
        <f t="shared" si="21"/>
        <v>-5477</v>
      </c>
      <c r="G131" s="35">
        <v>2012</v>
      </c>
      <c r="H131">
        <f>'rockfish harvests'!E141+'rockfish harvests'!G141</f>
        <v>37367</v>
      </c>
      <c r="I131">
        <f>'rockfish harvests'!D141</f>
        <v>27771</v>
      </c>
      <c r="J131" s="37">
        <f t="shared" si="22"/>
        <v>-9596</v>
      </c>
      <c r="K131" s="17"/>
    </row>
    <row r="132" spans="1:11" x14ac:dyDescent="0.3">
      <c r="A132" s="35">
        <v>2013</v>
      </c>
      <c r="B132">
        <f>'rockfish harvests'!E342+'rockfish harvests'!G342</f>
        <v>38158</v>
      </c>
      <c r="C132">
        <f>'rockfish harvests'!D342</f>
        <v>24779</v>
      </c>
      <c r="D132" s="37">
        <f t="shared" si="21"/>
        <v>-13379</v>
      </c>
      <c r="G132" s="35">
        <v>2013</v>
      </c>
      <c r="H132">
        <f>'rockfish harvests'!E142+'rockfish harvests'!G142</f>
        <v>45626</v>
      </c>
      <c r="I132">
        <f>'rockfish harvests'!D142</f>
        <v>30558</v>
      </c>
      <c r="J132" s="37">
        <f t="shared" si="22"/>
        <v>-15068</v>
      </c>
      <c r="K132" s="17"/>
    </row>
    <row r="133" spans="1:11" x14ac:dyDescent="0.3">
      <c r="A133" s="35">
        <v>2014</v>
      </c>
      <c r="B133">
        <f>'rockfish harvests'!E343+'rockfish harvests'!G343</f>
        <v>50413</v>
      </c>
      <c r="C133">
        <f>'rockfish harvests'!D343</f>
        <v>25686</v>
      </c>
      <c r="D133" s="37">
        <f t="shared" si="21"/>
        <v>-24727</v>
      </c>
      <c r="G133" s="35">
        <v>2014</v>
      </c>
      <c r="H133">
        <f>'rockfish harvests'!E143+'rockfish harvests'!G143</f>
        <v>52128</v>
      </c>
      <c r="I133">
        <f>'rockfish harvests'!D143</f>
        <v>37025</v>
      </c>
      <c r="J133" s="37">
        <f t="shared" si="22"/>
        <v>-15103</v>
      </c>
      <c r="K133" s="17"/>
    </row>
    <row r="134" spans="1:11" x14ac:dyDescent="0.3">
      <c r="A134" s="35">
        <v>2015</v>
      </c>
      <c r="B134">
        <f>'rockfish harvests'!E344+'rockfish harvests'!G344</f>
        <v>51671</v>
      </c>
      <c r="C134">
        <f>'rockfish harvests'!D344</f>
        <v>29160</v>
      </c>
      <c r="D134" s="37">
        <f t="shared" si="21"/>
        <v>-22511</v>
      </c>
      <c r="G134" s="35">
        <v>2015</v>
      </c>
      <c r="H134">
        <f>'rockfish harvests'!E144+'rockfish harvests'!G144</f>
        <v>57975</v>
      </c>
      <c r="I134">
        <f>'rockfish harvests'!D144</f>
        <v>45883</v>
      </c>
      <c r="J134" s="37">
        <f t="shared" si="22"/>
        <v>-12092</v>
      </c>
      <c r="K134" s="17"/>
    </row>
    <row r="135" spans="1:11" x14ac:dyDescent="0.3">
      <c r="A135" s="35">
        <v>2016</v>
      </c>
      <c r="B135">
        <f>'rockfish harvests'!E345+'rockfish harvests'!G345</f>
        <v>47392</v>
      </c>
      <c r="C135">
        <f>'rockfish harvests'!D345</f>
        <v>32540</v>
      </c>
      <c r="D135" s="37">
        <f t="shared" si="21"/>
        <v>-14852</v>
      </c>
      <c r="G135" s="35">
        <v>2016</v>
      </c>
      <c r="H135">
        <f>'rockfish harvests'!E145+'rockfish harvests'!G145</f>
        <v>74951</v>
      </c>
      <c r="I135">
        <f>'rockfish harvests'!D145</f>
        <v>56991</v>
      </c>
      <c r="J135" s="37">
        <f t="shared" si="22"/>
        <v>-17960</v>
      </c>
      <c r="K135" s="17"/>
    </row>
    <row r="136" spans="1:11" x14ac:dyDescent="0.3">
      <c r="A136" s="35">
        <v>2017</v>
      </c>
      <c r="B136">
        <f>'rockfish harvests'!E346+'rockfish harvests'!G346</f>
        <v>36726</v>
      </c>
      <c r="C136">
        <f>'rockfish harvests'!D346</f>
        <v>30249</v>
      </c>
      <c r="D136" s="37">
        <f t="shared" si="21"/>
        <v>-6477</v>
      </c>
      <c r="G136" s="35">
        <v>2017</v>
      </c>
      <c r="H136">
        <f>'rockfish harvests'!E146+'rockfish harvests'!G146</f>
        <v>55258</v>
      </c>
      <c r="I136">
        <f>'rockfish harvests'!D146</f>
        <v>38626</v>
      </c>
      <c r="J136" s="37">
        <f t="shared" si="22"/>
        <v>-16632</v>
      </c>
      <c r="K136" s="17"/>
    </row>
    <row r="137" spans="1:11" x14ac:dyDescent="0.3">
      <c r="A137" s="35">
        <v>2018</v>
      </c>
      <c r="B137">
        <f>'rockfish harvests'!E347+'rockfish harvests'!G347</f>
        <v>47450</v>
      </c>
      <c r="C137">
        <f>'rockfish harvests'!D347</f>
        <v>42049</v>
      </c>
      <c r="D137" s="37">
        <f t="shared" si="21"/>
        <v>-5401</v>
      </c>
      <c r="G137" s="35">
        <v>2018</v>
      </c>
      <c r="H137">
        <f>'rockfish harvests'!E147+'rockfish harvests'!G147</f>
        <v>61830</v>
      </c>
      <c r="I137">
        <f>'rockfish harvests'!D147</f>
        <v>50115</v>
      </c>
      <c r="J137" s="37">
        <f t="shared" si="22"/>
        <v>-11715</v>
      </c>
      <c r="K137" s="17"/>
    </row>
    <row r="138" spans="1:11" x14ac:dyDescent="0.3">
      <c r="A138" s="35">
        <v>2019</v>
      </c>
      <c r="B138">
        <f>'rockfish harvests'!E348+'rockfish harvests'!G348</f>
        <v>47461</v>
      </c>
      <c r="C138">
        <f>'rockfish harvests'!D348</f>
        <v>35867</v>
      </c>
      <c r="D138" s="37">
        <f t="shared" si="21"/>
        <v>-11594</v>
      </c>
      <c r="G138" s="35">
        <v>2019</v>
      </c>
      <c r="H138">
        <f>'rockfish harvests'!E148+'rockfish harvests'!G148</f>
        <v>79838</v>
      </c>
      <c r="I138">
        <f>'rockfish harvests'!D148</f>
        <v>64565</v>
      </c>
      <c r="J138" s="37">
        <f t="shared" si="22"/>
        <v>-15273</v>
      </c>
      <c r="K138" s="17"/>
    </row>
    <row r="139" spans="1:11" x14ac:dyDescent="0.3">
      <c r="A139" s="35">
        <v>2020</v>
      </c>
      <c r="B139">
        <f>'rockfish harvests'!E349+'rockfish harvests'!G349</f>
        <v>20736</v>
      </c>
      <c r="C139">
        <f>'rockfish harvests'!D349</f>
        <v>11107</v>
      </c>
      <c r="D139" s="37">
        <f t="shared" ref="D139:D140" si="23">C139-B139</f>
        <v>-9629</v>
      </c>
      <c r="E139" s="17">
        <f t="shared" ref="E139" si="24">D139/B139</f>
        <v>-0.46436149691358025</v>
      </c>
      <c r="G139" s="35">
        <v>2020</v>
      </c>
      <c r="H139">
        <f>'rockfish harvests'!E149+'rockfish harvests'!G149</f>
        <v>51010</v>
      </c>
      <c r="I139">
        <f>'rockfish harvests'!D149</f>
        <v>43363</v>
      </c>
      <c r="J139" s="37">
        <f t="shared" ref="J139:J140" si="25">I139-H139</f>
        <v>-7647</v>
      </c>
      <c r="K139" s="17"/>
    </row>
    <row r="140" spans="1:11" x14ac:dyDescent="0.3">
      <c r="A140" s="35">
        <v>2021</v>
      </c>
      <c r="B140">
        <f>'rockfish harvests'!E350+'rockfish harvests'!G350</f>
        <v>37582</v>
      </c>
      <c r="C140">
        <f>'rockfish harvests'!D350</f>
        <v>28388</v>
      </c>
      <c r="D140" s="37">
        <f t="shared" si="23"/>
        <v>-9194</v>
      </c>
      <c r="G140" s="35">
        <v>2021</v>
      </c>
      <c r="H140">
        <f>'rockfish harvests'!E150+'rockfish harvests'!G150</f>
        <v>77353</v>
      </c>
      <c r="I140">
        <f>'rockfish harvests'!D150</f>
        <v>83097</v>
      </c>
      <c r="J140" s="37">
        <f t="shared" si="25"/>
        <v>5744</v>
      </c>
      <c r="K140" s="17">
        <f t="shared" ref="K140" si="26">J140/H140</f>
        <v>7.4256977751347722E-2</v>
      </c>
    </row>
    <row r="141" spans="1:11" x14ac:dyDescent="0.3">
      <c r="A141" s="53"/>
      <c r="D141" s="37"/>
      <c r="G141" s="53"/>
      <c r="J141" s="37"/>
      <c r="K141" s="17"/>
    </row>
    <row r="142" spans="1:11" x14ac:dyDescent="0.3">
      <c r="B142" t="s">
        <v>40</v>
      </c>
      <c r="H142" s="34" t="s">
        <v>91</v>
      </c>
    </row>
    <row r="143" spans="1:11" x14ac:dyDescent="0.3">
      <c r="A143" s="35">
        <v>1996</v>
      </c>
      <c r="B143" s="36">
        <v>4156</v>
      </c>
      <c r="G143" s="35">
        <v>1996</v>
      </c>
      <c r="H143" s="11">
        <v>5156</v>
      </c>
    </row>
    <row r="144" spans="1:11" x14ac:dyDescent="0.3">
      <c r="A144" s="35">
        <v>1997</v>
      </c>
      <c r="B144" s="36">
        <v>5338</v>
      </c>
      <c r="G144" s="35">
        <v>1997</v>
      </c>
      <c r="H144" s="11">
        <v>4056</v>
      </c>
    </row>
    <row r="145" spans="1:11" x14ac:dyDescent="0.3">
      <c r="A145" s="35">
        <v>1998</v>
      </c>
      <c r="B145" s="36">
        <v>6240</v>
      </c>
      <c r="C145">
        <f>'rockfish harvests'!D352</f>
        <v>3185</v>
      </c>
      <c r="D145" s="37">
        <f>C145-B145</f>
        <v>-3055</v>
      </c>
      <c r="G145" s="35">
        <v>1998</v>
      </c>
      <c r="H145" s="11">
        <v>2555</v>
      </c>
      <c r="I145">
        <f>'rockfish harvests'!D152</f>
        <v>1488</v>
      </c>
      <c r="J145" s="37">
        <f>I145-H145</f>
        <v>-1067</v>
      </c>
      <c r="K145" s="17"/>
    </row>
    <row r="146" spans="1:11" x14ac:dyDescent="0.3">
      <c r="A146" s="35">
        <v>1999</v>
      </c>
      <c r="B146" s="36">
        <v>14675</v>
      </c>
      <c r="C146">
        <f>'rockfish harvests'!D353</f>
        <v>4616</v>
      </c>
      <c r="D146" s="37">
        <f t="shared" ref="D146:D166" si="27">C146-B146</f>
        <v>-10059</v>
      </c>
      <c r="G146" s="35">
        <v>1999</v>
      </c>
      <c r="H146" s="11">
        <v>3381</v>
      </c>
      <c r="I146">
        <f>'rockfish harvests'!D153</f>
        <v>1866</v>
      </c>
      <c r="J146" s="37">
        <f t="shared" ref="J146:J166" si="28">I146-H146</f>
        <v>-1515</v>
      </c>
    </row>
    <row r="147" spans="1:11" x14ac:dyDescent="0.3">
      <c r="A147" s="35">
        <v>2000</v>
      </c>
      <c r="B147" s="36">
        <v>10205</v>
      </c>
      <c r="C147">
        <f>'rockfish harvests'!D354</f>
        <v>6910</v>
      </c>
      <c r="D147" s="37">
        <f t="shared" si="27"/>
        <v>-3295</v>
      </c>
      <c r="G147" s="35">
        <v>2000</v>
      </c>
      <c r="H147" s="11">
        <v>4890</v>
      </c>
      <c r="I147">
        <f>'rockfish harvests'!D154</f>
        <v>2115</v>
      </c>
      <c r="J147" s="37">
        <f t="shared" si="28"/>
        <v>-2775</v>
      </c>
      <c r="K147" s="17"/>
    </row>
    <row r="148" spans="1:11" x14ac:dyDescent="0.3">
      <c r="A148" s="35">
        <v>2001</v>
      </c>
      <c r="B148" s="36">
        <v>12352</v>
      </c>
      <c r="C148">
        <f>'rockfish harvests'!D355</f>
        <v>5756</v>
      </c>
      <c r="D148" s="37">
        <f t="shared" si="27"/>
        <v>-6596</v>
      </c>
      <c r="G148" s="35">
        <v>2001</v>
      </c>
      <c r="H148" s="11">
        <v>3993</v>
      </c>
      <c r="I148">
        <f>'rockfish harvests'!D155</f>
        <v>2081</v>
      </c>
      <c r="J148" s="37">
        <f t="shared" si="28"/>
        <v>-1912</v>
      </c>
      <c r="K148" s="17"/>
    </row>
    <row r="149" spans="1:11" x14ac:dyDescent="0.3">
      <c r="A149" s="35">
        <v>2002</v>
      </c>
      <c r="B149" s="36">
        <v>8913</v>
      </c>
      <c r="C149">
        <f>'rockfish harvests'!D356</f>
        <v>7617</v>
      </c>
      <c r="D149" s="37">
        <f t="shared" si="27"/>
        <v>-1296</v>
      </c>
      <c r="G149" s="35">
        <v>2002</v>
      </c>
      <c r="H149" s="11">
        <v>5412</v>
      </c>
      <c r="I149">
        <f>'rockfish harvests'!D156</f>
        <v>2262</v>
      </c>
      <c r="J149" s="37">
        <f t="shared" si="28"/>
        <v>-3150</v>
      </c>
      <c r="K149" s="17"/>
    </row>
    <row r="150" spans="1:11" x14ac:dyDescent="0.3">
      <c r="A150" s="35">
        <v>2003</v>
      </c>
      <c r="B150" s="36">
        <v>10463</v>
      </c>
      <c r="C150">
        <f>'rockfish harvests'!D357</f>
        <v>6896</v>
      </c>
      <c r="D150" s="37">
        <f t="shared" si="27"/>
        <v>-3567</v>
      </c>
      <c r="G150" s="35">
        <v>2003</v>
      </c>
      <c r="H150" s="11">
        <v>3297</v>
      </c>
      <c r="I150">
        <f>'rockfish harvests'!D157</f>
        <v>2743</v>
      </c>
      <c r="J150" s="37">
        <f t="shared" si="28"/>
        <v>-554</v>
      </c>
      <c r="K150" s="17"/>
    </row>
    <row r="151" spans="1:11" x14ac:dyDescent="0.3">
      <c r="A151" s="35">
        <v>2004</v>
      </c>
      <c r="B151" s="36">
        <v>17798</v>
      </c>
      <c r="C151">
        <f>'rockfish harvests'!D358</f>
        <v>10061</v>
      </c>
      <c r="D151" s="37">
        <f t="shared" si="27"/>
        <v>-7737</v>
      </c>
      <c r="G151" s="35">
        <v>2004</v>
      </c>
      <c r="H151" s="11">
        <v>4691</v>
      </c>
      <c r="I151">
        <f>'rockfish harvests'!D158</f>
        <v>3291</v>
      </c>
      <c r="J151" s="37">
        <f t="shared" si="28"/>
        <v>-1400</v>
      </c>
      <c r="K151" s="17"/>
    </row>
    <row r="152" spans="1:11" x14ac:dyDescent="0.3">
      <c r="A152" s="35">
        <v>2005</v>
      </c>
      <c r="B152" s="36">
        <v>16951</v>
      </c>
      <c r="C152">
        <f>'rockfish harvests'!D359</f>
        <v>12666</v>
      </c>
      <c r="D152" s="37">
        <f t="shared" si="27"/>
        <v>-4285</v>
      </c>
      <c r="G152" s="35">
        <v>2005</v>
      </c>
      <c r="H152" s="11">
        <v>10903</v>
      </c>
      <c r="I152">
        <f>'rockfish harvests'!D159</f>
        <v>4641</v>
      </c>
      <c r="J152" s="37">
        <f t="shared" si="28"/>
        <v>-6262</v>
      </c>
      <c r="K152" s="17"/>
    </row>
    <row r="153" spans="1:11" x14ac:dyDescent="0.3">
      <c r="A153" s="35">
        <v>2006</v>
      </c>
      <c r="B153" s="36">
        <v>13249</v>
      </c>
      <c r="C153">
        <f>'rockfish harvests'!D360</f>
        <v>12007</v>
      </c>
      <c r="D153" s="37">
        <f t="shared" si="27"/>
        <v>-1242</v>
      </c>
      <c r="G153" s="35">
        <v>2006</v>
      </c>
      <c r="H153" s="11">
        <v>6407</v>
      </c>
      <c r="I153">
        <f>'rockfish harvests'!D160</f>
        <v>3693</v>
      </c>
      <c r="J153" s="37">
        <f t="shared" si="28"/>
        <v>-2714</v>
      </c>
      <c r="K153" s="17"/>
    </row>
    <row r="154" spans="1:11" x14ac:dyDescent="0.3">
      <c r="A154" s="35">
        <v>2007</v>
      </c>
      <c r="B154" s="36">
        <v>17345</v>
      </c>
      <c r="C154">
        <f>'rockfish harvests'!D361</f>
        <v>12018</v>
      </c>
      <c r="D154" s="37">
        <f t="shared" si="27"/>
        <v>-5327</v>
      </c>
      <c r="G154" s="35">
        <v>2007</v>
      </c>
      <c r="H154" s="11">
        <v>8693</v>
      </c>
      <c r="I154">
        <f>'rockfish harvests'!D161</f>
        <v>5080</v>
      </c>
      <c r="J154" s="37">
        <f t="shared" si="28"/>
        <v>-3613</v>
      </c>
      <c r="K154" s="17"/>
    </row>
    <row r="155" spans="1:11" x14ac:dyDescent="0.3">
      <c r="A155" s="35">
        <v>2008</v>
      </c>
      <c r="B155" s="36">
        <v>20318</v>
      </c>
      <c r="C155">
        <f>'rockfish harvests'!D362</f>
        <v>17754</v>
      </c>
      <c r="D155" s="37">
        <f t="shared" si="27"/>
        <v>-2564</v>
      </c>
      <c r="G155" s="35">
        <v>2008</v>
      </c>
      <c r="H155" s="11">
        <v>10398</v>
      </c>
      <c r="I155">
        <f>'rockfish harvests'!D162</f>
        <v>6260</v>
      </c>
      <c r="J155" s="37">
        <f t="shared" si="28"/>
        <v>-4138</v>
      </c>
      <c r="K155" s="17"/>
    </row>
    <row r="156" spans="1:11" x14ac:dyDescent="0.3">
      <c r="A156" s="35">
        <v>2009</v>
      </c>
      <c r="B156" s="36">
        <v>15378</v>
      </c>
      <c r="C156">
        <f>'rockfish harvests'!D363</f>
        <v>9645</v>
      </c>
      <c r="D156" s="37">
        <f t="shared" si="27"/>
        <v>-5733</v>
      </c>
      <c r="G156" s="35">
        <v>2009</v>
      </c>
      <c r="H156" s="11">
        <v>11536</v>
      </c>
      <c r="I156">
        <f>'rockfish harvests'!D163</f>
        <v>6369</v>
      </c>
      <c r="J156" s="37">
        <f t="shared" si="28"/>
        <v>-5167</v>
      </c>
      <c r="K156" s="17"/>
    </row>
    <row r="157" spans="1:11" x14ac:dyDescent="0.3">
      <c r="A157" s="35">
        <v>2010</v>
      </c>
      <c r="B157" s="36">
        <v>16998</v>
      </c>
      <c r="C157">
        <f>'rockfish harvests'!D364</f>
        <v>12415</v>
      </c>
      <c r="D157" s="37">
        <f t="shared" si="27"/>
        <v>-4583</v>
      </c>
      <c r="G157" s="35">
        <v>2010</v>
      </c>
      <c r="H157" s="11">
        <v>13050</v>
      </c>
      <c r="I157">
        <f>'rockfish harvests'!D164</f>
        <v>8141</v>
      </c>
      <c r="J157" s="37">
        <f t="shared" si="28"/>
        <v>-4909</v>
      </c>
      <c r="K157" s="17"/>
    </row>
    <row r="158" spans="1:11" x14ac:dyDescent="0.3">
      <c r="A158" s="35">
        <v>2011</v>
      </c>
      <c r="B158">
        <f>'rockfish harvests'!E365+'rockfish harvests'!G365</f>
        <v>15576</v>
      </c>
      <c r="C158">
        <f>'rockfish harvests'!D365</f>
        <v>11926</v>
      </c>
      <c r="D158" s="37">
        <f t="shared" si="27"/>
        <v>-3650</v>
      </c>
      <c r="G158" s="35">
        <v>2011</v>
      </c>
      <c r="H158">
        <f>'rockfish harvests'!E165+'rockfish harvests'!G165</f>
        <v>10441</v>
      </c>
      <c r="I158">
        <f>'rockfish harvests'!D165</f>
        <v>6904</v>
      </c>
      <c r="J158" s="37">
        <f t="shared" si="28"/>
        <v>-3537</v>
      </c>
      <c r="K158" s="17"/>
    </row>
    <row r="159" spans="1:11" x14ac:dyDescent="0.3">
      <c r="A159" s="35">
        <v>2012</v>
      </c>
      <c r="B159">
        <f>'rockfish harvests'!E366+'rockfish harvests'!G366</f>
        <v>15847</v>
      </c>
      <c r="C159">
        <f>'rockfish harvests'!D366</f>
        <v>14290</v>
      </c>
      <c r="D159" s="37">
        <f t="shared" si="27"/>
        <v>-1557</v>
      </c>
      <c r="G159" s="35">
        <v>2012</v>
      </c>
      <c r="H159">
        <f>'rockfish harvests'!E166+'rockfish harvests'!G166</f>
        <v>11184</v>
      </c>
      <c r="I159">
        <f>'rockfish harvests'!D166</f>
        <v>6813</v>
      </c>
      <c r="J159" s="37">
        <f t="shared" si="28"/>
        <v>-4371</v>
      </c>
      <c r="K159" s="17"/>
    </row>
    <row r="160" spans="1:11" x14ac:dyDescent="0.3">
      <c r="A160" s="35">
        <v>2013</v>
      </c>
      <c r="B160">
        <f>'rockfish harvests'!E367+'rockfish harvests'!G367</f>
        <v>9700</v>
      </c>
      <c r="C160">
        <f>'rockfish harvests'!D367</f>
        <v>15619</v>
      </c>
      <c r="D160" s="37">
        <f t="shared" si="27"/>
        <v>5919</v>
      </c>
      <c r="E160" s="17">
        <f t="shared" ref="E160:E166" si="29">D160/B160</f>
        <v>0.61020618556701034</v>
      </c>
      <c r="G160" s="35">
        <v>2013</v>
      </c>
      <c r="H160">
        <f>'rockfish harvests'!E167+'rockfish harvests'!G167</f>
        <v>9912</v>
      </c>
      <c r="I160">
        <f>'rockfish harvests'!D167</f>
        <v>9965</v>
      </c>
      <c r="J160" s="37">
        <f t="shared" si="28"/>
        <v>53</v>
      </c>
      <c r="K160" s="17">
        <f>J160/H160</f>
        <v>5.3470540758676355E-3</v>
      </c>
    </row>
    <row r="161" spans="1:11" x14ac:dyDescent="0.3">
      <c r="A161" s="35">
        <v>2014</v>
      </c>
      <c r="B161">
        <f>'rockfish harvests'!E368+'rockfish harvests'!G368</f>
        <v>9754</v>
      </c>
      <c r="C161">
        <f>'rockfish harvests'!D368</f>
        <v>18453</v>
      </c>
      <c r="D161" s="37">
        <f t="shared" si="27"/>
        <v>8699</v>
      </c>
      <c r="E161" s="17">
        <f t="shared" si="29"/>
        <v>0.89183924543776916</v>
      </c>
      <c r="G161" s="35">
        <v>2014</v>
      </c>
      <c r="H161">
        <f>'rockfish harvests'!E168+'rockfish harvests'!G168</f>
        <v>20643</v>
      </c>
      <c r="I161">
        <f>'rockfish harvests'!D168</f>
        <v>11896</v>
      </c>
      <c r="J161" s="37">
        <f t="shared" si="28"/>
        <v>-8747</v>
      </c>
      <c r="K161" s="17"/>
    </row>
    <row r="162" spans="1:11" x14ac:dyDescent="0.3">
      <c r="A162" s="35">
        <v>2015</v>
      </c>
      <c r="B162">
        <f>'rockfish harvests'!E369+'rockfish harvests'!G369</f>
        <v>10892</v>
      </c>
      <c r="C162">
        <f>'rockfish harvests'!D369</f>
        <v>17669</v>
      </c>
      <c r="D162" s="37">
        <f t="shared" si="27"/>
        <v>6777</v>
      </c>
      <c r="E162" s="17">
        <f t="shared" si="29"/>
        <v>0.62219977965479256</v>
      </c>
      <c r="G162" s="35">
        <v>2015</v>
      </c>
      <c r="H162">
        <f>'rockfish harvests'!E169+'rockfish harvests'!G169</f>
        <v>16477</v>
      </c>
      <c r="I162">
        <f>'rockfish harvests'!D169</f>
        <v>12377</v>
      </c>
      <c r="J162" s="37">
        <f t="shared" si="28"/>
        <v>-4100</v>
      </c>
      <c r="K162" s="17"/>
    </row>
    <row r="163" spans="1:11" x14ac:dyDescent="0.3">
      <c r="A163" s="35">
        <v>2016</v>
      </c>
      <c r="B163">
        <f>'rockfish harvests'!E370+'rockfish harvests'!G370</f>
        <v>9431</v>
      </c>
      <c r="C163">
        <f>'rockfish harvests'!D370</f>
        <v>17707</v>
      </c>
      <c r="D163" s="37">
        <f t="shared" si="27"/>
        <v>8276</v>
      </c>
      <c r="E163" s="17">
        <f t="shared" si="29"/>
        <v>0.87753154490510021</v>
      </c>
      <c r="G163" s="35">
        <v>2016</v>
      </c>
      <c r="H163">
        <f>'rockfish harvests'!E170+'rockfish harvests'!G170</f>
        <v>14319</v>
      </c>
      <c r="I163">
        <f>'rockfish harvests'!D170</f>
        <v>13580</v>
      </c>
      <c r="J163" s="37">
        <f t="shared" si="28"/>
        <v>-739</v>
      </c>
      <c r="K163" s="17"/>
    </row>
    <row r="164" spans="1:11" x14ac:dyDescent="0.3">
      <c r="A164" s="35">
        <v>2017</v>
      </c>
      <c r="B164">
        <f>'rockfish harvests'!E371+'rockfish harvests'!G371</f>
        <v>11530</v>
      </c>
      <c r="C164">
        <f>'rockfish harvests'!D371</f>
        <v>20760</v>
      </c>
      <c r="D164" s="37">
        <f t="shared" si="27"/>
        <v>9230</v>
      </c>
      <c r="E164" s="17">
        <f t="shared" si="29"/>
        <v>0.80052038161318295</v>
      </c>
      <c r="G164" s="35">
        <v>2017</v>
      </c>
      <c r="H164">
        <f>'rockfish harvests'!E171+'rockfish harvests'!G171</f>
        <v>13465</v>
      </c>
      <c r="I164">
        <f>'rockfish harvests'!D171</f>
        <v>6719</v>
      </c>
      <c r="J164" s="37">
        <f t="shared" si="28"/>
        <v>-6746</v>
      </c>
      <c r="K164" s="17"/>
    </row>
    <row r="165" spans="1:11" x14ac:dyDescent="0.3">
      <c r="A165" s="35">
        <v>2018</v>
      </c>
      <c r="B165">
        <f>'rockfish harvests'!E372+'rockfish harvests'!G372</f>
        <v>11285</v>
      </c>
      <c r="C165">
        <f>'rockfish harvests'!D372</f>
        <v>26949</v>
      </c>
      <c r="D165" s="37">
        <f t="shared" si="27"/>
        <v>15664</v>
      </c>
      <c r="E165" s="17">
        <f t="shared" si="29"/>
        <v>1.3880372175454143</v>
      </c>
      <c r="G165" s="35">
        <v>2018</v>
      </c>
      <c r="H165">
        <f>'rockfish harvests'!E172+'rockfish harvests'!G172</f>
        <v>13134</v>
      </c>
      <c r="I165">
        <f>'rockfish harvests'!D172</f>
        <v>8479</v>
      </c>
      <c r="J165" s="37">
        <f t="shared" si="28"/>
        <v>-4655</v>
      </c>
      <c r="K165" s="17"/>
    </row>
    <row r="166" spans="1:11" x14ac:dyDescent="0.3">
      <c r="A166" s="35">
        <v>2019</v>
      </c>
      <c r="B166">
        <f>'rockfish harvests'!E373+'rockfish harvests'!G373</f>
        <v>9794</v>
      </c>
      <c r="C166">
        <f>'rockfish harvests'!D373</f>
        <v>22912</v>
      </c>
      <c r="D166" s="37">
        <f t="shared" si="27"/>
        <v>13118</v>
      </c>
      <c r="E166" s="17">
        <f t="shared" si="29"/>
        <v>1.3393914641617317</v>
      </c>
      <c r="G166" s="35">
        <v>2019</v>
      </c>
      <c r="H166">
        <f>'rockfish harvests'!E173+'rockfish harvests'!G173</f>
        <v>15282</v>
      </c>
      <c r="I166">
        <f>'rockfish harvests'!D173</f>
        <v>9881</v>
      </c>
      <c r="J166" s="37">
        <f t="shared" si="28"/>
        <v>-5401</v>
      </c>
      <c r="K166" s="17"/>
    </row>
    <row r="167" spans="1:11" x14ac:dyDescent="0.3">
      <c r="A167" s="35">
        <v>2020</v>
      </c>
      <c r="B167">
        <f>'rockfish harvests'!E374+'rockfish harvests'!G374</f>
        <v>9340</v>
      </c>
      <c r="C167">
        <f>'rockfish harvests'!D374</f>
        <v>12619</v>
      </c>
      <c r="D167" s="37">
        <f t="shared" ref="D167:D168" si="30">C167-B167</f>
        <v>3279</v>
      </c>
      <c r="E167" s="17">
        <f t="shared" ref="E167:E168" si="31">D167/B167</f>
        <v>0.35107066381156316</v>
      </c>
      <c r="G167" s="35">
        <v>2020</v>
      </c>
      <c r="H167">
        <f>'rockfish harvests'!E174+'rockfish harvests'!G174</f>
        <v>5962</v>
      </c>
      <c r="I167">
        <f>'rockfish harvests'!D174</f>
        <v>4479</v>
      </c>
      <c r="J167" s="37">
        <f t="shared" ref="J167:J168" si="32">I167-H167</f>
        <v>-1483</v>
      </c>
      <c r="K167" s="17"/>
    </row>
    <row r="168" spans="1:11" x14ac:dyDescent="0.3">
      <c r="A168" s="35">
        <v>2021</v>
      </c>
      <c r="B168">
        <f>'rockfish harvests'!E375+'rockfish harvests'!G375</f>
        <v>14771</v>
      </c>
      <c r="C168">
        <f>'rockfish harvests'!D375</f>
        <v>29399</v>
      </c>
      <c r="D168" s="37">
        <f t="shared" si="30"/>
        <v>14628</v>
      </c>
      <c r="E168" s="17">
        <f t="shared" si="31"/>
        <v>0.99031886805226454</v>
      </c>
      <c r="G168" s="35">
        <v>2021</v>
      </c>
      <c r="H168">
        <f>'rockfish harvests'!E175+'rockfish harvests'!G175</f>
        <v>16258</v>
      </c>
      <c r="I168">
        <f>'rockfish harvests'!D175</f>
        <v>9680</v>
      </c>
      <c r="J168" s="37">
        <f t="shared" si="32"/>
        <v>-6578</v>
      </c>
      <c r="K168" s="17"/>
    </row>
    <row r="169" spans="1:11" x14ac:dyDescent="0.3">
      <c r="A169" s="53"/>
      <c r="D169" s="37"/>
      <c r="E169" s="17"/>
      <c r="G169" s="53"/>
      <c r="J169" s="37"/>
      <c r="K169" s="17"/>
    </row>
    <row r="170" spans="1:11" x14ac:dyDescent="0.3">
      <c r="H170" s="34" t="s">
        <v>51</v>
      </c>
    </row>
    <row r="171" spans="1:11" x14ac:dyDescent="0.3">
      <c r="G171" s="35">
        <v>1996</v>
      </c>
      <c r="H171" s="11">
        <v>12375</v>
      </c>
    </row>
    <row r="172" spans="1:11" x14ac:dyDescent="0.3">
      <c r="G172" s="35">
        <v>1997</v>
      </c>
      <c r="H172" s="11">
        <v>15403</v>
      </c>
    </row>
    <row r="173" spans="1:11" x14ac:dyDescent="0.3">
      <c r="G173" s="35">
        <v>1998</v>
      </c>
      <c r="H173" s="11">
        <v>13432</v>
      </c>
      <c r="I173">
        <f>'rockfish harvests'!D177</f>
        <v>3821</v>
      </c>
      <c r="J173" s="37">
        <f>I173-H173</f>
        <v>-9611</v>
      </c>
      <c r="K173" s="17"/>
    </row>
    <row r="174" spans="1:11" x14ac:dyDescent="0.3">
      <c r="G174" s="35">
        <v>1999</v>
      </c>
      <c r="H174" s="11">
        <v>12954</v>
      </c>
      <c r="I174">
        <f>'rockfish harvests'!D178</f>
        <v>4514</v>
      </c>
      <c r="J174" s="37">
        <f t="shared" ref="J174:J194" si="33">I174-H174</f>
        <v>-8440</v>
      </c>
    </row>
    <row r="175" spans="1:11" x14ac:dyDescent="0.3">
      <c r="G175" s="35">
        <v>2000</v>
      </c>
      <c r="H175" s="11">
        <v>17338</v>
      </c>
      <c r="I175">
        <f>'rockfish harvests'!D179</f>
        <v>6011</v>
      </c>
      <c r="J175" s="37">
        <f t="shared" si="33"/>
        <v>-11327</v>
      </c>
      <c r="K175" s="17"/>
    </row>
    <row r="176" spans="1:11" x14ac:dyDescent="0.3">
      <c r="G176" s="35">
        <v>2001</v>
      </c>
      <c r="H176" s="11">
        <v>16849</v>
      </c>
      <c r="I176">
        <f>'rockfish harvests'!D180</f>
        <v>7036</v>
      </c>
      <c r="J176" s="37">
        <f t="shared" si="33"/>
        <v>-9813</v>
      </c>
      <c r="K176" s="17"/>
    </row>
    <row r="177" spans="7:11" x14ac:dyDescent="0.3">
      <c r="G177" s="35">
        <v>2002</v>
      </c>
      <c r="H177" s="11">
        <v>17171</v>
      </c>
      <c r="I177">
        <f>'rockfish harvests'!D181</f>
        <v>7398</v>
      </c>
      <c r="J177" s="37">
        <f t="shared" si="33"/>
        <v>-9773</v>
      </c>
      <c r="K177" s="17"/>
    </row>
    <row r="178" spans="7:11" x14ac:dyDescent="0.3">
      <c r="G178" s="35">
        <v>2003</v>
      </c>
      <c r="H178" s="11">
        <v>18559</v>
      </c>
      <c r="I178">
        <f>'rockfish harvests'!D182</f>
        <v>11932</v>
      </c>
      <c r="J178" s="37">
        <f t="shared" si="33"/>
        <v>-6627</v>
      </c>
      <c r="K178" s="17"/>
    </row>
    <row r="179" spans="7:11" x14ac:dyDescent="0.3">
      <c r="G179" s="35">
        <v>2004</v>
      </c>
      <c r="H179" s="11">
        <v>28324</v>
      </c>
      <c r="I179">
        <f>'rockfish harvests'!D183</f>
        <v>10310</v>
      </c>
      <c r="J179" s="37">
        <f t="shared" si="33"/>
        <v>-18014</v>
      </c>
      <c r="K179" s="17"/>
    </row>
    <row r="180" spans="7:11" x14ac:dyDescent="0.3">
      <c r="G180" s="35">
        <v>2005</v>
      </c>
      <c r="H180" s="11">
        <v>25829</v>
      </c>
      <c r="I180">
        <f>'rockfish harvests'!D184</f>
        <v>10930</v>
      </c>
      <c r="J180" s="37">
        <f t="shared" si="33"/>
        <v>-14899</v>
      </c>
      <c r="K180" s="17"/>
    </row>
    <row r="181" spans="7:11" x14ac:dyDescent="0.3">
      <c r="G181" s="35">
        <v>2006</v>
      </c>
      <c r="H181" s="11">
        <v>27887</v>
      </c>
      <c r="I181">
        <f>'rockfish harvests'!D185</f>
        <v>7578</v>
      </c>
      <c r="J181" s="37">
        <f t="shared" si="33"/>
        <v>-20309</v>
      </c>
      <c r="K181" s="17"/>
    </row>
    <row r="182" spans="7:11" x14ac:dyDescent="0.3">
      <c r="G182" s="35">
        <v>2007</v>
      </c>
      <c r="H182" s="11">
        <v>32550</v>
      </c>
      <c r="I182">
        <f>'rockfish harvests'!D186</f>
        <v>12404</v>
      </c>
      <c r="J182" s="37">
        <f t="shared" si="33"/>
        <v>-20146</v>
      </c>
      <c r="K182" s="17"/>
    </row>
    <row r="183" spans="7:11" x14ac:dyDescent="0.3">
      <c r="G183" s="35">
        <v>2008</v>
      </c>
      <c r="H183" s="11">
        <v>30573</v>
      </c>
      <c r="I183">
        <f>'rockfish harvests'!D187</f>
        <v>9522</v>
      </c>
      <c r="J183" s="37">
        <f t="shared" si="33"/>
        <v>-21051</v>
      </c>
      <c r="K183" s="17"/>
    </row>
    <row r="184" spans="7:11" x14ac:dyDescent="0.3">
      <c r="G184" s="35">
        <v>2009</v>
      </c>
      <c r="H184" s="11">
        <v>36627</v>
      </c>
      <c r="I184">
        <f>'rockfish harvests'!D188</f>
        <v>8197</v>
      </c>
      <c r="J184" s="37">
        <f t="shared" si="33"/>
        <v>-28430</v>
      </c>
      <c r="K184" s="17"/>
    </row>
    <row r="185" spans="7:11" x14ac:dyDescent="0.3">
      <c r="G185" s="35">
        <v>2010</v>
      </c>
      <c r="H185" s="11">
        <v>32361</v>
      </c>
      <c r="I185">
        <f>'rockfish harvests'!D189</f>
        <v>11909</v>
      </c>
      <c r="J185" s="37">
        <f t="shared" si="33"/>
        <v>-20452</v>
      </c>
      <c r="K185" s="17"/>
    </row>
    <row r="186" spans="7:11" x14ac:dyDescent="0.3">
      <c r="G186" s="35">
        <v>2011</v>
      </c>
      <c r="H186">
        <f>'rockfish harvests'!E190+'rockfish harvests'!G190</f>
        <v>23230</v>
      </c>
      <c r="I186">
        <f>'rockfish harvests'!D190</f>
        <v>11367</v>
      </c>
      <c r="J186" s="37">
        <f t="shared" si="33"/>
        <v>-11863</v>
      </c>
      <c r="K186" s="17"/>
    </row>
    <row r="187" spans="7:11" x14ac:dyDescent="0.3">
      <c r="G187" s="35">
        <v>2012</v>
      </c>
      <c r="H187">
        <f>'rockfish harvests'!E191+'rockfish harvests'!G191</f>
        <v>21766</v>
      </c>
      <c r="I187">
        <f>'rockfish harvests'!D191</f>
        <v>13580</v>
      </c>
      <c r="J187" s="37">
        <f t="shared" si="33"/>
        <v>-8186</v>
      </c>
      <c r="K187" s="17"/>
    </row>
    <row r="188" spans="7:11" x14ac:dyDescent="0.3">
      <c r="G188" s="35">
        <v>2013</v>
      </c>
      <c r="H188">
        <f>'rockfish harvests'!E192+'rockfish harvests'!G192</f>
        <v>25963</v>
      </c>
      <c r="I188">
        <f>'rockfish harvests'!D192</f>
        <v>14209</v>
      </c>
      <c r="J188" s="37">
        <f t="shared" si="33"/>
        <v>-11754</v>
      </c>
      <c r="K188" s="17"/>
    </row>
    <row r="189" spans="7:11" x14ac:dyDescent="0.3">
      <c r="G189" s="35">
        <v>2014</v>
      </c>
      <c r="H189">
        <f>'rockfish harvests'!E193+'rockfish harvests'!G193</f>
        <v>32068</v>
      </c>
      <c r="I189">
        <f>'rockfish harvests'!D193</f>
        <v>14913</v>
      </c>
      <c r="J189" s="37">
        <f t="shared" si="33"/>
        <v>-17155</v>
      </c>
      <c r="K189" s="17"/>
    </row>
    <row r="190" spans="7:11" x14ac:dyDescent="0.3">
      <c r="G190" s="35">
        <v>2015</v>
      </c>
      <c r="H190">
        <f>'rockfish harvests'!E194+'rockfish harvests'!G194</f>
        <v>32359</v>
      </c>
      <c r="I190">
        <f>'rockfish harvests'!D194</f>
        <v>20073</v>
      </c>
      <c r="J190" s="37">
        <f t="shared" si="33"/>
        <v>-12286</v>
      </c>
      <c r="K190" s="17"/>
    </row>
    <row r="191" spans="7:11" x14ac:dyDescent="0.3">
      <c r="G191" s="35">
        <v>2016</v>
      </c>
      <c r="H191">
        <f>'rockfish harvests'!E195+'rockfish harvests'!G195</f>
        <v>33416</v>
      </c>
      <c r="I191">
        <f>'rockfish harvests'!D195</f>
        <v>28893</v>
      </c>
      <c r="J191" s="37">
        <f t="shared" si="33"/>
        <v>-4523</v>
      </c>
      <c r="K191" s="17"/>
    </row>
    <row r="192" spans="7:11" x14ac:dyDescent="0.3">
      <c r="G192" s="35">
        <v>2017</v>
      </c>
      <c r="H192">
        <f>'rockfish harvests'!E196+'rockfish harvests'!G196</f>
        <v>25186</v>
      </c>
      <c r="I192">
        <f>'rockfish harvests'!D196</f>
        <v>16300</v>
      </c>
      <c r="J192" s="37">
        <f t="shared" si="33"/>
        <v>-8886</v>
      </c>
      <c r="K192" s="17"/>
    </row>
    <row r="193" spans="7:11" x14ac:dyDescent="0.3">
      <c r="G193" s="35">
        <v>2018</v>
      </c>
      <c r="H193">
        <f>'rockfish harvests'!E197+'rockfish harvests'!G197</f>
        <v>26990</v>
      </c>
      <c r="I193">
        <f>'rockfish harvests'!D197</f>
        <v>12107</v>
      </c>
      <c r="J193" s="37">
        <f t="shared" si="33"/>
        <v>-14883</v>
      </c>
      <c r="K193" s="17"/>
    </row>
    <row r="194" spans="7:11" x14ac:dyDescent="0.3">
      <c r="G194" s="35">
        <v>2019</v>
      </c>
      <c r="H194">
        <f>'rockfish harvests'!E198+'rockfish harvests'!G198</f>
        <v>41013</v>
      </c>
      <c r="I194">
        <f>'rockfish harvests'!D198</f>
        <v>15083</v>
      </c>
      <c r="J194" s="37">
        <f t="shared" si="33"/>
        <v>-25930</v>
      </c>
      <c r="K194" s="17"/>
    </row>
    <row r="195" spans="7:11" x14ac:dyDescent="0.3">
      <c r="G195" s="35">
        <v>2020</v>
      </c>
      <c r="H195">
        <f>'rockfish harvests'!E199+'rockfish harvests'!G199</f>
        <v>26515</v>
      </c>
      <c r="I195">
        <f>'rockfish harvests'!D199</f>
        <v>9001</v>
      </c>
      <c r="J195" s="37">
        <f t="shared" ref="J195:J196" si="34">I195-H195</f>
        <v>-17514</v>
      </c>
      <c r="K195" s="17"/>
    </row>
    <row r="196" spans="7:11" x14ac:dyDescent="0.3">
      <c r="G196" s="35">
        <v>2021</v>
      </c>
      <c r="H196">
        <f>'rockfish harvests'!E200+'rockfish harvests'!G200</f>
        <v>34074</v>
      </c>
      <c r="I196">
        <f>'rockfish harvests'!D200</f>
        <v>16848</v>
      </c>
      <c r="J196" s="37">
        <f t="shared" si="34"/>
        <v>-17226</v>
      </c>
      <c r="K196" s="17"/>
    </row>
    <row r="197" spans="7:11" x14ac:dyDescent="0.3">
      <c r="G197" s="53"/>
      <c r="J197" s="37"/>
      <c r="K197" s="17"/>
    </row>
    <row r="198" spans="7:11" x14ac:dyDescent="0.3">
      <c r="H198" s="34" t="s">
        <v>52</v>
      </c>
    </row>
    <row r="199" spans="7:11" x14ac:dyDescent="0.3">
      <c r="G199" s="35">
        <v>1996</v>
      </c>
      <c r="H199" s="11">
        <v>135</v>
      </c>
    </row>
    <row r="200" spans="7:11" x14ac:dyDescent="0.3">
      <c r="G200" s="35">
        <v>1997</v>
      </c>
      <c r="H200" s="11">
        <v>66</v>
      </c>
    </row>
    <row r="201" spans="7:11" x14ac:dyDescent="0.3">
      <c r="G201" s="35">
        <v>1998</v>
      </c>
      <c r="H201" s="11">
        <v>146</v>
      </c>
      <c r="I201">
        <f>'rockfish harvests'!D202</f>
        <v>7091</v>
      </c>
      <c r="J201" s="37">
        <f>I201-H201</f>
        <v>6945</v>
      </c>
      <c r="K201" s="17">
        <f>J201/H201</f>
        <v>47.56849315068493</v>
      </c>
    </row>
    <row r="202" spans="7:11" x14ac:dyDescent="0.3">
      <c r="G202" s="35">
        <v>1999</v>
      </c>
      <c r="H202" s="11">
        <v>265</v>
      </c>
      <c r="I202">
        <f>'rockfish harvests'!D203</f>
        <v>4594</v>
      </c>
      <c r="J202" s="37">
        <f t="shared" ref="J202:J222" si="35">I202-H202</f>
        <v>4329</v>
      </c>
      <c r="K202" s="17">
        <f>J202/H202</f>
        <v>16.335849056603774</v>
      </c>
    </row>
    <row r="203" spans="7:11" x14ac:dyDescent="0.3">
      <c r="G203" s="35">
        <v>2000</v>
      </c>
      <c r="H203" s="11">
        <v>171</v>
      </c>
      <c r="I203">
        <f>'rockfish harvests'!D204</f>
        <v>9244</v>
      </c>
      <c r="J203" s="37">
        <f t="shared" si="35"/>
        <v>9073</v>
      </c>
      <c r="K203" s="17">
        <f>J203/H203</f>
        <v>53.058479532163744</v>
      </c>
    </row>
    <row r="204" spans="7:11" x14ac:dyDescent="0.3">
      <c r="G204" s="35">
        <v>2001</v>
      </c>
      <c r="H204" s="11">
        <v>7654</v>
      </c>
      <c r="I204">
        <f>'rockfish harvests'!D205</f>
        <v>11235</v>
      </c>
      <c r="J204" s="37">
        <f t="shared" si="35"/>
        <v>3581</v>
      </c>
      <c r="K204" s="17">
        <f>J204/H204</f>
        <v>0.46785994251371832</v>
      </c>
    </row>
    <row r="205" spans="7:11" x14ac:dyDescent="0.3">
      <c r="G205" s="35">
        <v>2002</v>
      </c>
      <c r="H205" s="11">
        <v>14443</v>
      </c>
      <c r="I205">
        <f>'rockfish harvests'!D206</f>
        <v>9018</v>
      </c>
      <c r="J205" s="37">
        <f t="shared" si="35"/>
        <v>-5425</v>
      </c>
      <c r="K205" s="17"/>
    </row>
    <row r="206" spans="7:11" x14ac:dyDescent="0.3">
      <c r="G206" s="35">
        <v>2003</v>
      </c>
      <c r="H206" s="11">
        <v>10056</v>
      </c>
      <c r="I206">
        <f>'rockfish harvests'!D207</f>
        <v>9696</v>
      </c>
      <c r="J206" s="37">
        <f t="shared" si="35"/>
        <v>-360</v>
      </c>
      <c r="K206" s="17"/>
    </row>
    <row r="207" spans="7:11" x14ac:dyDescent="0.3">
      <c r="G207" s="35">
        <v>2004</v>
      </c>
      <c r="H207" s="11">
        <v>16285</v>
      </c>
      <c r="I207">
        <f>'rockfish harvests'!D208</f>
        <v>12216</v>
      </c>
      <c r="J207" s="37">
        <f t="shared" si="35"/>
        <v>-4069</v>
      </c>
      <c r="K207" s="17"/>
    </row>
    <row r="208" spans="7:11" x14ac:dyDescent="0.3">
      <c r="G208" s="35">
        <v>2005</v>
      </c>
      <c r="H208" s="11">
        <v>13949</v>
      </c>
      <c r="I208">
        <f>'rockfish harvests'!D209</f>
        <v>9664</v>
      </c>
      <c r="J208" s="37">
        <f t="shared" si="35"/>
        <v>-4285</v>
      </c>
      <c r="K208" s="17"/>
    </row>
    <row r="209" spans="7:11" x14ac:dyDescent="0.3">
      <c r="G209" s="35">
        <v>2006</v>
      </c>
      <c r="H209" s="11">
        <v>14722</v>
      </c>
      <c r="I209">
        <f>'rockfish harvests'!D210</f>
        <v>9129</v>
      </c>
      <c r="J209" s="37">
        <f t="shared" si="35"/>
        <v>-5593</v>
      </c>
      <c r="K209" s="17"/>
    </row>
    <row r="210" spans="7:11" x14ac:dyDescent="0.3">
      <c r="G210" s="35">
        <v>2007</v>
      </c>
      <c r="H210" s="11">
        <v>18021</v>
      </c>
      <c r="I210">
        <f>'rockfish harvests'!D211</f>
        <v>12198</v>
      </c>
      <c r="J210" s="37">
        <f t="shared" si="35"/>
        <v>-5823</v>
      </c>
      <c r="K210" s="17"/>
    </row>
    <row r="211" spans="7:11" x14ac:dyDescent="0.3">
      <c r="G211" s="35">
        <v>2008</v>
      </c>
      <c r="H211" s="11">
        <v>9111</v>
      </c>
      <c r="I211">
        <f>'rockfish harvests'!D212</f>
        <v>13387</v>
      </c>
      <c r="J211" s="37">
        <f t="shared" si="35"/>
        <v>4276</v>
      </c>
      <c r="K211" s="17">
        <f t="shared" ref="K211:K222" si="36">J211/H211</f>
        <v>0.46932279661947096</v>
      </c>
    </row>
    <row r="212" spans="7:11" x14ac:dyDescent="0.3">
      <c r="G212" s="35">
        <v>2009</v>
      </c>
      <c r="H212" s="11">
        <v>7338</v>
      </c>
      <c r="I212">
        <f>'rockfish harvests'!D213</f>
        <v>13724</v>
      </c>
      <c r="J212" s="37">
        <f t="shared" si="35"/>
        <v>6386</v>
      </c>
      <c r="K212" s="17">
        <f t="shared" si="36"/>
        <v>0.8702643772144999</v>
      </c>
    </row>
    <row r="213" spans="7:11" x14ac:dyDescent="0.3">
      <c r="G213" s="35">
        <v>2010</v>
      </c>
      <c r="H213" s="11">
        <v>7592</v>
      </c>
      <c r="I213">
        <f>'rockfish harvests'!D214</f>
        <v>13038</v>
      </c>
      <c r="J213" s="37">
        <f t="shared" si="35"/>
        <v>5446</v>
      </c>
      <c r="K213" s="17">
        <f t="shared" si="36"/>
        <v>0.71733403582718647</v>
      </c>
    </row>
    <row r="214" spans="7:11" x14ac:dyDescent="0.3">
      <c r="G214" s="35">
        <v>2011</v>
      </c>
      <c r="H214">
        <f>'rockfish harvests'!E215+'rockfish harvests'!G215</f>
        <v>11779</v>
      </c>
      <c r="I214">
        <f>'rockfish harvests'!D215</f>
        <v>15590</v>
      </c>
      <c r="J214" s="37">
        <f t="shared" si="35"/>
        <v>3811</v>
      </c>
      <c r="K214" s="17">
        <f t="shared" si="36"/>
        <v>0.32354189659563631</v>
      </c>
    </row>
    <row r="215" spans="7:11" x14ac:dyDescent="0.3">
      <c r="G215" s="35">
        <v>2012</v>
      </c>
      <c r="H215">
        <f>'rockfish harvests'!E216+'rockfish harvests'!G216</f>
        <v>13084</v>
      </c>
      <c r="I215">
        <f>'rockfish harvests'!D216</f>
        <v>16566</v>
      </c>
      <c r="J215" s="37">
        <f t="shared" si="35"/>
        <v>3482</v>
      </c>
      <c r="K215" s="17">
        <f t="shared" si="36"/>
        <v>0.26612656679914398</v>
      </c>
    </row>
    <row r="216" spans="7:11" x14ac:dyDescent="0.3">
      <c r="G216" s="35">
        <v>2013</v>
      </c>
      <c r="H216">
        <f>'rockfish harvests'!E217+'rockfish harvests'!G217</f>
        <v>16513</v>
      </c>
      <c r="I216">
        <f>'rockfish harvests'!D217</f>
        <v>19818</v>
      </c>
      <c r="J216" s="37">
        <f t="shared" si="35"/>
        <v>3305</v>
      </c>
      <c r="K216" s="17">
        <f>J216/H216</f>
        <v>0.20014534003512385</v>
      </c>
    </row>
    <row r="217" spans="7:11" x14ac:dyDescent="0.3">
      <c r="G217" s="35">
        <v>2014</v>
      </c>
      <c r="H217">
        <f>'rockfish harvests'!E218+'rockfish harvests'!G218</f>
        <v>14499</v>
      </c>
      <c r="I217">
        <f>'rockfish harvests'!D218</f>
        <v>21309</v>
      </c>
      <c r="J217" s="37">
        <f t="shared" si="35"/>
        <v>6810</v>
      </c>
      <c r="K217" s="17">
        <f t="shared" si="36"/>
        <v>0.46968756465963168</v>
      </c>
    </row>
    <row r="218" spans="7:11" x14ac:dyDescent="0.3">
      <c r="G218" s="35">
        <v>2015</v>
      </c>
      <c r="H218">
        <f>'rockfish harvests'!E219+'rockfish harvests'!G219</f>
        <v>15854</v>
      </c>
      <c r="I218">
        <f>'rockfish harvests'!D219</f>
        <v>24516</v>
      </c>
      <c r="J218" s="37">
        <f t="shared" si="35"/>
        <v>8662</v>
      </c>
      <c r="K218" s="17">
        <f t="shared" si="36"/>
        <v>0.54636053992683231</v>
      </c>
    </row>
    <row r="219" spans="7:11" x14ac:dyDescent="0.3">
      <c r="G219" s="35">
        <v>2016</v>
      </c>
      <c r="H219">
        <f>'rockfish harvests'!E220+'rockfish harvests'!G220</f>
        <v>22355</v>
      </c>
      <c r="I219">
        <f>'rockfish harvests'!D220</f>
        <v>29349</v>
      </c>
      <c r="J219" s="37">
        <f t="shared" si="35"/>
        <v>6994</v>
      </c>
      <c r="K219" s="17">
        <f t="shared" si="36"/>
        <v>0.31286065757101322</v>
      </c>
    </row>
    <row r="220" spans="7:11" x14ac:dyDescent="0.3">
      <c r="G220" s="35">
        <v>2017</v>
      </c>
      <c r="H220">
        <f>'rockfish harvests'!E221+'rockfish harvests'!G221</f>
        <v>13076</v>
      </c>
      <c r="I220">
        <f>'rockfish harvests'!D221</f>
        <v>28647</v>
      </c>
      <c r="J220" s="37">
        <f t="shared" si="35"/>
        <v>15571</v>
      </c>
      <c r="K220" s="17">
        <f t="shared" si="36"/>
        <v>1.1908075864178649</v>
      </c>
    </row>
    <row r="221" spans="7:11" x14ac:dyDescent="0.3">
      <c r="G221" s="35">
        <v>2018</v>
      </c>
      <c r="H221">
        <f>'rockfish harvests'!E222+'rockfish harvests'!G222</f>
        <v>13300</v>
      </c>
      <c r="I221">
        <f>'rockfish harvests'!D222</f>
        <v>27142</v>
      </c>
      <c r="J221" s="37">
        <f t="shared" si="35"/>
        <v>13842</v>
      </c>
      <c r="K221" s="17">
        <f t="shared" si="36"/>
        <v>1.0407518796992481</v>
      </c>
    </row>
    <row r="222" spans="7:11" x14ac:dyDescent="0.3">
      <c r="G222" s="35">
        <v>2019</v>
      </c>
      <c r="H222">
        <f>'rockfish harvests'!E223+'rockfish harvests'!G223</f>
        <v>11153</v>
      </c>
      <c r="I222">
        <f>'rockfish harvests'!D223</f>
        <v>33682</v>
      </c>
      <c r="J222" s="37">
        <f t="shared" si="35"/>
        <v>22529</v>
      </c>
      <c r="K222" s="17">
        <f t="shared" si="36"/>
        <v>2.0199946202815386</v>
      </c>
    </row>
    <row r="223" spans="7:11" x14ac:dyDescent="0.3">
      <c r="G223" s="35">
        <v>2020</v>
      </c>
      <c r="H223">
        <f>'rockfish harvests'!E224+'rockfish harvests'!G224</f>
        <v>9134</v>
      </c>
      <c r="I223">
        <f>'rockfish harvests'!D224</f>
        <v>29279</v>
      </c>
      <c r="J223" s="37">
        <f t="shared" ref="J223:J224" si="37">I223-H223</f>
        <v>20145</v>
      </c>
      <c r="K223" s="17">
        <f t="shared" ref="K223:K224" si="38">J223/H223</f>
        <v>2.2054959492007882</v>
      </c>
    </row>
    <row r="224" spans="7:11" x14ac:dyDescent="0.3">
      <c r="G224" s="35">
        <v>2021</v>
      </c>
      <c r="H224">
        <f>'rockfish harvests'!E225+'rockfish harvests'!G225</f>
        <v>14624</v>
      </c>
      <c r="I224">
        <f>'rockfish harvests'!D225</f>
        <v>38638</v>
      </c>
      <c r="J224" s="37">
        <f t="shared" si="37"/>
        <v>24014</v>
      </c>
      <c r="K224" s="17">
        <f t="shared" si="38"/>
        <v>1.6420951859956237</v>
      </c>
    </row>
  </sheetData>
  <conditionalFormatting sqref="D5:D30">
    <cfRule type="colorScale" priority="9">
      <colorScale>
        <cfvo type="num" val="0"/>
        <cfvo type="num" val="0"/>
        <color rgb="FFFF7128"/>
        <color rgb="FFFFEF9C"/>
      </colorScale>
    </cfRule>
  </conditionalFormatting>
  <conditionalFormatting sqref="D33:D57">
    <cfRule type="colorScale" priority="10">
      <colorScale>
        <cfvo type="num" val="0"/>
        <cfvo type="num" val="0"/>
        <color rgb="FFFF7128"/>
        <color rgb="FFFFEF9C"/>
      </colorScale>
    </cfRule>
  </conditionalFormatting>
  <conditionalFormatting sqref="D61:D85">
    <cfRule type="colorScale" priority="11">
      <colorScale>
        <cfvo type="num" val="0"/>
        <cfvo type="num" val="0"/>
        <color rgb="FFFF7128"/>
        <color rgb="FFFFEF9C"/>
      </colorScale>
    </cfRule>
  </conditionalFormatting>
  <conditionalFormatting sqref="D89:D113">
    <cfRule type="colorScale" priority="12">
      <colorScale>
        <cfvo type="num" val="0"/>
        <cfvo type="num" val="0"/>
        <color rgb="FFFF7128"/>
        <color rgb="FFFFEF9C"/>
      </colorScale>
    </cfRule>
  </conditionalFormatting>
  <conditionalFormatting sqref="D117:D141">
    <cfRule type="colorScale" priority="13">
      <colorScale>
        <cfvo type="num" val="0"/>
        <cfvo type="num" val="0"/>
        <color rgb="FFFF7128"/>
        <color rgb="FFFFEF9C"/>
      </colorScale>
    </cfRule>
  </conditionalFormatting>
  <conditionalFormatting sqref="D145:D169">
    <cfRule type="colorScale" priority="14">
      <colorScale>
        <cfvo type="num" val="0"/>
        <cfvo type="num" val="0"/>
        <color rgb="FFFF7128"/>
        <color rgb="FFFFEF9C"/>
      </colorScale>
    </cfRule>
  </conditionalFormatting>
  <conditionalFormatting sqref="J5:J29">
    <cfRule type="colorScale" priority="8">
      <colorScale>
        <cfvo type="num" val="0"/>
        <cfvo type="num" val="0"/>
        <color rgb="FFFF7128"/>
        <color rgb="FFFFEF9C"/>
      </colorScale>
    </cfRule>
  </conditionalFormatting>
  <conditionalFormatting sqref="J33:J57">
    <cfRule type="colorScale" priority="7">
      <colorScale>
        <cfvo type="num" val="0"/>
        <cfvo type="num" val="0"/>
        <color rgb="FFFF7128"/>
        <color rgb="FFFFEF9C"/>
      </colorScale>
    </cfRule>
  </conditionalFormatting>
  <conditionalFormatting sqref="J61:J85">
    <cfRule type="colorScale" priority="6">
      <colorScale>
        <cfvo type="num" val="0"/>
        <cfvo type="num" val="0"/>
        <color rgb="FFFF7128"/>
        <color rgb="FFFFEF9C"/>
      </colorScale>
    </cfRule>
  </conditionalFormatting>
  <conditionalFormatting sqref="J89:J113">
    <cfRule type="colorScale" priority="5">
      <colorScale>
        <cfvo type="num" val="0"/>
        <cfvo type="num" val="0"/>
        <color rgb="FFFF7128"/>
        <color rgb="FFFFEF9C"/>
      </colorScale>
    </cfRule>
  </conditionalFormatting>
  <conditionalFormatting sqref="J117:J141">
    <cfRule type="colorScale" priority="4">
      <colorScale>
        <cfvo type="num" val="0"/>
        <cfvo type="num" val="0"/>
        <color rgb="FFFF7128"/>
        <color rgb="FFFFEF9C"/>
      </colorScale>
    </cfRule>
  </conditionalFormatting>
  <conditionalFormatting sqref="J145:J169">
    <cfRule type="colorScale" priority="3">
      <colorScale>
        <cfvo type="num" val="0"/>
        <cfvo type="num" val="0"/>
        <color rgb="FFFF7128"/>
        <color rgb="FFFFEF9C"/>
      </colorScale>
    </cfRule>
  </conditionalFormatting>
  <conditionalFormatting sqref="J173:J197">
    <cfRule type="colorScale" priority="2">
      <colorScale>
        <cfvo type="num" val="0"/>
        <cfvo type="num" val="0"/>
        <color rgb="FFFF7128"/>
        <color rgb="FFFFEF9C"/>
      </colorScale>
    </cfRule>
  </conditionalFormatting>
  <conditionalFormatting sqref="J201:J224">
    <cfRule type="colorScale" priority="1">
      <colorScale>
        <cfvo type="num" val="0"/>
        <cfvo type="num" val="0"/>
        <color rgb="FFFF7128"/>
        <color rgb="FFFFEF9C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16BBE-BEA9-4A2C-A98C-67B806577655}">
  <sheetPr filterMode="1">
    <tabColor theme="9"/>
  </sheetPr>
  <dimension ref="A1:Y376"/>
  <sheetViews>
    <sheetView zoomScale="103" zoomScaleNormal="103" workbookViewId="0">
      <pane ySplit="1" topLeftCell="A236" activePane="bottomLeft" state="frozen"/>
      <selection pane="bottomLeft" activeCell="H251" sqref="H251"/>
    </sheetView>
  </sheetViews>
  <sheetFormatPr defaultRowHeight="14.4" x14ac:dyDescent="0.3"/>
  <cols>
    <col min="3" max="5" width="12.44140625" customWidth="1"/>
    <col min="6" max="6" width="15.6640625" customWidth="1"/>
    <col min="7" max="7" width="11.44140625" customWidth="1"/>
    <col min="8" max="8" width="14" customWidth="1"/>
    <col min="9" max="10" width="12.44140625" customWidth="1"/>
    <col min="11" max="11" width="16.88671875" style="1" customWidth="1"/>
    <col min="12" max="12" width="13.44140625" style="1" bestFit="1" customWidth="1"/>
    <col min="13" max="13" width="11.88671875" bestFit="1" customWidth="1"/>
    <col min="14" max="14" width="11.6640625" bestFit="1" customWidth="1"/>
    <col min="15" max="15" width="13.109375" customWidth="1"/>
    <col min="16" max="16" width="13.44140625" style="1" bestFit="1" customWidth="1"/>
    <col min="17" max="17" width="11.88671875" bestFit="1" customWidth="1"/>
    <col min="18" max="18" width="8.6640625" style="1" customWidth="1"/>
    <col min="19" max="19" width="10.5546875" customWidth="1"/>
    <col min="21" max="21" width="10.5546875" bestFit="1" customWidth="1"/>
  </cols>
  <sheetData>
    <row r="1" spans="1:25" s="3" customFormat="1" ht="93" customHeight="1" x14ac:dyDescent="0.35">
      <c r="A1" s="3" t="s">
        <v>1</v>
      </c>
      <c r="B1" s="3" t="s">
        <v>2</v>
      </c>
      <c r="C1" s="3" t="s">
        <v>3</v>
      </c>
      <c r="D1" s="3" t="s">
        <v>58</v>
      </c>
      <c r="E1" s="3" t="s">
        <v>59</v>
      </c>
      <c r="F1" s="3" t="s">
        <v>60</v>
      </c>
      <c r="G1" s="3" t="s">
        <v>61</v>
      </c>
      <c r="H1" s="3" t="s">
        <v>62</v>
      </c>
      <c r="I1" s="3" t="s">
        <v>63</v>
      </c>
      <c r="J1" s="3" t="s">
        <v>64</v>
      </c>
      <c r="K1" s="22" t="s">
        <v>67</v>
      </c>
      <c r="L1" s="22" t="s">
        <v>68</v>
      </c>
      <c r="M1" s="3" t="s">
        <v>33</v>
      </c>
      <c r="N1" s="3" t="s">
        <v>30</v>
      </c>
      <c r="O1" s="3" t="s">
        <v>65</v>
      </c>
      <c r="P1" s="10" t="s">
        <v>66</v>
      </c>
      <c r="Q1" s="3" t="s">
        <v>31</v>
      </c>
      <c r="R1" s="10" t="s">
        <v>32</v>
      </c>
      <c r="U1" s="20"/>
      <c r="V1" t="s">
        <v>57</v>
      </c>
    </row>
    <row r="2" spans="1:25" hidden="1" x14ac:dyDescent="0.3">
      <c r="A2" t="s">
        <v>81</v>
      </c>
      <c r="B2">
        <v>1998</v>
      </c>
      <c r="C2" t="s">
        <v>45</v>
      </c>
      <c r="D2" s="13">
        <v>416</v>
      </c>
      <c r="E2" s="1"/>
      <c r="F2" s="1"/>
      <c r="G2" s="1"/>
      <c r="H2" s="1"/>
      <c r="I2" s="21">
        <f>AVERAGE(I$15:I$22)</f>
        <v>0.78564446845120783</v>
      </c>
      <c r="J2" s="21">
        <v>8.6817583848992491E-3</v>
      </c>
      <c r="K2" s="13">
        <f>D2/I2</f>
        <v>529.5015960846614</v>
      </c>
      <c r="L2" s="1">
        <f>(D2^2)*J2*(1/(I2^4))</f>
        <v>3943.5752117924521</v>
      </c>
      <c r="M2">
        <f>SQRT(L2)</f>
        <v>62.797891778247241</v>
      </c>
      <c r="N2" s="40">
        <f>(1.96*M2)</f>
        <v>123.08386788536458</v>
      </c>
      <c r="O2" s="24">
        <f t="shared" ref="O2:O52" si="0">K2-D2</f>
        <v>113.5015960846614</v>
      </c>
      <c r="P2" s="1">
        <f>L2</f>
        <v>3943.5752117924521</v>
      </c>
      <c r="Q2">
        <f>SQRT(P2)</f>
        <v>62.797891778247241</v>
      </c>
      <c r="R2" s="1">
        <f>(1.96*Q2)</f>
        <v>123.08386788536458</v>
      </c>
      <c r="U2" s="21"/>
      <c r="V2" s="51" t="s">
        <v>152</v>
      </c>
      <c r="W2" s="51"/>
      <c r="X2" s="51"/>
      <c r="Y2" s="51"/>
    </row>
    <row r="3" spans="1:25" hidden="1" x14ac:dyDescent="0.3">
      <c r="A3" t="s">
        <v>81</v>
      </c>
      <c r="B3">
        <v>1999</v>
      </c>
      <c r="C3" t="s">
        <v>45</v>
      </c>
      <c r="D3" s="13">
        <v>506</v>
      </c>
      <c r="E3" s="1"/>
      <c r="F3" s="1"/>
      <c r="G3" s="1"/>
      <c r="H3" s="1"/>
      <c r="I3" s="21">
        <f t="shared" ref="I3:I14" si="1">AVERAGE(I$15:I$22)</f>
        <v>0.78564446845120783</v>
      </c>
      <c r="J3" s="21">
        <v>8.6817583848992491E-3</v>
      </c>
      <c r="K3" s="13">
        <f t="shared" ref="K3:K48" si="2">D3/I3</f>
        <v>644.05722985297768</v>
      </c>
      <c r="L3" s="1">
        <f>(D3^2)*J3*(1/(I3^4))</f>
        <v>5834.5115045216135</v>
      </c>
      <c r="M3">
        <f t="shared" ref="M3:M64" si="3">SQRT(L3)</f>
        <v>76.383974134118034</v>
      </c>
      <c r="N3" s="40">
        <f t="shared" ref="N3:N64" si="4">(1.96*M3)</f>
        <v>149.71258930287135</v>
      </c>
      <c r="O3" s="24">
        <f t="shared" si="0"/>
        <v>138.05722985297768</v>
      </c>
      <c r="P3" s="1">
        <f t="shared" ref="P3:P53" si="5">L3</f>
        <v>5834.5115045216135</v>
      </c>
      <c r="Q3">
        <f t="shared" ref="Q3:Q53" si="6">SQRT(P3)</f>
        <v>76.383974134118034</v>
      </c>
      <c r="R3" s="1">
        <f t="shared" ref="R3:R53" si="7">(1.96*Q3)</f>
        <v>149.71258930287135</v>
      </c>
      <c r="V3" s="26" t="s">
        <v>80</v>
      </c>
    </row>
    <row r="4" spans="1:25" hidden="1" x14ac:dyDescent="0.3">
      <c r="A4" t="s">
        <v>81</v>
      </c>
      <c r="B4">
        <v>2000</v>
      </c>
      <c r="C4" t="s">
        <v>45</v>
      </c>
      <c r="D4" s="13">
        <v>1412</v>
      </c>
      <c r="E4" s="1"/>
      <c r="F4" s="1"/>
      <c r="G4" s="1"/>
      <c r="H4" s="1"/>
      <c r="I4" s="21">
        <f t="shared" si="1"/>
        <v>0.78564446845120783</v>
      </c>
      <c r="J4" s="21">
        <v>8.6817583848992491E-3</v>
      </c>
      <c r="K4" s="13">
        <f t="shared" si="2"/>
        <v>1797.2506097873604</v>
      </c>
      <c r="L4" s="1">
        <f t="shared" ref="L4:L14" si="8">(D4^2)*J4*(1/(I4^4))</f>
        <v>45433.151217293431</v>
      </c>
      <c r="M4">
        <f t="shared" si="3"/>
        <v>213.15053651655074</v>
      </c>
      <c r="N4" s="40">
        <f t="shared" si="4"/>
        <v>417.77505157243945</v>
      </c>
      <c r="O4" s="24">
        <f t="shared" si="0"/>
        <v>385.25060978736042</v>
      </c>
      <c r="P4" s="1">
        <f t="shared" si="5"/>
        <v>45433.151217293431</v>
      </c>
      <c r="Q4">
        <f t="shared" si="6"/>
        <v>213.15053651655074</v>
      </c>
      <c r="R4" s="1">
        <f t="shared" si="7"/>
        <v>417.77505157243945</v>
      </c>
    </row>
    <row r="5" spans="1:25" hidden="1" x14ac:dyDescent="0.3">
      <c r="A5" t="s">
        <v>81</v>
      </c>
      <c r="B5">
        <v>2001</v>
      </c>
      <c r="C5" t="s">
        <v>45</v>
      </c>
      <c r="D5" s="13">
        <v>535</v>
      </c>
      <c r="E5" s="1"/>
      <c r="F5" s="1"/>
      <c r="G5" s="1"/>
      <c r="H5" s="1"/>
      <c r="I5" s="21">
        <f t="shared" si="1"/>
        <v>0.78564446845120783</v>
      </c>
      <c r="J5" s="21">
        <v>8.6817583848992491E-3</v>
      </c>
      <c r="K5" s="13">
        <f t="shared" si="2"/>
        <v>680.96960073387947</v>
      </c>
      <c r="L5" s="1">
        <f t="shared" si="8"/>
        <v>6522.4540899783578</v>
      </c>
      <c r="M5">
        <f t="shared" si="3"/>
        <v>80.761711782120855</v>
      </c>
      <c r="N5" s="40">
        <f t="shared" si="4"/>
        <v>158.29295509295687</v>
      </c>
      <c r="O5" s="24">
        <f t="shared" si="0"/>
        <v>145.96960073387947</v>
      </c>
      <c r="P5" s="1">
        <f t="shared" si="5"/>
        <v>6522.4540899783578</v>
      </c>
      <c r="Q5">
        <f t="shared" si="6"/>
        <v>80.761711782120855</v>
      </c>
      <c r="R5" s="1">
        <f t="shared" si="7"/>
        <v>158.29295509295687</v>
      </c>
    </row>
    <row r="6" spans="1:25" hidden="1" x14ac:dyDescent="0.3">
      <c r="A6" t="s">
        <v>81</v>
      </c>
      <c r="B6">
        <v>2002</v>
      </c>
      <c r="C6" t="s">
        <v>45</v>
      </c>
      <c r="D6" s="13">
        <v>345</v>
      </c>
      <c r="E6" s="1"/>
      <c r="F6" s="1"/>
      <c r="G6" s="1"/>
      <c r="H6" s="1"/>
      <c r="I6" s="21">
        <f t="shared" si="1"/>
        <v>0.78564446845120783</v>
      </c>
      <c r="J6" s="21">
        <v>8.6817583848992491E-3</v>
      </c>
      <c r="K6" s="13">
        <f t="shared" si="2"/>
        <v>439.12992944521204</v>
      </c>
      <c r="L6" s="1">
        <f t="shared" si="8"/>
        <v>2712.3245630524034</v>
      </c>
      <c r="M6">
        <f t="shared" si="3"/>
        <v>52.079982364171393</v>
      </c>
      <c r="N6" s="40">
        <f t="shared" si="4"/>
        <v>102.07676543377593</v>
      </c>
      <c r="O6" s="24">
        <f t="shared" si="0"/>
        <v>94.129929445212042</v>
      </c>
      <c r="P6" s="1">
        <f t="shared" si="5"/>
        <v>2712.3245630524034</v>
      </c>
      <c r="Q6">
        <f t="shared" si="6"/>
        <v>52.079982364171393</v>
      </c>
      <c r="R6" s="1">
        <f t="shared" si="7"/>
        <v>102.07676543377593</v>
      </c>
    </row>
    <row r="7" spans="1:25" hidden="1" x14ac:dyDescent="0.3">
      <c r="A7" t="s">
        <v>81</v>
      </c>
      <c r="B7">
        <v>2003</v>
      </c>
      <c r="C7" t="s">
        <v>45</v>
      </c>
      <c r="D7" s="13">
        <v>567</v>
      </c>
      <c r="E7" s="1"/>
      <c r="F7" s="1"/>
      <c r="G7" s="1"/>
      <c r="H7" s="1"/>
      <c r="I7" s="21">
        <f t="shared" si="1"/>
        <v>0.78564446845120783</v>
      </c>
      <c r="J7" s="21">
        <v>8.6817583848992491E-3</v>
      </c>
      <c r="K7" s="13">
        <f t="shared" si="2"/>
        <v>721.70049274039195</v>
      </c>
      <c r="L7" s="1">
        <f t="shared" si="8"/>
        <v>7326.0450447481962</v>
      </c>
      <c r="M7">
        <f t="shared" si="3"/>
        <v>85.592318841986028</v>
      </c>
      <c r="N7" s="40">
        <f t="shared" si="4"/>
        <v>167.76094493029262</v>
      </c>
      <c r="O7" s="24">
        <f t="shared" si="0"/>
        <v>154.70049274039195</v>
      </c>
      <c r="P7" s="1">
        <f t="shared" si="5"/>
        <v>7326.0450447481962</v>
      </c>
      <c r="Q7">
        <f t="shared" si="6"/>
        <v>85.592318841986028</v>
      </c>
      <c r="R7" s="1">
        <f t="shared" si="7"/>
        <v>167.76094493029262</v>
      </c>
    </row>
    <row r="8" spans="1:25" hidden="1" x14ac:dyDescent="0.3">
      <c r="A8" t="s">
        <v>81</v>
      </c>
      <c r="B8">
        <v>2004</v>
      </c>
      <c r="C8" t="s">
        <v>45</v>
      </c>
      <c r="D8" s="13">
        <v>468</v>
      </c>
      <c r="E8" s="1"/>
      <c r="F8" s="1"/>
      <c r="G8" s="1"/>
      <c r="H8" s="1"/>
      <c r="I8" s="21">
        <f t="shared" si="1"/>
        <v>0.78564446845120783</v>
      </c>
      <c r="J8" s="21">
        <v>8.6817583848992491E-3</v>
      </c>
      <c r="K8" s="13">
        <f t="shared" si="2"/>
        <v>595.68929559524418</v>
      </c>
      <c r="L8" s="1">
        <f t="shared" si="8"/>
        <v>4991.087377424823</v>
      </c>
      <c r="M8">
        <f t="shared" si="3"/>
        <v>70.647628250528143</v>
      </c>
      <c r="N8" s="40">
        <f t="shared" si="4"/>
        <v>138.46935137103515</v>
      </c>
      <c r="O8" s="24">
        <f t="shared" si="0"/>
        <v>127.68929559524418</v>
      </c>
      <c r="P8" s="1">
        <f t="shared" si="5"/>
        <v>4991.087377424823</v>
      </c>
      <c r="Q8">
        <f t="shared" si="6"/>
        <v>70.647628250528143</v>
      </c>
      <c r="R8" s="1">
        <f t="shared" si="7"/>
        <v>138.46935137103515</v>
      </c>
    </row>
    <row r="9" spans="1:25" hidden="1" x14ac:dyDescent="0.3">
      <c r="A9" t="s">
        <v>81</v>
      </c>
      <c r="B9">
        <v>2005</v>
      </c>
      <c r="C9" t="s">
        <v>45</v>
      </c>
      <c r="D9" s="13">
        <v>1385</v>
      </c>
      <c r="E9" s="1"/>
      <c r="F9" s="1"/>
      <c r="G9" s="1"/>
      <c r="H9" s="1"/>
      <c r="I9" s="21">
        <f t="shared" si="1"/>
        <v>0.78564446845120783</v>
      </c>
      <c r="J9" s="21">
        <v>8.6817583848992491E-3</v>
      </c>
      <c r="K9" s="13">
        <f t="shared" si="2"/>
        <v>1762.8839196568656</v>
      </c>
      <c r="L9" s="1">
        <f t="shared" si="8"/>
        <v>43712.235118346529</v>
      </c>
      <c r="M9">
        <f t="shared" si="3"/>
        <v>209.07471180978948</v>
      </c>
      <c r="N9" s="40">
        <f t="shared" si="4"/>
        <v>409.78643514718738</v>
      </c>
      <c r="O9" s="24">
        <f t="shared" si="0"/>
        <v>377.8839196568656</v>
      </c>
      <c r="P9" s="1">
        <f t="shared" si="5"/>
        <v>43712.235118346529</v>
      </c>
      <c r="Q9">
        <f t="shared" si="6"/>
        <v>209.07471180978948</v>
      </c>
      <c r="R9" s="1">
        <f t="shared" si="7"/>
        <v>409.78643514718738</v>
      </c>
    </row>
    <row r="10" spans="1:25" hidden="1" x14ac:dyDescent="0.3">
      <c r="A10" t="s">
        <v>81</v>
      </c>
      <c r="B10">
        <v>2006</v>
      </c>
      <c r="C10" t="s">
        <v>45</v>
      </c>
      <c r="D10" s="13">
        <v>925</v>
      </c>
      <c r="E10" s="1"/>
      <c r="F10" s="1"/>
      <c r="G10" s="1"/>
      <c r="H10" s="1"/>
      <c r="I10" s="21">
        <f t="shared" si="1"/>
        <v>0.78564446845120783</v>
      </c>
      <c r="J10" s="21">
        <v>8.6817583848992491E-3</v>
      </c>
      <c r="K10" s="13">
        <f t="shared" si="2"/>
        <v>1177.3773470632495</v>
      </c>
      <c r="L10" s="1">
        <f t="shared" si="8"/>
        <v>19497.859309067106</v>
      </c>
      <c r="M10">
        <f t="shared" si="3"/>
        <v>139.63473532422765</v>
      </c>
      <c r="N10" s="40">
        <f t="shared" si="4"/>
        <v>273.68408123548619</v>
      </c>
      <c r="O10" s="24">
        <f t="shared" si="0"/>
        <v>252.37734706324954</v>
      </c>
      <c r="P10" s="1">
        <f t="shared" si="5"/>
        <v>19497.859309067106</v>
      </c>
      <c r="Q10">
        <f t="shared" si="6"/>
        <v>139.63473532422765</v>
      </c>
      <c r="R10" s="1">
        <f t="shared" si="7"/>
        <v>273.68408123548619</v>
      </c>
    </row>
    <row r="11" spans="1:25" hidden="1" x14ac:dyDescent="0.3">
      <c r="A11" t="s">
        <v>81</v>
      </c>
      <c r="B11">
        <v>2007</v>
      </c>
      <c r="C11" t="s">
        <v>45</v>
      </c>
      <c r="D11" s="13">
        <v>2488</v>
      </c>
      <c r="E11" s="1"/>
      <c r="F11" s="1"/>
      <c r="G11" s="1"/>
      <c r="H11" s="1"/>
      <c r="I11" s="21">
        <f t="shared" si="1"/>
        <v>0.78564446845120783</v>
      </c>
      <c r="J11" s="21">
        <v>8.6817583848992491E-3</v>
      </c>
      <c r="K11" s="13">
        <f t="shared" si="2"/>
        <v>3166.8268535063407</v>
      </c>
      <c r="L11" s="1">
        <f t="shared" si="8"/>
        <v>141060.11022920778</v>
      </c>
      <c r="M11">
        <f t="shared" si="3"/>
        <v>375.57969890451716</v>
      </c>
      <c r="N11" s="40">
        <f t="shared" si="4"/>
        <v>736.13620985285365</v>
      </c>
      <c r="O11" s="24">
        <f t="shared" si="0"/>
        <v>678.82685350634074</v>
      </c>
      <c r="P11" s="1">
        <f t="shared" si="5"/>
        <v>141060.11022920778</v>
      </c>
      <c r="Q11">
        <f t="shared" si="6"/>
        <v>375.57969890451716</v>
      </c>
      <c r="R11" s="1">
        <f t="shared" si="7"/>
        <v>736.13620985285365</v>
      </c>
    </row>
    <row r="12" spans="1:25" hidden="1" x14ac:dyDescent="0.3">
      <c r="A12" t="s">
        <v>81</v>
      </c>
      <c r="B12">
        <v>2008</v>
      </c>
      <c r="C12" t="s">
        <v>45</v>
      </c>
      <c r="D12" s="13">
        <v>2670</v>
      </c>
      <c r="E12" s="1"/>
      <c r="F12" s="1"/>
      <c r="G12" s="1"/>
      <c r="H12" s="1"/>
      <c r="I12" s="21">
        <f t="shared" si="1"/>
        <v>0.78564446845120783</v>
      </c>
      <c r="J12" s="21">
        <v>8.6817583848992491E-3</v>
      </c>
      <c r="K12" s="13">
        <f t="shared" si="2"/>
        <v>3398.4838017933798</v>
      </c>
      <c r="L12" s="1">
        <f t="shared" si="8"/>
        <v>162452.3467972634</v>
      </c>
      <c r="M12">
        <f t="shared" si="3"/>
        <v>403.05377655750033</v>
      </c>
      <c r="N12" s="40">
        <f t="shared" si="4"/>
        <v>789.98540205270058</v>
      </c>
      <c r="O12" s="24">
        <f t="shared" si="0"/>
        <v>728.48380179337983</v>
      </c>
      <c r="P12" s="1">
        <f t="shared" si="5"/>
        <v>162452.3467972634</v>
      </c>
      <c r="Q12">
        <f t="shared" si="6"/>
        <v>403.05377655750033</v>
      </c>
      <c r="R12" s="1">
        <f t="shared" si="7"/>
        <v>789.98540205270058</v>
      </c>
    </row>
    <row r="13" spans="1:25" hidden="1" x14ac:dyDescent="0.3">
      <c r="A13" t="s">
        <v>81</v>
      </c>
      <c r="B13">
        <v>2009</v>
      </c>
      <c r="C13" t="s">
        <v>45</v>
      </c>
      <c r="D13" s="13">
        <v>3763</v>
      </c>
      <c r="E13" s="1"/>
      <c r="F13" s="1"/>
      <c r="G13" s="1"/>
      <c r="H13" s="1"/>
      <c r="I13" s="21">
        <f t="shared" si="1"/>
        <v>0.78564446845120783</v>
      </c>
      <c r="J13" s="21">
        <v>8.6817583848992491E-3</v>
      </c>
      <c r="K13" s="13">
        <f t="shared" si="2"/>
        <v>4789.6983318908196</v>
      </c>
      <c r="L13" s="1">
        <f t="shared" si="8"/>
        <v>322679.89242321515</v>
      </c>
      <c r="M13">
        <f t="shared" si="3"/>
        <v>568.04919894602017</v>
      </c>
      <c r="N13" s="40">
        <f t="shared" si="4"/>
        <v>1113.3764299341995</v>
      </c>
      <c r="O13" s="24">
        <f t="shared" si="0"/>
        <v>1026.6983318908196</v>
      </c>
      <c r="P13" s="1">
        <f t="shared" si="5"/>
        <v>322679.89242321515</v>
      </c>
      <c r="Q13">
        <f>SQRT(P13)</f>
        <v>568.04919894602017</v>
      </c>
      <c r="R13" s="1">
        <f t="shared" si="7"/>
        <v>1113.3764299341995</v>
      </c>
    </row>
    <row r="14" spans="1:25" hidden="1" x14ac:dyDescent="0.3">
      <c r="A14" t="s">
        <v>81</v>
      </c>
      <c r="B14">
        <v>2010</v>
      </c>
      <c r="C14" t="s">
        <v>45</v>
      </c>
      <c r="D14" s="13">
        <v>3032</v>
      </c>
      <c r="E14" s="1"/>
      <c r="F14" s="1"/>
      <c r="G14" s="1"/>
      <c r="H14" s="1"/>
      <c r="I14" s="21">
        <f t="shared" si="1"/>
        <v>0.78564446845120783</v>
      </c>
      <c r="J14" s="21">
        <v>8.6817583848992491E-3</v>
      </c>
      <c r="K14" s="13">
        <f>D14/I14</f>
        <v>3859.2520176170519</v>
      </c>
      <c r="L14" s="1">
        <f t="shared" si="8"/>
        <v>209489.30732140518</v>
      </c>
      <c r="M14">
        <f t="shared" si="3"/>
        <v>457.70001892222507</v>
      </c>
      <c r="N14" s="40">
        <f t="shared" si="4"/>
        <v>897.09203708756115</v>
      </c>
      <c r="O14" s="24">
        <f t="shared" si="0"/>
        <v>827.25201761705193</v>
      </c>
      <c r="P14" s="1">
        <f t="shared" si="5"/>
        <v>209489.30732140518</v>
      </c>
      <c r="Q14">
        <f t="shared" si="6"/>
        <v>457.70001892222507</v>
      </c>
      <c r="R14" s="1">
        <f t="shared" si="7"/>
        <v>897.09203708756115</v>
      </c>
    </row>
    <row r="15" spans="1:25" hidden="1" x14ac:dyDescent="0.3">
      <c r="A15" t="s">
        <v>81</v>
      </c>
      <c r="B15">
        <v>2011</v>
      </c>
      <c r="C15" t="s">
        <v>45</v>
      </c>
      <c r="D15" s="13">
        <v>3052</v>
      </c>
      <c r="E15" s="1">
        <v>1879</v>
      </c>
      <c r="F15" s="1">
        <v>363784.7037397403</v>
      </c>
      <c r="G15" s="1">
        <v>525</v>
      </c>
      <c r="H15" s="1">
        <v>47423.413924924906</v>
      </c>
      <c r="I15">
        <f t="shared" ref="I15:I22" si="9">E15/(E15+G15)</f>
        <v>0.78161397670549082</v>
      </c>
      <c r="J15">
        <f t="shared" ref="J15:J47" si="10">((((E15)^2*H15)+((G15)^2*F15))/(E15+G15)^4)</f>
        <v>8.0152250904136062E-3</v>
      </c>
      <c r="K15" s="13">
        <f>D15/I15</f>
        <v>3904.7408195848857</v>
      </c>
      <c r="L15" s="1">
        <f>(D15^2)*J15*(1/(I15^4))</f>
        <v>200039.3867927817</v>
      </c>
      <c r="M15">
        <f t="shared" si="3"/>
        <v>447.25762910517437</v>
      </c>
      <c r="N15" s="1">
        <f t="shared" si="4"/>
        <v>876.62495304614174</v>
      </c>
      <c r="O15" s="24">
        <f t="shared" si="0"/>
        <v>852.74081958488568</v>
      </c>
      <c r="P15" s="1">
        <f t="shared" si="5"/>
        <v>200039.3867927817</v>
      </c>
      <c r="Q15">
        <f t="shared" si="6"/>
        <v>447.25762910517437</v>
      </c>
      <c r="R15" s="1">
        <f t="shared" si="7"/>
        <v>876.62495304614174</v>
      </c>
    </row>
    <row r="16" spans="1:25" hidden="1" x14ac:dyDescent="0.3">
      <c r="A16" t="s">
        <v>81</v>
      </c>
      <c r="B16">
        <v>2012</v>
      </c>
      <c r="C16" t="s">
        <v>45</v>
      </c>
      <c r="D16" s="13">
        <v>3025</v>
      </c>
      <c r="E16" s="1">
        <v>1969</v>
      </c>
      <c r="F16" s="1">
        <v>185157.30107707661</v>
      </c>
      <c r="G16" s="1">
        <v>723</v>
      </c>
      <c r="H16" s="1">
        <v>85784.507591591391</v>
      </c>
      <c r="I16">
        <f t="shared" si="9"/>
        <v>0.73142644873699847</v>
      </c>
      <c r="J16">
        <f t="shared" si="10"/>
        <v>8.1758282431056983E-3</v>
      </c>
      <c r="K16" s="13">
        <f t="shared" si="2"/>
        <v>4135.7541899441339</v>
      </c>
      <c r="L16" s="1">
        <f t="shared" ref="L16:L38" si="11">(D16^2)*J16*(1/(I16^4))</f>
        <v>261396.56419933448</v>
      </c>
      <c r="M16">
        <f t="shared" si="3"/>
        <v>511.26956118992109</v>
      </c>
      <c r="N16" s="1">
        <f t="shared" si="4"/>
        <v>1002.0883399322453</v>
      </c>
      <c r="O16" s="24">
        <f t="shared" si="0"/>
        <v>1110.7541899441339</v>
      </c>
      <c r="P16" s="1">
        <f t="shared" si="5"/>
        <v>261396.56419933448</v>
      </c>
      <c r="Q16">
        <f t="shared" si="6"/>
        <v>511.26956118992109</v>
      </c>
      <c r="R16" s="1">
        <f t="shared" si="7"/>
        <v>1002.0883399322453</v>
      </c>
    </row>
    <row r="17" spans="1:18" hidden="1" x14ac:dyDescent="0.3">
      <c r="A17" t="s">
        <v>81</v>
      </c>
      <c r="B17">
        <v>2013</v>
      </c>
      <c r="C17" t="s">
        <v>45</v>
      </c>
      <c r="D17" s="13">
        <v>2487</v>
      </c>
      <c r="E17" s="1">
        <v>3854</v>
      </c>
      <c r="F17" s="1">
        <v>627331.7504664677</v>
      </c>
      <c r="G17" s="1">
        <v>1133</v>
      </c>
      <c r="H17" s="1">
        <v>248295.11999599624</v>
      </c>
      <c r="I17">
        <f t="shared" si="9"/>
        <v>0.77280930419089633</v>
      </c>
      <c r="J17">
        <f t="shared" si="10"/>
        <v>7.2645447191123412E-3</v>
      </c>
      <c r="K17" s="13">
        <f t="shared" si="2"/>
        <v>3218.128956927867</v>
      </c>
      <c r="L17" s="1">
        <f t="shared" si="11"/>
        <v>125971.00775365347</v>
      </c>
      <c r="M17">
        <f t="shared" si="3"/>
        <v>354.92394643592797</v>
      </c>
      <c r="N17" s="1">
        <f t="shared" si="4"/>
        <v>695.65093501441879</v>
      </c>
      <c r="O17" s="24">
        <f t="shared" si="0"/>
        <v>731.12895692786697</v>
      </c>
      <c r="P17" s="1">
        <f t="shared" si="5"/>
        <v>125971.00775365347</v>
      </c>
      <c r="Q17">
        <f t="shared" si="6"/>
        <v>354.92394643592797</v>
      </c>
      <c r="R17" s="1">
        <f t="shared" si="7"/>
        <v>695.65093501441879</v>
      </c>
    </row>
    <row r="18" spans="1:18" hidden="1" x14ac:dyDescent="0.3">
      <c r="A18" t="s">
        <v>81</v>
      </c>
      <c r="B18">
        <v>2014</v>
      </c>
      <c r="C18" t="s">
        <v>45</v>
      </c>
      <c r="D18" s="13">
        <v>2843</v>
      </c>
      <c r="E18" s="1">
        <v>2246</v>
      </c>
      <c r="F18" s="1">
        <v>393472.21569970029</v>
      </c>
      <c r="G18" s="1">
        <v>975</v>
      </c>
      <c r="H18" s="1">
        <v>93653.113317317213</v>
      </c>
      <c r="I18">
        <f t="shared" si="9"/>
        <v>0.69729897547345543</v>
      </c>
      <c r="J18">
        <f t="shared" si="10"/>
        <v>7.8641785972626051E-3</v>
      </c>
      <c r="K18" s="13">
        <f t="shared" si="2"/>
        <v>4077.1607301869994</v>
      </c>
      <c r="L18" s="1">
        <f t="shared" si="11"/>
        <v>268862.96198516607</v>
      </c>
      <c r="M18">
        <f t="shared" si="3"/>
        <v>518.51997260005908</v>
      </c>
      <c r="N18" s="1">
        <f t="shared" si="4"/>
        <v>1016.2991462961157</v>
      </c>
      <c r="O18" s="24">
        <f t="shared" si="0"/>
        <v>1234.1607301869994</v>
      </c>
      <c r="P18" s="1">
        <f t="shared" si="5"/>
        <v>268862.96198516607</v>
      </c>
      <c r="Q18">
        <f t="shared" si="6"/>
        <v>518.51997260005908</v>
      </c>
      <c r="R18" s="1">
        <f t="shared" si="7"/>
        <v>1016.2991462961157</v>
      </c>
    </row>
    <row r="19" spans="1:18" hidden="1" x14ac:dyDescent="0.3">
      <c r="A19" t="s">
        <v>81</v>
      </c>
      <c r="B19">
        <v>2015</v>
      </c>
      <c r="C19" t="s">
        <v>45</v>
      </c>
      <c r="D19" s="13">
        <v>3919</v>
      </c>
      <c r="E19" s="1">
        <v>2803</v>
      </c>
      <c r="F19" s="1">
        <v>433491.106097096</v>
      </c>
      <c r="G19" s="1">
        <v>1242</v>
      </c>
      <c r="H19" s="1">
        <v>465044.89507107087</v>
      </c>
      <c r="I19">
        <f t="shared" si="9"/>
        <v>0.6929542645241038</v>
      </c>
      <c r="J19">
        <f t="shared" si="10"/>
        <v>1.6145687661791763E-2</v>
      </c>
      <c r="K19" s="13">
        <f t="shared" si="2"/>
        <v>5655.4958972529439</v>
      </c>
      <c r="L19" s="1">
        <f t="shared" si="11"/>
        <v>1075446.4405794584</v>
      </c>
      <c r="M19">
        <f t="shared" si="3"/>
        <v>1037.0373380835708</v>
      </c>
      <c r="N19" s="1">
        <f t="shared" si="4"/>
        <v>2032.5931826437989</v>
      </c>
      <c r="O19" s="24">
        <f t="shared" si="0"/>
        <v>1736.4958972529439</v>
      </c>
      <c r="P19" s="1">
        <f t="shared" si="5"/>
        <v>1075446.4405794584</v>
      </c>
      <c r="Q19">
        <f t="shared" si="6"/>
        <v>1037.0373380835708</v>
      </c>
      <c r="R19" s="1">
        <f t="shared" si="7"/>
        <v>2032.5931826437989</v>
      </c>
    </row>
    <row r="20" spans="1:18" hidden="1" x14ac:dyDescent="0.3">
      <c r="A20" t="s">
        <v>81</v>
      </c>
      <c r="B20">
        <v>2016</v>
      </c>
      <c r="C20" t="s">
        <v>45</v>
      </c>
      <c r="D20" s="13">
        <v>5287</v>
      </c>
      <c r="E20" s="1">
        <v>5009</v>
      </c>
      <c r="F20" s="1">
        <v>1202196.1427988084</v>
      </c>
      <c r="G20" s="1">
        <v>443</v>
      </c>
      <c r="H20" s="1">
        <v>47759.630349349238</v>
      </c>
      <c r="I20">
        <f t="shared" si="9"/>
        <v>0.91874541452677916</v>
      </c>
      <c r="J20">
        <f t="shared" si="10"/>
        <v>1.6232792193491376E-3</v>
      </c>
      <c r="K20" s="13">
        <f t="shared" si="2"/>
        <v>5754.5865442204031</v>
      </c>
      <c r="L20" s="1">
        <f t="shared" si="11"/>
        <v>63684.114088437818</v>
      </c>
      <c r="M20">
        <f t="shared" si="3"/>
        <v>252.35711618347088</v>
      </c>
      <c r="N20" s="1">
        <f t="shared" si="4"/>
        <v>494.61994771960292</v>
      </c>
      <c r="O20" s="24">
        <f t="shared" si="0"/>
        <v>467.58654422040308</v>
      </c>
      <c r="P20" s="1">
        <f t="shared" si="5"/>
        <v>63684.114088437818</v>
      </c>
      <c r="Q20">
        <f t="shared" si="6"/>
        <v>252.35711618347088</v>
      </c>
      <c r="R20" s="1">
        <f t="shared" si="7"/>
        <v>494.61994771960292</v>
      </c>
    </row>
    <row r="21" spans="1:18" hidden="1" x14ac:dyDescent="0.3">
      <c r="A21" t="s">
        <v>81</v>
      </c>
      <c r="B21">
        <v>2017</v>
      </c>
      <c r="C21" t="s">
        <v>45</v>
      </c>
      <c r="D21" s="13">
        <v>4756</v>
      </c>
      <c r="E21" s="1">
        <v>4033</v>
      </c>
      <c r="F21" s="1">
        <v>807947.31687587558</v>
      </c>
      <c r="G21" s="1">
        <v>456</v>
      </c>
      <c r="H21" s="1">
        <v>54145.819915915832</v>
      </c>
      <c r="I21">
        <f t="shared" si="9"/>
        <v>0.89841835598128761</v>
      </c>
      <c r="J21">
        <f t="shared" si="10"/>
        <v>2.5825446622649933E-3</v>
      </c>
      <c r="K21" s="13">
        <f t="shared" si="2"/>
        <v>5293.7475824448302</v>
      </c>
      <c r="L21" s="1">
        <f t="shared" si="11"/>
        <v>89663.784684390819</v>
      </c>
      <c r="M21">
        <f t="shared" si="3"/>
        <v>299.43911682408969</v>
      </c>
      <c r="N21" s="1">
        <f t="shared" si="4"/>
        <v>586.90066897521581</v>
      </c>
      <c r="O21" s="24">
        <f t="shared" si="0"/>
        <v>537.74758244483019</v>
      </c>
      <c r="P21" s="1">
        <f t="shared" si="5"/>
        <v>89663.784684390819</v>
      </c>
      <c r="Q21">
        <f t="shared" si="6"/>
        <v>299.43911682408969</v>
      </c>
      <c r="R21" s="1">
        <f t="shared" si="7"/>
        <v>586.90066897521581</v>
      </c>
    </row>
    <row r="22" spans="1:18" hidden="1" x14ac:dyDescent="0.3">
      <c r="A22" t="s">
        <v>81</v>
      </c>
      <c r="B22">
        <v>2018</v>
      </c>
      <c r="C22" t="s">
        <v>45</v>
      </c>
      <c r="D22" s="13">
        <v>5694</v>
      </c>
      <c r="E22" s="1">
        <v>4452</v>
      </c>
      <c r="F22" s="1">
        <v>1148849.8470910951</v>
      </c>
      <c r="G22" s="1">
        <v>1170</v>
      </c>
      <c r="H22" s="1">
        <v>172680.33109509546</v>
      </c>
      <c r="I22">
        <f t="shared" si="9"/>
        <v>0.79188900747065105</v>
      </c>
      <c r="J22">
        <f t="shared" si="10"/>
        <v>5.0002618950352462E-3</v>
      </c>
      <c r="K22" s="13">
        <f t="shared" si="2"/>
        <v>7190.4016172506736</v>
      </c>
      <c r="L22" s="1">
        <f t="shared" si="11"/>
        <v>412259.26032139536</v>
      </c>
      <c r="M22">
        <f t="shared" si="3"/>
        <v>642.07418599519735</v>
      </c>
      <c r="N22" s="1">
        <f t="shared" si="4"/>
        <v>1258.4654045505868</v>
      </c>
      <c r="O22" s="24">
        <f t="shared" si="0"/>
        <v>1496.4016172506736</v>
      </c>
      <c r="P22" s="1">
        <f t="shared" si="5"/>
        <v>412259.26032139536</v>
      </c>
      <c r="Q22">
        <f t="shared" si="6"/>
        <v>642.07418599519735</v>
      </c>
      <c r="R22" s="1">
        <f t="shared" si="7"/>
        <v>1258.4654045505868</v>
      </c>
    </row>
    <row r="23" spans="1:18" hidden="1" x14ac:dyDescent="0.3">
      <c r="A23" t="s">
        <v>81</v>
      </c>
      <c r="B23">
        <v>2019</v>
      </c>
      <c r="C23" t="s">
        <v>45</v>
      </c>
      <c r="D23" s="13">
        <v>6782</v>
      </c>
      <c r="E23" s="1">
        <v>4471</v>
      </c>
      <c r="F23" s="1">
        <v>1079051.1470470487</v>
      </c>
      <c r="G23" s="1">
        <v>2924</v>
      </c>
      <c r="H23" s="1">
        <v>1085782.9156346328</v>
      </c>
      <c r="I23">
        <f>E23/(E23+G23)</f>
        <v>0.60459770114942524</v>
      </c>
      <c r="J23" s="25">
        <f>((((E23)^2*H23)+((G23)^2*F23))/(E23+G23)^4)</f>
        <v>1.0342631375073253E-2</v>
      </c>
      <c r="K23" s="13">
        <f>D23/I23</f>
        <v>11217.376425855515</v>
      </c>
      <c r="L23" s="1">
        <f>(D23^2)*J23*(1/(I23^4))</f>
        <v>3560251.2769631236</v>
      </c>
      <c r="M23">
        <f>SQRT(L23)</f>
        <v>1886.8628134984069</v>
      </c>
      <c r="N23" s="1">
        <f t="shared" si="4"/>
        <v>3698.2511144568775</v>
      </c>
      <c r="O23" s="24">
        <f t="shared" si="0"/>
        <v>4435.3764258555148</v>
      </c>
      <c r="P23" s="1">
        <f>L23</f>
        <v>3560251.2769631236</v>
      </c>
      <c r="Q23">
        <f>SQRT(P23)</f>
        <v>1886.8628134984069</v>
      </c>
      <c r="R23" s="1">
        <f>(1.96*Q23)</f>
        <v>3698.2511144568775</v>
      </c>
    </row>
    <row r="24" spans="1:18" hidden="1" x14ac:dyDescent="0.3">
      <c r="A24" t="s">
        <v>81</v>
      </c>
      <c r="B24">
        <v>2020</v>
      </c>
      <c r="C24" t="s">
        <v>45</v>
      </c>
      <c r="D24" s="13">
        <v>5835</v>
      </c>
      <c r="E24" s="1">
        <v>3343</v>
      </c>
      <c r="F24" s="1">
        <v>430086.30718318297</v>
      </c>
      <c r="G24" s="1">
        <v>1004</v>
      </c>
      <c r="H24" s="1">
        <v>146546.27703603628</v>
      </c>
      <c r="I24">
        <f t="shared" ref="I24:I26" si="12">E24/(E24+G24)</f>
        <v>0.76903611686220386</v>
      </c>
      <c r="J24">
        <f t="shared" ref="J24:J26" si="13">((((E24)^2*H24)+((G24)^2*F24))/(E24+G24)^4)</f>
        <v>5.800708114528228E-3</v>
      </c>
      <c r="K24" s="13">
        <f>D24/I24</f>
        <v>7587.4199820520489</v>
      </c>
      <c r="L24" s="1">
        <f t="shared" ref="L24:L26" si="14">(D24^2)*J24*(1/(I24^4))</f>
        <v>564645.39156800637</v>
      </c>
      <c r="M24">
        <f t="shared" ref="M24:M26" si="15">SQRT(L24)</f>
        <v>751.42889987543492</v>
      </c>
      <c r="N24" s="1">
        <f t="shared" ref="N24" si="16">(1.96*M24)</f>
        <v>1472.8006437558524</v>
      </c>
      <c r="O24" s="24">
        <f t="shared" ref="O24:O26" si="17">K24-D24</f>
        <v>1752.4199820520489</v>
      </c>
      <c r="P24" s="1">
        <f t="shared" ref="P24:P26" si="18">L24</f>
        <v>564645.39156800637</v>
      </c>
      <c r="Q24">
        <f t="shared" ref="Q24:Q26" si="19">SQRT(P24)</f>
        <v>751.42889987543492</v>
      </c>
      <c r="R24" s="1">
        <f t="shared" ref="R24:R26" si="20">(1.96*Q24)</f>
        <v>1472.8006437558524</v>
      </c>
    </row>
    <row r="25" spans="1:18" hidden="1" x14ac:dyDescent="0.3">
      <c r="A25" t="s">
        <v>81</v>
      </c>
      <c r="B25">
        <v>2021</v>
      </c>
      <c r="C25" t="s">
        <v>45</v>
      </c>
      <c r="D25" s="13">
        <v>9007</v>
      </c>
      <c r="E25" s="1">
        <v>8516</v>
      </c>
      <c r="F25" s="1">
        <v>2362897.2666416327</v>
      </c>
      <c r="G25" s="1">
        <v>1330</v>
      </c>
      <c r="H25" s="1">
        <v>243454.78281381403</v>
      </c>
      <c r="I25">
        <f t="shared" si="12"/>
        <v>0.86491976437131834</v>
      </c>
      <c r="J25">
        <f t="shared" si="13"/>
        <v>2.3234117604804612E-3</v>
      </c>
      <c r="K25" s="13">
        <f>D25/I25</f>
        <v>10413.682714889619</v>
      </c>
      <c r="L25" s="1">
        <f t="shared" si="14"/>
        <v>336808.63980312884</v>
      </c>
      <c r="M25">
        <f t="shared" si="15"/>
        <v>580.35216877610515</v>
      </c>
      <c r="N25" s="1">
        <f t="shared" si="4"/>
        <v>1137.490250801166</v>
      </c>
      <c r="O25" s="24">
        <f t="shared" si="17"/>
        <v>1406.6827148896191</v>
      </c>
      <c r="P25" s="1">
        <f t="shared" si="18"/>
        <v>336808.63980312884</v>
      </c>
      <c r="Q25">
        <f t="shared" si="19"/>
        <v>580.35216877610515</v>
      </c>
      <c r="R25" s="1">
        <f t="shared" si="20"/>
        <v>1137.490250801166</v>
      </c>
    </row>
    <row r="26" spans="1:18" s="51" customFormat="1" hidden="1" x14ac:dyDescent="0.3">
      <c r="A26" s="51" t="s">
        <v>81</v>
      </c>
      <c r="B26" s="51">
        <v>2022</v>
      </c>
      <c r="C26" s="51" t="s">
        <v>45</v>
      </c>
      <c r="D26" s="71">
        <v>9241</v>
      </c>
      <c r="E26" s="84">
        <v>6339</v>
      </c>
      <c r="F26" s="84">
        <f>1211^2</f>
        <v>1466521</v>
      </c>
      <c r="G26" s="84">
        <v>2420</v>
      </c>
      <c r="H26" s="84">
        <f>861^2</f>
        <v>741321</v>
      </c>
      <c r="I26" s="51">
        <f t="shared" si="12"/>
        <v>0.72371275259732848</v>
      </c>
      <c r="J26">
        <f t="shared" si="13"/>
        <v>6.5200759365410454E-3</v>
      </c>
      <c r="K26" s="71">
        <f>D26/I26</f>
        <v>12768.878214229373</v>
      </c>
      <c r="L26" s="1">
        <f t="shared" si="14"/>
        <v>2029671.2150868119</v>
      </c>
      <c r="M26">
        <f t="shared" si="15"/>
        <v>1424.6652993200937</v>
      </c>
      <c r="N26" s="1">
        <f t="shared" si="4"/>
        <v>2792.3439866673834</v>
      </c>
      <c r="O26" s="73">
        <f t="shared" si="17"/>
        <v>3527.878214229373</v>
      </c>
      <c r="P26" s="1">
        <f t="shared" si="18"/>
        <v>2029671.2150868119</v>
      </c>
      <c r="Q26">
        <f t="shared" si="19"/>
        <v>1424.6652993200937</v>
      </c>
      <c r="R26" s="1">
        <f t="shared" si="20"/>
        <v>2792.3439866673834</v>
      </c>
    </row>
    <row r="27" spans="1:18" hidden="1" x14ac:dyDescent="0.3">
      <c r="A27" t="s">
        <v>81</v>
      </c>
      <c r="B27">
        <v>1998</v>
      </c>
      <c r="C27" t="s">
        <v>54</v>
      </c>
      <c r="D27" s="13">
        <v>148</v>
      </c>
      <c r="E27" s="1"/>
      <c r="F27" s="1"/>
      <c r="G27" s="1"/>
      <c r="H27" s="1"/>
      <c r="I27" s="21">
        <f>AVERAGE(I$40:I$47)</f>
        <v>0.77614261709683463</v>
      </c>
      <c r="J27" s="21">
        <v>1.128359283133713E-2</v>
      </c>
      <c r="K27" s="13">
        <f t="shared" si="2"/>
        <v>190.68660416251171</v>
      </c>
      <c r="L27" s="1">
        <f>(D27^2)*J27*(1/(I27^4))</f>
        <v>681.09032990436276</v>
      </c>
      <c r="M27">
        <f t="shared" si="3"/>
        <v>26.097707368739552</v>
      </c>
      <c r="N27" s="40">
        <f t="shared" si="4"/>
        <v>51.15150644272952</v>
      </c>
      <c r="O27" s="24">
        <f t="shared" si="0"/>
        <v>42.686604162511713</v>
      </c>
      <c r="P27" s="1">
        <f t="shared" si="5"/>
        <v>681.09032990436276</v>
      </c>
      <c r="Q27">
        <f t="shared" si="6"/>
        <v>26.097707368739552</v>
      </c>
      <c r="R27" s="1">
        <f t="shared" si="7"/>
        <v>51.15150644272952</v>
      </c>
    </row>
    <row r="28" spans="1:18" hidden="1" x14ac:dyDescent="0.3">
      <c r="A28" t="s">
        <v>81</v>
      </c>
      <c r="B28">
        <v>1999</v>
      </c>
      <c r="C28" t="s">
        <v>54</v>
      </c>
      <c r="D28" s="13">
        <v>228</v>
      </c>
      <c r="E28" s="1"/>
      <c r="F28" s="1"/>
      <c r="G28" s="1"/>
      <c r="H28" s="1"/>
      <c r="I28" s="21">
        <f>I$27</f>
        <v>0.77614261709683463</v>
      </c>
      <c r="J28" s="21">
        <v>1.128359283133713E-2</v>
      </c>
      <c r="K28" s="13">
        <f t="shared" si="2"/>
        <v>293.76044425035587</v>
      </c>
      <c r="L28" s="1">
        <f t="shared" si="11"/>
        <v>1616.4079487649926</v>
      </c>
      <c r="M28">
        <f t="shared" si="3"/>
        <v>40.204576216706883</v>
      </c>
      <c r="N28" s="40">
        <f t="shared" si="4"/>
        <v>78.800969384745486</v>
      </c>
      <c r="O28" s="24">
        <f t="shared" si="0"/>
        <v>65.760444250355874</v>
      </c>
      <c r="P28" s="1">
        <f t="shared" si="5"/>
        <v>1616.4079487649926</v>
      </c>
      <c r="Q28">
        <f t="shared" si="6"/>
        <v>40.204576216706883</v>
      </c>
      <c r="R28" s="1">
        <f t="shared" si="7"/>
        <v>78.800969384745486</v>
      </c>
    </row>
    <row r="29" spans="1:18" hidden="1" x14ac:dyDescent="0.3">
      <c r="A29" t="s">
        <v>81</v>
      </c>
      <c r="B29">
        <v>2000</v>
      </c>
      <c r="C29" t="s">
        <v>54</v>
      </c>
      <c r="D29" s="13">
        <v>386</v>
      </c>
      <c r="E29" s="1"/>
      <c r="F29" s="1"/>
      <c r="G29" s="1"/>
      <c r="H29" s="1"/>
      <c r="I29" s="21">
        <f t="shared" ref="I29:I38" si="21">I$27</f>
        <v>0.77614261709683463</v>
      </c>
      <c r="J29" s="21">
        <v>1.128359283133713E-2</v>
      </c>
      <c r="K29" s="13">
        <f t="shared" si="2"/>
        <v>497.33127842384812</v>
      </c>
      <c r="L29" s="1">
        <f t="shared" si="11"/>
        <v>4632.9316469334572</v>
      </c>
      <c r="M29">
        <f t="shared" si="3"/>
        <v>68.06564219144235</v>
      </c>
      <c r="N29" s="40">
        <f t="shared" si="4"/>
        <v>133.40865869522702</v>
      </c>
      <c r="O29" s="24">
        <f t="shared" si="0"/>
        <v>111.33127842384812</v>
      </c>
      <c r="P29" s="1">
        <f t="shared" si="5"/>
        <v>4632.9316469334572</v>
      </c>
      <c r="Q29">
        <f t="shared" si="6"/>
        <v>68.06564219144235</v>
      </c>
      <c r="R29" s="1">
        <f t="shared" si="7"/>
        <v>133.40865869522702</v>
      </c>
    </row>
    <row r="30" spans="1:18" hidden="1" x14ac:dyDescent="0.3">
      <c r="A30" t="s">
        <v>81</v>
      </c>
      <c r="B30">
        <v>2001</v>
      </c>
      <c r="C30" t="s">
        <v>54</v>
      </c>
      <c r="D30" s="13">
        <v>1182</v>
      </c>
      <c r="E30" s="1"/>
      <c r="F30" s="1"/>
      <c r="G30" s="1"/>
      <c r="H30" s="1"/>
      <c r="I30" s="21">
        <f t="shared" si="21"/>
        <v>0.77614261709683463</v>
      </c>
      <c r="J30" s="21">
        <v>1.128359283133713E-2</v>
      </c>
      <c r="K30" s="13">
        <f t="shared" si="2"/>
        <v>1522.9159872978976</v>
      </c>
      <c r="L30" s="1">
        <f t="shared" si="11"/>
        <v>43442.642717188777</v>
      </c>
      <c r="M30">
        <f t="shared" si="3"/>
        <v>208.42898722871723</v>
      </c>
      <c r="N30" s="40">
        <f t="shared" si="4"/>
        <v>408.52081496828578</v>
      </c>
      <c r="O30" s="24">
        <f t="shared" si="0"/>
        <v>340.91598729789757</v>
      </c>
      <c r="P30" s="1">
        <f t="shared" si="5"/>
        <v>43442.642717188777</v>
      </c>
      <c r="Q30">
        <f t="shared" si="6"/>
        <v>208.42898722871723</v>
      </c>
      <c r="R30" s="1">
        <f t="shared" si="7"/>
        <v>408.52081496828578</v>
      </c>
    </row>
    <row r="31" spans="1:18" hidden="1" x14ac:dyDescent="0.3">
      <c r="A31" t="s">
        <v>81</v>
      </c>
      <c r="B31">
        <v>2002</v>
      </c>
      <c r="C31" t="s">
        <v>54</v>
      </c>
      <c r="D31" s="13">
        <v>880</v>
      </c>
      <c r="E31" s="1"/>
      <c r="F31" s="1"/>
      <c r="G31" s="1"/>
      <c r="H31" s="1"/>
      <c r="I31" s="21">
        <f t="shared" si="21"/>
        <v>0.77614261709683463</v>
      </c>
      <c r="J31" s="21">
        <v>1.128359283133713E-2</v>
      </c>
      <c r="K31" s="13">
        <f t="shared" si="2"/>
        <v>1133.8122409662858</v>
      </c>
      <c r="L31" s="1">
        <f t="shared" si="11"/>
        <v>24079.453591943871</v>
      </c>
      <c r="M31">
        <f t="shared" si="3"/>
        <v>155.1755573276406</v>
      </c>
      <c r="N31" s="40">
        <f t="shared" si="4"/>
        <v>304.14409236217557</v>
      </c>
      <c r="O31" s="24">
        <f t="shared" si="0"/>
        <v>253.8122409662858</v>
      </c>
      <c r="P31" s="1">
        <f t="shared" si="5"/>
        <v>24079.453591943871</v>
      </c>
      <c r="Q31">
        <f t="shared" si="6"/>
        <v>155.1755573276406</v>
      </c>
      <c r="R31" s="1">
        <f t="shared" si="7"/>
        <v>304.14409236217557</v>
      </c>
    </row>
    <row r="32" spans="1:18" hidden="1" x14ac:dyDescent="0.3">
      <c r="A32" t="s">
        <v>81</v>
      </c>
      <c r="B32">
        <v>2003</v>
      </c>
      <c r="C32" t="s">
        <v>54</v>
      </c>
      <c r="D32" s="13">
        <v>1107</v>
      </c>
      <c r="E32" s="1"/>
      <c r="F32" s="1"/>
      <c r="G32" s="1"/>
      <c r="H32" s="1"/>
      <c r="I32" s="21">
        <f t="shared" si="21"/>
        <v>0.77614261709683463</v>
      </c>
      <c r="J32" s="21">
        <v>1.128359283133713E-2</v>
      </c>
      <c r="K32" s="13">
        <f t="shared" si="2"/>
        <v>1426.2842622155438</v>
      </c>
      <c r="L32" s="1">
        <f t="shared" si="11"/>
        <v>38104.522630157575</v>
      </c>
      <c r="M32">
        <f t="shared" si="3"/>
        <v>195.20379768374789</v>
      </c>
      <c r="N32" s="40">
        <f t="shared" si="4"/>
        <v>382.59944346014589</v>
      </c>
      <c r="O32" s="24">
        <f t="shared" si="0"/>
        <v>319.28426221554378</v>
      </c>
      <c r="P32" s="1">
        <f t="shared" si="5"/>
        <v>38104.522630157575</v>
      </c>
      <c r="Q32">
        <f t="shared" si="6"/>
        <v>195.20379768374789</v>
      </c>
      <c r="R32" s="1">
        <f t="shared" si="7"/>
        <v>382.59944346014589</v>
      </c>
    </row>
    <row r="33" spans="1:18" hidden="1" x14ac:dyDescent="0.3">
      <c r="A33" t="s">
        <v>81</v>
      </c>
      <c r="B33">
        <v>2004</v>
      </c>
      <c r="C33" t="s">
        <v>54</v>
      </c>
      <c r="D33" s="13">
        <v>810</v>
      </c>
      <c r="E33" s="1"/>
      <c r="F33" s="1"/>
      <c r="G33" s="1"/>
      <c r="H33" s="1"/>
      <c r="I33" s="21">
        <f t="shared" si="21"/>
        <v>0.77614261709683463</v>
      </c>
      <c r="J33" s="21">
        <v>1.128359283133713E-2</v>
      </c>
      <c r="K33" s="13">
        <f t="shared" si="2"/>
        <v>1043.6226308894222</v>
      </c>
      <c r="L33" s="1">
        <f t="shared" si="11"/>
        <v>20400.993674682817</v>
      </c>
      <c r="M33">
        <f t="shared" si="3"/>
        <v>142.83204708566919</v>
      </c>
      <c r="N33" s="40">
        <f t="shared" si="4"/>
        <v>279.95081228791162</v>
      </c>
      <c r="O33" s="24">
        <f t="shared" si="0"/>
        <v>233.62263088942223</v>
      </c>
      <c r="P33" s="1">
        <f t="shared" si="5"/>
        <v>20400.993674682817</v>
      </c>
      <c r="Q33">
        <f t="shared" si="6"/>
        <v>142.83204708566919</v>
      </c>
      <c r="R33" s="1">
        <f t="shared" si="7"/>
        <v>279.95081228791162</v>
      </c>
    </row>
    <row r="34" spans="1:18" hidden="1" x14ac:dyDescent="0.3">
      <c r="A34" t="s">
        <v>81</v>
      </c>
      <c r="B34">
        <v>2005</v>
      </c>
      <c r="C34" t="s">
        <v>54</v>
      </c>
      <c r="D34" s="13">
        <v>1266</v>
      </c>
      <c r="E34" s="1"/>
      <c r="F34" s="1"/>
      <c r="G34" s="1"/>
      <c r="H34" s="1"/>
      <c r="I34" s="21">
        <f t="shared" si="21"/>
        <v>0.77614261709683463</v>
      </c>
      <c r="J34" s="21">
        <v>1.128359283133713E-2</v>
      </c>
      <c r="K34" s="13">
        <f t="shared" si="2"/>
        <v>1631.1435193901339</v>
      </c>
      <c r="L34" s="1">
        <f t="shared" si="11"/>
        <v>49836.633162719001</v>
      </c>
      <c r="M34">
        <f t="shared" si="3"/>
        <v>223.24119951908295</v>
      </c>
      <c r="N34" s="40">
        <f t="shared" si="4"/>
        <v>437.55275105740259</v>
      </c>
      <c r="O34" s="24">
        <f t="shared" si="0"/>
        <v>365.14351939013386</v>
      </c>
      <c r="P34" s="1">
        <f t="shared" si="5"/>
        <v>49836.633162719001</v>
      </c>
      <c r="Q34">
        <f t="shared" si="6"/>
        <v>223.24119951908295</v>
      </c>
      <c r="R34" s="1">
        <f t="shared" si="7"/>
        <v>437.55275105740259</v>
      </c>
    </row>
    <row r="35" spans="1:18" hidden="1" x14ac:dyDescent="0.3">
      <c r="A35" t="s">
        <v>81</v>
      </c>
      <c r="B35">
        <v>2006</v>
      </c>
      <c r="C35" t="s">
        <v>54</v>
      </c>
      <c r="D35" s="13">
        <v>737</v>
      </c>
      <c r="E35" s="1"/>
      <c r="F35" s="1"/>
      <c r="G35" s="1"/>
      <c r="H35" s="1"/>
      <c r="I35" s="21">
        <f t="shared" si="21"/>
        <v>0.77614261709683463</v>
      </c>
      <c r="J35" s="21">
        <v>1.128359283133713E-2</v>
      </c>
      <c r="K35" s="13">
        <f t="shared" si="2"/>
        <v>949.56775180926445</v>
      </c>
      <c r="L35" s="1">
        <f t="shared" si="11"/>
        <v>16889.47924597438</v>
      </c>
      <c r="M35">
        <f t="shared" si="3"/>
        <v>129.95952926189898</v>
      </c>
      <c r="N35" s="40">
        <f t="shared" si="4"/>
        <v>254.720677353322</v>
      </c>
      <c r="O35" s="24">
        <f t="shared" si="0"/>
        <v>212.56775180926445</v>
      </c>
      <c r="P35" s="1">
        <f t="shared" si="5"/>
        <v>16889.47924597438</v>
      </c>
      <c r="Q35">
        <f t="shared" si="6"/>
        <v>129.95952926189898</v>
      </c>
      <c r="R35" s="1">
        <f t="shared" si="7"/>
        <v>254.720677353322</v>
      </c>
    </row>
    <row r="36" spans="1:18" hidden="1" x14ac:dyDescent="0.3">
      <c r="A36" t="s">
        <v>81</v>
      </c>
      <c r="B36">
        <v>2007</v>
      </c>
      <c r="C36" t="s">
        <v>54</v>
      </c>
      <c r="D36" s="13">
        <v>1645</v>
      </c>
      <c r="E36" s="1"/>
      <c r="F36" s="1"/>
      <c r="G36" s="1"/>
      <c r="H36" s="1"/>
      <c r="I36" s="21">
        <f t="shared" si="21"/>
        <v>0.77614261709683463</v>
      </c>
      <c r="J36" s="21">
        <v>1.128359283133713E-2</v>
      </c>
      <c r="K36" s="13">
        <f t="shared" si="2"/>
        <v>2119.4558368062958</v>
      </c>
      <c r="L36" s="1">
        <f t="shared" si="11"/>
        <v>84142.049852969925</v>
      </c>
      <c r="M36">
        <f t="shared" si="3"/>
        <v>290.07249068632814</v>
      </c>
      <c r="N36" s="40">
        <f t="shared" si="4"/>
        <v>568.54208174520318</v>
      </c>
      <c r="O36" s="24">
        <f t="shared" si="0"/>
        <v>474.45583680629579</v>
      </c>
      <c r="P36" s="1">
        <f t="shared" si="5"/>
        <v>84142.049852969925</v>
      </c>
      <c r="Q36">
        <f t="shared" si="6"/>
        <v>290.07249068632814</v>
      </c>
      <c r="R36" s="1">
        <f t="shared" si="7"/>
        <v>568.54208174520318</v>
      </c>
    </row>
    <row r="37" spans="1:18" hidden="1" x14ac:dyDescent="0.3">
      <c r="A37" t="s">
        <v>81</v>
      </c>
      <c r="B37">
        <v>2008</v>
      </c>
      <c r="C37" t="s">
        <v>54</v>
      </c>
      <c r="D37" s="13">
        <v>1196</v>
      </c>
      <c r="E37" s="1"/>
      <c r="F37" s="1"/>
      <c r="G37" s="1"/>
      <c r="H37" s="1"/>
      <c r="I37" s="21">
        <f t="shared" si="21"/>
        <v>0.77614261709683463</v>
      </c>
      <c r="J37" s="21">
        <v>1.128359283133713E-2</v>
      </c>
      <c r="K37" s="13">
        <f t="shared" si="2"/>
        <v>1540.9539093132703</v>
      </c>
      <c r="L37" s="1">
        <f t="shared" si="11"/>
        <v>44477.835342425082</v>
      </c>
      <c r="M37">
        <f t="shared" si="3"/>
        <v>210.89768927711154</v>
      </c>
      <c r="N37" s="40">
        <f t="shared" si="4"/>
        <v>413.35947098313864</v>
      </c>
      <c r="O37" s="24">
        <f t="shared" si="0"/>
        <v>344.95390931327029</v>
      </c>
      <c r="P37" s="1">
        <f t="shared" si="5"/>
        <v>44477.835342425082</v>
      </c>
      <c r="Q37">
        <f t="shared" si="6"/>
        <v>210.89768927711154</v>
      </c>
      <c r="R37" s="1">
        <f t="shared" si="7"/>
        <v>413.35947098313864</v>
      </c>
    </row>
    <row r="38" spans="1:18" hidden="1" x14ac:dyDescent="0.3">
      <c r="A38" t="s">
        <v>81</v>
      </c>
      <c r="B38">
        <v>2009</v>
      </c>
      <c r="C38" t="s">
        <v>54</v>
      </c>
      <c r="D38" s="13">
        <v>1849</v>
      </c>
      <c r="E38" s="1"/>
      <c r="F38" s="1"/>
      <c r="G38" s="1"/>
      <c r="H38" s="1"/>
      <c r="I38" s="21">
        <f t="shared" si="21"/>
        <v>0.77614261709683463</v>
      </c>
      <c r="J38" s="21">
        <v>1.128359283133713E-2</v>
      </c>
      <c r="K38" s="13">
        <f t="shared" si="2"/>
        <v>2382.2941290302983</v>
      </c>
      <c r="L38" s="1">
        <f t="shared" si="11"/>
        <v>106305.34609967883</v>
      </c>
      <c r="M38">
        <f t="shared" si="3"/>
        <v>326.04500624864482</v>
      </c>
      <c r="N38" s="40">
        <f t="shared" si="4"/>
        <v>639.04821224734383</v>
      </c>
      <c r="O38" s="24">
        <f t="shared" si="0"/>
        <v>533.29412903029834</v>
      </c>
      <c r="P38" s="1">
        <f t="shared" si="5"/>
        <v>106305.34609967883</v>
      </c>
      <c r="Q38">
        <f t="shared" si="6"/>
        <v>326.04500624864482</v>
      </c>
      <c r="R38" s="1">
        <f t="shared" si="7"/>
        <v>639.04821224734383</v>
      </c>
    </row>
    <row r="39" spans="1:18" hidden="1" x14ac:dyDescent="0.3">
      <c r="A39" t="s">
        <v>81</v>
      </c>
      <c r="B39">
        <v>2010</v>
      </c>
      <c r="C39" t="s">
        <v>54</v>
      </c>
      <c r="D39" s="13">
        <v>1266</v>
      </c>
      <c r="E39" s="1"/>
      <c r="F39" s="1"/>
      <c r="G39" s="1"/>
      <c r="H39" s="1"/>
      <c r="I39" s="21">
        <f>I$27</f>
        <v>0.77614261709683463</v>
      </c>
      <c r="J39" s="21">
        <v>1.128359283133713E-2</v>
      </c>
      <c r="K39" s="13">
        <f t="shared" si="2"/>
        <v>1631.1435193901339</v>
      </c>
      <c r="L39" s="1">
        <f t="shared" ref="L39:L47" si="22">(D39^2)*J39*(1/(I39^4))</f>
        <v>49836.633162719001</v>
      </c>
      <c r="M39">
        <f t="shared" si="3"/>
        <v>223.24119951908295</v>
      </c>
      <c r="N39" s="40">
        <f t="shared" si="4"/>
        <v>437.55275105740259</v>
      </c>
      <c r="O39" s="24">
        <f t="shared" si="0"/>
        <v>365.14351939013386</v>
      </c>
      <c r="P39" s="1">
        <f t="shared" si="5"/>
        <v>49836.633162719001</v>
      </c>
      <c r="Q39">
        <f t="shared" si="6"/>
        <v>223.24119951908295</v>
      </c>
      <c r="R39" s="1">
        <f t="shared" si="7"/>
        <v>437.55275105740259</v>
      </c>
    </row>
    <row r="40" spans="1:18" hidden="1" x14ac:dyDescent="0.3">
      <c r="A40" t="s">
        <v>81</v>
      </c>
      <c r="B40">
        <v>2011</v>
      </c>
      <c r="C40" t="s">
        <v>54</v>
      </c>
      <c r="D40" s="13">
        <v>1366</v>
      </c>
      <c r="E40" s="1">
        <v>991</v>
      </c>
      <c r="F40" s="1">
        <v>93606.430714714777</v>
      </c>
      <c r="G40" s="11">
        <v>233</v>
      </c>
      <c r="H40" s="1">
        <v>21914.576320320331</v>
      </c>
      <c r="I40">
        <f t="shared" ref="I40:I47" si="23">E40/(E40+G40)</f>
        <v>0.809640522875817</v>
      </c>
      <c r="J40">
        <f>((((E40)^2*H40)+((G40)^2*F40))/(E40+G40)^4)</f>
        <v>1.185266974203926E-2</v>
      </c>
      <c r="K40" s="13">
        <f t="shared" si="2"/>
        <v>1687.1685166498487</v>
      </c>
      <c r="L40" s="1">
        <f t="shared" si="22"/>
        <v>51469.344301835146</v>
      </c>
      <c r="M40">
        <f t="shared" ref="M40:M46" si="24">SQRT(L40)</f>
        <v>226.86856173087347</v>
      </c>
      <c r="N40" s="1">
        <f t="shared" si="4"/>
        <v>444.662380992512</v>
      </c>
      <c r="O40" s="24">
        <f t="shared" si="0"/>
        <v>321.1685166498487</v>
      </c>
      <c r="P40" s="1">
        <f t="shared" si="5"/>
        <v>51469.344301835146</v>
      </c>
      <c r="Q40">
        <f t="shared" si="6"/>
        <v>226.86856173087347</v>
      </c>
      <c r="R40" s="1">
        <f t="shared" si="7"/>
        <v>444.662380992512</v>
      </c>
    </row>
    <row r="41" spans="1:18" hidden="1" x14ac:dyDescent="0.3">
      <c r="A41" t="s">
        <v>81</v>
      </c>
      <c r="B41">
        <v>2012</v>
      </c>
      <c r="C41" t="s">
        <v>54</v>
      </c>
      <c r="D41" s="13">
        <v>1747</v>
      </c>
      <c r="E41" s="1">
        <v>612</v>
      </c>
      <c r="F41" s="1">
        <v>37368.602801802022</v>
      </c>
      <c r="G41" s="11">
        <v>394</v>
      </c>
      <c r="H41" s="1">
        <v>35156.844808808622</v>
      </c>
      <c r="I41">
        <f t="shared" si="23"/>
        <v>0.60834990059642147</v>
      </c>
      <c r="J41">
        <f t="shared" si="10"/>
        <v>1.8520235654515379E-2</v>
      </c>
      <c r="K41" s="13">
        <f t="shared" si="2"/>
        <v>2871.7026143790849</v>
      </c>
      <c r="L41" s="1">
        <f t="shared" si="22"/>
        <v>412684.87548151758</v>
      </c>
      <c r="M41">
        <f t="shared" si="24"/>
        <v>642.40553817780676</v>
      </c>
      <c r="N41" s="1">
        <f t="shared" si="4"/>
        <v>1259.1148548285012</v>
      </c>
      <c r="O41" s="24">
        <f t="shared" si="0"/>
        <v>1124.7026143790849</v>
      </c>
      <c r="P41" s="1">
        <f t="shared" si="5"/>
        <v>412684.87548151758</v>
      </c>
      <c r="Q41">
        <f t="shared" si="6"/>
        <v>642.40553817780676</v>
      </c>
      <c r="R41" s="1">
        <f t="shared" si="7"/>
        <v>1259.1148548285012</v>
      </c>
    </row>
    <row r="42" spans="1:18" hidden="1" x14ac:dyDescent="0.3">
      <c r="A42" t="s">
        <v>81</v>
      </c>
      <c r="B42">
        <v>2013</v>
      </c>
      <c r="C42" t="s">
        <v>54</v>
      </c>
      <c r="D42" s="13">
        <v>1983</v>
      </c>
      <c r="E42" s="1">
        <v>2072</v>
      </c>
      <c r="F42" s="1">
        <v>290813.90840440401</v>
      </c>
      <c r="G42" s="11">
        <v>420</v>
      </c>
      <c r="H42" s="1">
        <v>63870.855879880037</v>
      </c>
      <c r="I42">
        <f t="shared" si="23"/>
        <v>0.8314606741573034</v>
      </c>
      <c r="J42">
        <f t="shared" si="10"/>
        <v>8.4405496488616713E-3</v>
      </c>
      <c r="K42" s="13">
        <f t="shared" si="2"/>
        <v>2384.9594594594591</v>
      </c>
      <c r="L42" s="1">
        <f t="shared" si="22"/>
        <v>69446.330827502126</v>
      </c>
      <c r="M42">
        <f t="shared" si="24"/>
        <v>263.52671748326037</v>
      </c>
      <c r="N42" s="1">
        <f t="shared" si="4"/>
        <v>516.51236626719026</v>
      </c>
      <c r="O42" s="24">
        <f t="shared" si="0"/>
        <v>401.95945945945914</v>
      </c>
      <c r="P42" s="1">
        <f t="shared" si="5"/>
        <v>69446.330827502126</v>
      </c>
      <c r="Q42">
        <f t="shared" si="6"/>
        <v>263.52671748326037</v>
      </c>
      <c r="R42" s="1">
        <f t="shared" si="7"/>
        <v>516.51236626719026</v>
      </c>
    </row>
    <row r="43" spans="1:18" hidden="1" x14ac:dyDescent="0.3">
      <c r="A43" t="s">
        <v>81</v>
      </c>
      <c r="B43">
        <v>2014</v>
      </c>
      <c r="C43" t="s">
        <v>54</v>
      </c>
      <c r="D43" s="13">
        <v>2396</v>
      </c>
      <c r="E43" s="1">
        <v>2239</v>
      </c>
      <c r="F43" s="1">
        <v>356324.55903003004</v>
      </c>
      <c r="G43" s="11">
        <v>754</v>
      </c>
      <c r="H43" s="1">
        <v>173290.73473473437</v>
      </c>
      <c r="I43">
        <f t="shared" si="23"/>
        <v>0.74807885065152024</v>
      </c>
      <c r="J43">
        <f t="shared" si="10"/>
        <v>1.3350136644000693E-2</v>
      </c>
      <c r="K43" s="13">
        <f t="shared" si="2"/>
        <v>3202.8709245198747</v>
      </c>
      <c r="L43" s="1">
        <f t="shared" si="22"/>
        <v>244720.20702808804</v>
      </c>
      <c r="M43">
        <f t="shared" si="24"/>
        <v>494.69203250920469</v>
      </c>
      <c r="N43" s="1">
        <f t="shared" si="4"/>
        <v>969.59638371804124</v>
      </c>
      <c r="O43" s="24">
        <f t="shared" si="0"/>
        <v>806.87092451987473</v>
      </c>
      <c r="P43" s="1">
        <f t="shared" si="5"/>
        <v>244720.20702808804</v>
      </c>
      <c r="Q43">
        <f t="shared" si="6"/>
        <v>494.69203250920469</v>
      </c>
      <c r="R43" s="1">
        <f t="shared" si="7"/>
        <v>969.59638371804124</v>
      </c>
    </row>
    <row r="44" spans="1:18" hidden="1" x14ac:dyDescent="0.3">
      <c r="A44" t="s">
        <v>81</v>
      </c>
      <c r="B44">
        <v>2015</v>
      </c>
      <c r="C44" t="s">
        <v>54</v>
      </c>
      <c r="D44" s="13">
        <v>2031</v>
      </c>
      <c r="E44" s="1">
        <v>1753</v>
      </c>
      <c r="F44" s="1">
        <v>589204.68546046084</v>
      </c>
      <c r="G44" s="11">
        <v>798</v>
      </c>
      <c r="H44" s="1">
        <v>376855.00260160118</v>
      </c>
      <c r="I44">
        <f t="shared" si="23"/>
        <v>0.68718149745197965</v>
      </c>
      <c r="J44">
        <f t="shared" si="10"/>
        <v>3.6206082645008374E-2</v>
      </c>
      <c r="K44" s="13">
        <f t="shared" si="2"/>
        <v>2955.5510553337135</v>
      </c>
      <c r="L44" s="1">
        <f t="shared" si="22"/>
        <v>669754.36895301775</v>
      </c>
      <c r="M44">
        <f t="shared" si="24"/>
        <v>818.38522039013981</v>
      </c>
      <c r="N44" s="1">
        <f t="shared" si="4"/>
        <v>1604.0350319646741</v>
      </c>
      <c r="O44" s="24">
        <f t="shared" si="0"/>
        <v>924.55105533371352</v>
      </c>
      <c r="P44" s="1">
        <f t="shared" si="5"/>
        <v>669754.36895301775</v>
      </c>
      <c r="Q44">
        <f t="shared" si="6"/>
        <v>818.38522039013981</v>
      </c>
      <c r="R44" s="1">
        <f t="shared" si="7"/>
        <v>1604.0350319646741</v>
      </c>
    </row>
    <row r="45" spans="1:18" hidden="1" x14ac:dyDescent="0.3">
      <c r="A45" t="s">
        <v>81</v>
      </c>
      <c r="B45">
        <v>2016</v>
      </c>
      <c r="C45" t="s">
        <v>54</v>
      </c>
      <c r="D45" s="13">
        <v>3337</v>
      </c>
      <c r="E45" s="61">
        <v>5009</v>
      </c>
      <c r="F45" s="61">
        <v>1202196.1427988084</v>
      </c>
      <c r="G45" s="61">
        <v>443</v>
      </c>
      <c r="H45" s="61">
        <v>47759.630349349238</v>
      </c>
      <c r="I45">
        <f>E45/(E45+G45)</f>
        <v>0.91874541452677916</v>
      </c>
      <c r="J45">
        <f t="shared" si="10"/>
        <v>1.6232792193491376E-3</v>
      </c>
      <c r="K45" s="13">
        <f t="shared" si="2"/>
        <v>3632.1269714513874</v>
      </c>
      <c r="L45" s="1">
        <f t="shared" si="22"/>
        <v>25370.25919469192</v>
      </c>
      <c r="M45">
        <f t="shared" si="24"/>
        <v>159.28044197167435</v>
      </c>
      <c r="N45" s="1">
        <f t="shared" si="4"/>
        <v>312.18966626448173</v>
      </c>
      <c r="O45" s="24">
        <f t="shared" si="0"/>
        <v>295.12697145138736</v>
      </c>
      <c r="P45" s="1">
        <f t="shared" si="5"/>
        <v>25370.25919469192</v>
      </c>
      <c r="Q45">
        <f t="shared" si="6"/>
        <v>159.28044197167435</v>
      </c>
      <c r="R45" s="1">
        <f t="shared" si="7"/>
        <v>312.18966626448173</v>
      </c>
    </row>
    <row r="46" spans="1:18" hidden="1" x14ac:dyDescent="0.3">
      <c r="A46" t="s">
        <v>81</v>
      </c>
      <c r="B46">
        <v>2017</v>
      </c>
      <c r="C46" t="s">
        <v>54</v>
      </c>
      <c r="D46" s="13">
        <v>2899</v>
      </c>
      <c r="E46" s="1">
        <v>2144</v>
      </c>
      <c r="F46" s="1">
        <v>280432.76311411388</v>
      </c>
      <c r="G46" s="11">
        <v>738</v>
      </c>
      <c r="H46" s="1">
        <v>153491.03426526548</v>
      </c>
      <c r="I46">
        <f t="shared" si="23"/>
        <v>0.7439278278972935</v>
      </c>
      <c r="J46">
        <f>((((E46)^2*H46)+((G46)^2*F46))/(E46+G46)^4)</f>
        <v>1.2441136690885117E-2</v>
      </c>
      <c r="K46" s="13">
        <f t="shared" si="2"/>
        <v>3896.8833955223881</v>
      </c>
      <c r="L46" s="1">
        <f t="shared" si="22"/>
        <v>341376.2270959196</v>
      </c>
      <c r="M46">
        <f t="shared" si="24"/>
        <v>584.27410270858286</v>
      </c>
      <c r="N46" s="1">
        <f t="shared" si="4"/>
        <v>1145.1772413088224</v>
      </c>
      <c r="O46" s="24">
        <f t="shared" si="0"/>
        <v>997.88339552238813</v>
      </c>
      <c r="P46" s="1">
        <f t="shared" si="5"/>
        <v>341376.2270959196</v>
      </c>
      <c r="Q46">
        <f t="shared" si="6"/>
        <v>584.27410270858286</v>
      </c>
      <c r="R46" s="1">
        <f t="shared" si="7"/>
        <v>1145.1772413088224</v>
      </c>
    </row>
    <row r="47" spans="1:18" hidden="1" x14ac:dyDescent="0.3">
      <c r="A47" t="s">
        <v>81</v>
      </c>
      <c r="B47">
        <v>2018</v>
      </c>
      <c r="C47" t="s">
        <v>54</v>
      </c>
      <c r="D47" s="13">
        <v>4291</v>
      </c>
      <c r="E47" s="1">
        <v>3896</v>
      </c>
      <c r="F47" s="1">
        <v>1060621.9609919984</v>
      </c>
      <c r="G47" s="11">
        <v>625</v>
      </c>
      <c r="H47" s="1">
        <v>118540.05008908936</v>
      </c>
      <c r="I47">
        <f t="shared" si="23"/>
        <v>0.8617562486175625</v>
      </c>
      <c r="J47">
        <f t="shared" si="10"/>
        <v>5.2986071211619818E-3</v>
      </c>
      <c r="K47" s="13">
        <f t="shared" si="2"/>
        <v>4979.3662731006161</v>
      </c>
      <c r="L47" s="1">
        <f t="shared" si="22"/>
        <v>176905.35655507445</v>
      </c>
      <c r="M47">
        <f t="shared" si="3"/>
        <v>420.60118468101638</v>
      </c>
      <c r="N47" s="1">
        <f t="shared" si="4"/>
        <v>824.37832197479213</v>
      </c>
      <c r="O47" s="24">
        <f t="shared" si="0"/>
        <v>688.36627310061613</v>
      </c>
      <c r="P47" s="1">
        <f t="shared" si="5"/>
        <v>176905.35655507445</v>
      </c>
      <c r="Q47">
        <f t="shared" si="6"/>
        <v>420.60118468101638</v>
      </c>
      <c r="R47" s="1">
        <f t="shared" si="7"/>
        <v>824.37832197479213</v>
      </c>
    </row>
    <row r="48" spans="1:18" hidden="1" x14ac:dyDescent="0.3">
      <c r="A48" t="s">
        <v>81</v>
      </c>
      <c r="B48">
        <v>2019</v>
      </c>
      <c r="C48" t="s">
        <v>54</v>
      </c>
      <c r="D48" s="13">
        <v>6954</v>
      </c>
      <c r="E48" s="61">
        <v>4471</v>
      </c>
      <c r="F48" s="61">
        <v>1079051.1470470487</v>
      </c>
      <c r="G48" s="61">
        <v>2924</v>
      </c>
      <c r="H48" s="61">
        <v>1085782.9156346328</v>
      </c>
      <c r="I48">
        <f>E48/(E48+G48)</f>
        <v>0.60459770114942524</v>
      </c>
      <c r="J48">
        <f>((((E48)^2*H48)+((G48)^2*F48))/(E48+G48)^4)</f>
        <v>1.0342631375073253E-2</v>
      </c>
      <c r="K48" s="13">
        <f t="shared" si="2"/>
        <v>11501.863117870724</v>
      </c>
      <c r="L48" s="1">
        <f>(D48^2)*J48*(1/(I48^4))</f>
        <v>3743126.0537553802</v>
      </c>
      <c r="M48">
        <f t="shared" si="3"/>
        <v>1934.7160137227841</v>
      </c>
      <c r="N48" s="1">
        <f t="shared" si="4"/>
        <v>3792.0433868966566</v>
      </c>
      <c r="O48" s="24">
        <f t="shared" si="0"/>
        <v>4547.8631178707237</v>
      </c>
      <c r="P48" s="1">
        <f>L48</f>
        <v>3743126.0537553802</v>
      </c>
      <c r="Q48">
        <f>SQRT(P48)</f>
        <v>1934.7160137227841</v>
      </c>
      <c r="R48" s="1">
        <f>(1.96*Q48)</f>
        <v>3792.0433868966566</v>
      </c>
    </row>
    <row r="49" spans="1:18" hidden="1" x14ac:dyDescent="0.3">
      <c r="A49" t="s">
        <v>81</v>
      </c>
      <c r="B49">
        <v>2020</v>
      </c>
      <c r="C49" t="s">
        <v>54</v>
      </c>
      <c r="D49" s="13">
        <v>4035</v>
      </c>
      <c r="E49" s="1">
        <v>2289</v>
      </c>
      <c r="F49" s="1">
        <v>233242.22538938923</v>
      </c>
      <c r="G49" s="54">
        <v>433</v>
      </c>
      <c r="H49" s="40">
        <v>38585.891791791895</v>
      </c>
      <c r="I49">
        <f t="shared" ref="I49:I50" si="25">E49/(E49+G49)</f>
        <v>0.84092578986039679</v>
      </c>
      <c r="J49">
        <f>((((E49)^2*H49)+((G49)^2*F49))/(E49+G49)^4)</f>
        <v>4.4792930362266871E-3</v>
      </c>
      <c r="K49" s="13">
        <f t="shared" ref="K49:K50" si="26">D49/I49</f>
        <v>4798.2830930537348</v>
      </c>
      <c r="L49" s="1">
        <f t="shared" ref="L49:L50" si="27">(D49^2)*J49*(1/(I49^4))</f>
        <v>145836.37674785985</v>
      </c>
      <c r="M49">
        <f t="shared" si="3"/>
        <v>381.88529265717978</v>
      </c>
      <c r="N49" s="1">
        <f t="shared" ref="N49:N50" si="28">(1.96*M49)</f>
        <v>748.49517360807238</v>
      </c>
      <c r="O49" s="24">
        <f t="shared" ref="O49:O50" si="29">K49-D49</f>
        <v>763.28309305373477</v>
      </c>
      <c r="P49" s="1">
        <f t="shared" ref="P49:P50" si="30">L49</f>
        <v>145836.37674785985</v>
      </c>
      <c r="Q49">
        <f t="shared" ref="Q49:Q50" si="31">SQRT(P49)</f>
        <v>381.88529265717978</v>
      </c>
      <c r="R49" s="1">
        <f t="shared" ref="R49:R50" si="32">(1.96*Q49)</f>
        <v>748.49517360807238</v>
      </c>
    </row>
    <row r="50" spans="1:18" hidden="1" x14ac:dyDescent="0.3">
      <c r="A50" t="s">
        <v>81</v>
      </c>
      <c r="B50">
        <v>2021</v>
      </c>
      <c r="C50" t="s">
        <v>54</v>
      </c>
      <c r="D50" s="13">
        <v>7924</v>
      </c>
      <c r="E50" s="61">
        <v>8516</v>
      </c>
      <c r="F50" s="61">
        <v>2362897.2666416327</v>
      </c>
      <c r="G50" s="61">
        <v>1330</v>
      </c>
      <c r="H50" s="61">
        <v>243454.78281381403</v>
      </c>
      <c r="I50">
        <f t="shared" si="25"/>
        <v>0.86491976437131834</v>
      </c>
      <c r="J50">
        <f>((((E50)^2*H50)+((G50)^2*F50))/(E50+G50)^4)</f>
        <v>2.3234117604804612E-3</v>
      </c>
      <c r="K50" s="13">
        <f t="shared" si="26"/>
        <v>9161.5434476279934</v>
      </c>
      <c r="L50" s="1">
        <f t="shared" si="27"/>
        <v>260682.47263099358</v>
      </c>
      <c r="M50">
        <f t="shared" si="3"/>
        <v>510.57073225067808</v>
      </c>
      <c r="N50" s="1">
        <f t="shared" si="28"/>
        <v>1000.718635211329</v>
      </c>
      <c r="O50" s="24">
        <f t="shared" si="29"/>
        <v>1237.5434476279934</v>
      </c>
      <c r="P50" s="1">
        <f t="shared" si="30"/>
        <v>260682.47263099358</v>
      </c>
      <c r="Q50">
        <f t="shared" si="31"/>
        <v>510.57073225067808</v>
      </c>
      <c r="R50" s="1">
        <f t="shared" si="32"/>
        <v>1000.718635211329</v>
      </c>
    </row>
    <row r="51" spans="1:18" s="51" customFormat="1" hidden="1" x14ac:dyDescent="0.3">
      <c r="A51" s="51" t="s">
        <v>81</v>
      </c>
      <c r="B51" s="51">
        <v>2022</v>
      </c>
      <c r="C51" s="51" t="s">
        <v>54</v>
      </c>
      <c r="D51" s="71">
        <v>11146</v>
      </c>
      <c r="E51" s="84">
        <v>5960</v>
      </c>
      <c r="F51" s="84">
        <f>1640^2</f>
        <v>2689600</v>
      </c>
      <c r="G51" s="84">
        <f>G26</f>
        <v>2420</v>
      </c>
      <c r="H51" s="84">
        <f>H26</f>
        <v>741321</v>
      </c>
      <c r="I51">
        <f t="shared" ref="I51" si="33">E51/(E51+G51)</f>
        <v>0.71121718377088305</v>
      </c>
      <c r="J51">
        <f>((((E51)^2*H51)+((G51)^2*F51))/(E51+G51)^4)</f>
        <v>8.5338271501860068E-3</v>
      </c>
      <c r="K51" s="13">
        <f t="shared" ref="K51" si="34">D51/I51</f>
        <v>15671.724832214764</v>
      </c>
      <c r="L51" s="1">
        <f t="shared" ref="L51" si="35">(D51^2)*J51*(1/(I51^4))</f>
        <v>4143553.5425617779</v>
      </c>
      <c r="M51">
        <f t="shared" ref="M51" si="36">SQRT(L51)</f>
        <v>2035.5720430782542</v>
      </c>
      <c r="N51" s="1">
        <f t="shared" ref="N51" si="37">(1.96*M51)</f>
        <v>3989.7212044333783</v>
      </c>
      <c r="O51" s="24">
        <f t="shared" ref="O51" si="38">K51-D51</f>
        <v>4525.7248322147643</v>
      </c>
      <c r="P51" s="1">
        <f t="shared" ref="P51" si="39">L51</f>
        <v>4143553.5425617779</v>
      </c>
      <c r="Q51">
        <f t="shared" ref="Q51" si="40">SQRT(P51)</f>
        <v>2035.5720430782542</v>
      </c>
      <c r="R51" s="1">
        <f t="shared" ref="R51" si="41">(1.96*Q51)</f>
        <v>3989.7212044333783</v>
      </c>
    </row>
    <row r="52" spans="1:18" hidden="1" x14ac:dyDescent="0.3">
      <c r="A52" t="s">
        <v>81</v>
      </c>
      <c r="B52">
        <v>1998</v>
      </c>
      <c r="C52" t="s">
        <v>82</v>
      </c>
      <c r="D52" s="13">
        <v>27</v>
      </c>
      <c r="E52" s="1"/>
      <c r="F52" s="1"/>
      <c r="G52" s="1"/>
      <c r="H52" s="1"/>
      <c r="I52" s="21">
        <f>AVERAGE(I65:I72)</f>
        <v>0.77316263942598185</v>
      </c>
      <c r="J52" s="21">
        <v>1.128359283133713E-2</v>
      </c>
      <c r="K52" s="13">
        <f>D52/I52</f>
        <v>34.921501147605341</v>
      </c>
      <c r="L52" s="1">
        <f t="shared" ref="L52:L64" si="42">(D52^2)*J52*(1/(I52^4))</f>
        <v>23.019267226088481</v>
      </c>
      <c r="M52">
        <f t="shared" si="3"/>
        <v>4.7978398499833732</v>
      </c>
      <c r="N52" s="1">
        <f t="shared" si="4"/>
        <v>9.4037661059674118</v>
      </c>
      <c r="O52" s="24">
        <f t="shared" si="0"/>
        <v>7.9215011476053405</v>
      </c>
      <c r="P52" s="1">
        <f t="shared" si="5"/>
        <v>23.019267226088481</v>
      </c>
      <c r="Q52">
        <f t="shared" si="6"/>
        <v>4.7978398499833732</v>
      </c>
      <c r="R52" s="1">
        <f t="shared" si="7"/>
        <v>9.4037661059674118</v>
      </c>
    </row>
    <row r="53" spans="1:18" hidden="1" x14ac:dyDescent="0.3">
      <c r="A53" t="s">
        <v>81</v>
      </c>
      <c r="B53">
        <v>1999</v>
      </c>
      <c r="C53" t="s">
        <v>82</v>
      </c>
      <c r="D53" s="13">
        <v>88</v>
      </c>
      <c r="E53" s="1"/>
      <c r="F53" s="1"/>
      <c r="G53" s="1"/>
      <c r="H53" s="1"/>
      <c r="I53" s="21">
        <f>I$52</f>
        <v>0.77316263942598185</v>
      </c>
      <c r="J53" s="21">
        <f>J$52</f>
        <v>1.128359283133713E-2</v>
      </c>
      <c r="K53" s="13">
        <f>D53/I53</f>
        <v>113.81822596256556</v>
      </c>
      <c r="L53" s="1">
        <f t="shared" si="42"/>
        <v>244.52840246752979</v>
      </c>
      <c r="M53">
        <f t="shared" si="3"/>
        <v>15.637403955501366</v>
      </c>
      <c r="N53" s="1">
        <f t="shared" si="4"/>
        <v>30.649311752782676</v>
      </c>
      <c r="O53" s="24">
        <f t="shared" ref="O53:O128" si="43">K53-D53</f>
        <v>25.818225962565563</v>
      </c>
      <c r="P53" s="1">
        <f t="shared" si="5"/>
        <v>244.52840246752979</v>
      </c>
      <c r="Q53">
        <f t="shared" si="6"/>
        <v>15.637403955501366</v>
      </c>
      <c r="R53" s="1">
        <f t="shared" si="7"/>
        <v>30.649311752782676</v>
      </c>
    </row>
    <row r="54" spans="1:18" hidden="1" x14ac:dyDescent="0.3">
      <c r="A54" t="s">
        <v>81</v>
      </c>
      <c r="B54">
        <v>2000</v>
      </c>
      <c r="C54" t="s">
        <v>82</v>
      </c>
      <c r="D54" s="13">
        <v>65</v>
      </c>
      <c r="E54" s="1"/>
      <c r="F54" s="1"/>
      <c r="G54" s="1"/>
      <c r="H54" s="1"/>
      <c r="I54" s="21">
        <f t="shared" ref="I54:J64" si="44">I$52</f>
        <v>0.77316263942598185</v>
      </c>
      <c r="J54" s="21">
        <f t="shared" si="44"/>
        <v>1.128359283133713E-2</v>
      </c>
      <c r="K54" s="13">
        <f t="shared" ref="K54:K123" si="45">D54/I54</f>
        <v>84.070280540531371</v>
      </c>
      <c r="L54" s="1">
        <f t="shared" si="42"/>
        <v>133.41070511690512</v>
      </c>
      <c r="M54">
        <f t="shared" si="3"/>
        <v>11.550355194404418</v>
      </c>
      <c r="N54" s="1">
        <f t="shared" si="4"/>
        <v>22.638696181032657</v>
      </c>
      <c r="O54" s="24">
        <f t="shared" si="43"/>
        <v>19.070280540531371</v>
      </c>
      <c r="P54" s="1">
        <f t="shared" ref="P54:P122" si="46">L54</f>
        <v>133.41070511690512</v>
      </c>
      <c r="Q54">
        <f t="shared" ref="Q54:Q122" si="47">SQRT(P54)</f>
        <v>11.550355194404418</v>
      </c>
      <c r="R54" s="1">
        <f t="shared" ref="R54:R122" si="48">(1.96*Q54)</f>
        <v>22.638696181032657</v>
      </c>
    </row>
    <row r="55" spans="1:18" hidden="1" x14ac:dyDescent="0.3">
      <c r="A55" t="s">
        <v>81</v>
      </c>
      <c r="B55">
        <v>2001</v>
      </c>
      <c r="C55" t="s">
        <v>82</v>
      </c>
      <c r="D55" s="13">
        <v>27</v>
      </c>
      <c r="E55" s="1"/>
      <c r="F55" s="1"/>
      <c r="G55" s="1"/>
      <c r="H55" s="1"/>
      <c r="I55" s="21">
        <f t="shared" si="44"/>
        <v>0.77316263942598185</v>
      </c>
      <c r="J55" s="21">
        <f t="shared" si="44"/>
        <v>1.128359283133713E-2</v>
      </c>
      <c r="K55" s="13">
        <f t="shared" si="45"/>
        <v>34.921501147605341</v>
      </c>
      <c r="L55" s="1">
        <f t="shared" si="42"/>
        <v>23.019267226088481</v>
      </c>
      <c r="M55">
        <f t="shared" si="3"/>
        <v>4.7978398499833732</v>
      </c>
      <c r="N55" s="1">
        <f t="shared" si="4"/>
        <v>9.4037661059674118</v>
      </c>
      <c r="O55" s="24">
        <f t="shared" si="43"/>
        <v>7.9215011476053405</v>
      </c>
      <c r="P55" s="1">
        <f t="shared" si="46"/>
        <v>23.019267226088481</v>
      </c>
      <c r="Q55">
        <f t="shared" si="47"/>
        <v>4.7978398499833732</v>
      </c>
      <c r="R55" s="1">
        <f t="shared" si="48"/>
        <v>9.4037661059674118</v>
      </c>
    </row>
    <row r="56" spans="1:18" hidden="1" x14ac:dyDescent="0.3">
      <c r="A56" t="s">
        <v>81</v>
      </c>
      <c r="B56">
        <v>2002</v>
      </c>
      <c r="C56" t="s">
        <v>82</v>
      </c>
      <c r="D56" s="13">
        <v>99</v>
      </c>
      <c r="E56" s="1"/>
      <c r="F56" s="1"/>
      <c r="G56" s="1"/>
      <c r="H56" s="1"/>
      <c r="I56" s="21">
        <f t="shared" si="44"/>
        <v>0.77316263942598185</v>
      </c>
      <c r="J56" s="21">
        <f t="shared" si="44"/>
        <v>1.128359283133713E-2</v>
      </c>
      <c r="K56" s="13">
        <f t="shared" si="45"/>
        <v>128.04550420788624</v>
      </c>
      <c r="L56" s="1">
        <f t="shared" si="42"/>
        <v>309.48125937296737</v>
      </c>
      <c r="M56">
        <f t="shared" si="3"/>
        <v>17.592079449939035</v>
      </c>
      <c r="N56" s="1">
        <f t="shared" si="4"/>
        <v>34.480475721880509</v>
      </c>
      <c r="O56" s="24">
        <f t="shared" si="43"/>
        <v>29.045504207886239</v>
      </c>
      <c r="P56" s="1">
        <f t="shared" si="46"/>
        <v>309.48125937296737</v>
      </c>
      <c r="Q56">
        <f t="shared" si="47"/>
        <v>17.592079449939035</v>
      </c>
      <c r="R56" s="1">
        <f t="shared" si="48"/>
        <v>34.480475721880509</v>
      </c>
    </row>
    <row r="57" spans="1:18" hidden="1" x14ac:dyDescent="0.3">
      <c r="A57" t="s">
        <v>81</v>
      </c>
      <c r="B57">
        <v>2003</v>
      </c>
      <c r="C57" t="s">
        <v>82</v>
      </c>
      <c r="D57" s="13">
        <v>144</v>
      </c>
      <c r="E57" s="1"/>
      <c r="F57" s="1"/>
      <c r="G57" s="1"/>
      <c r="H57" s="1"/>
      <c r="I57" s="21">
        <f t="shared" si="44"/>
        <v>0.77316263942598185</v>
      </c>
      <c r="J57" s="21">
        <f t="shared" si="44"/>
        <v>1.128359283133713E-2</v>
      </c>
      <c r="K57" s="13">
        <f t="shared" si="45"/>
        <v>186.24800612056183</v>
      </c>
      <c r="L57" s="1">
        <f t="shared" si="42"/>
        <v>654.77026776429454</v>
      </c>
      <c r="M57">
        <f t="shared" si="3"/>
        <v>25.588479199911326</v>
      </c>
      <c r="N57" s="1">
        <f t="shared" si="4"/>
        <v>50.153419231826199</v>
      </c>
      <c r="O57" s="24">
        <f t="shared" si="43"/>
        <v>42.248006120561826</v>
      </c>
      <c r="P57" s="1">
        <f t="shared" si="46"/>
        <v>654.77026776429454</v>
      </c>
      <c r="Q57">
        <f t="shared" si="47"/>
        <v>25.588479199911326</v>
      </c>
      <c r="R57" s="1">
        <f t="shared" si="48"/>
        <v>50.153419231826199</v>
      </c>
    </row>
    <row r="58" spans="1:18" hidden="1" x14ac:dyDescent="0.3">
      <c r="A58" t="s">
        <v>81</v>
      </c>
      <c r="B58">
        <v>2004</v>
      </c>
      <c r="C58" t="s">
        <v>82</v>
      </c>
      <c r="D58" s="13">
        <v>200</v>
      </c>
      <c r="E58" s="1"/>
      <c r="F58" s="1"/>
      <c r="G58" s="1"/>
      <c r="H58" s="1"/>
      <c r="I58" s="21">
        <f t="shared" si="44"/>
        <v>0.77316263942598185</v>
      </c>
      <c r="J58" s="21">
        <f t="shared" si="44"/>
        <v>1.128359283133713E-2</v>
      </c>
      <c r="K58" s="13">
        <f t="shared" si="45"/>
        <v>258.67778627855807</v>
      </c>
      <c r="L58" s="1">
        <f t="shared" si="42"/>
        <v>1263.059930100877</v>
      </c>
      <c r="M58">
        <f t="shared" si="3"/>
        <v>35.53955444432129</v>
      </c>
      <c r="N58" s="1">
        <f t="shared" si="4"/>
        <v>69.657526710869732</v>
      </c>
      <c r="O58" s="24">
        <f t="shared" si="43"/>
        <v>58.677786278558074</v>
      </c>
      <c r="P58" s="1">
        <f t="shared" si="46"/>
        <v>1263.059930100877</v>
      </c>
      <c r="Q58">
        <f t="shared" si="47"/>
        <v>35.53955444432129</v>
      </c>
      <c r="R58" s="1">
        <f t="shared" si="48"/>
        <v>69.657526710869732</v>
      </c>
    </row>
    <row r="59" spans="1:18" hidden="1" x14ac:dyDescent="0.3">
      <c r="A59" t="s">
        <v>81</v>
      </c>
      <c r="B59">
        <v>2005</v>
      </c>
      <c r="C59" t="s">
        <v>82</v>
      </c>
      <c r="D59" s="13">
        <v>287</v>
      </c>
      <c r="E59" s="1"/>
      <c r="F59" s="1"/>
      <c r="G59" s="1"/>
      <c r="H59" s="1"/>
      <c r="I59" s="21">
        <f t="shared" si="44"/>
        <v>0.77316263942598185</v>
      </c>
      <c r="J59" s="21">
        <f t="shared" si="44"/>
        <v>1.128359283133713E-2</v>
      </c>
      <c r="K59" s="13">
        <f t="shared" si="45"/>
        <v>371.20262330973088</v>
      </c>
      <c r="L59" s="1">
        <f t="shared" si="42"/>
        <v>2600.9245845619785</v>
      </c>
      <c r="M59">
        <f t="shared" si="3"/>
        <v>50.999260627601046</v>
      </c>
      <c r="N59" s="1">
        <f t="shared" si="4"/>
        <v>99.958550830098048</v>
      </c>
      <c r="O59" s="24">
        <f t="shared" si="43"/>
        <v>84.202623309730882</v>
      </c>
      <c r="P59" s="1">
        <f t="shared" si="46"/>
        <v>2600.9245845619785</v>
      </c>
      <c r="Q59">
        <f t="shared" si="47"/>
        <v>50.999260627601046</v>
      </c>
      <c r="R59" s="1">
        <f t="shared" si="48"/>
        <v>99.958550830098048</v>
      </c>
    </row>
    <row r="60" spans="1:18" hidden="1" x14ac:dyDescent="0.3">
      <c r="A60" t="s">
        <v>81</v>
      </c>
      <c r="B60">
        <v>2006</v>
      </c>
      <c r="C60" t="s">
        <v>82</v>
      </c>
      <c r="D60" s="13">
        <v>303</v>
      </c>
      <c r="E60" s="1"/>
      <c r="F60" s="1"/>
      <c r="G60" s="1"/>
      <c r="H60" s="1"/>
      <c r="I60" s="21">
        <f t="shared" si="44"/>
        <v>0.77316263942598185</v>
      </c>
      <c r="J60" s="21">
        <f t="shared" si="44"/>
        <v>1.128359283133713E-2</v>
      </c>
      <c r="K60" s="13">
        <f t="shared" si="45"/>
        <v>391.89684621201548</v>
      </c>
      <c r="L60" s="1">
        <f t="shared" si="42"/>
        <v>2899.0067280657854</v>
      </c>
      <c r="M60">
        <f t="shared" si="3"/>
        <v>53.842424983146749</v>
      </c>
      <c r="N60" s="1">
        <f t="shared" si="4"/>
        <v>105.53115296696762</v>
      </c>
      <c r="O60" s="24">
        <f t="shared" si="43"/>
        <v>88.896846212015475</v>
      </c>
      <c r="P60" s="1">
        <f t="shared" si="46"/>
        <v>2899.0067280657854</v>
      </c>
      <c r="Q60">
        <f t="shared" si="47"/>
        <v>53.842424983146749</v>
      </c>
      <c r="R60" s="1">
        <f t="shared" si="48"/>
        <v>105.53115296696762</v>
      </c>
    </row>
    <row r="61" spans="1:18" hidden="1" x14ac:dyDescent="0.3">
      <c r="A61" t="s">
        <v>81</v>
      </c>
      <c r="B61">
        <v>2007</v>
      </c>
      <c r="C61" t="s">
        <v>82</v>
      </c>
      <c r="D61" s="13">
        <v>1148</v>
      </c>
      <c r="E61" s="1"/>
      <c r="F61" s="1"/>
      <c r="G61" s="1"/>
      <c r="H61" s="1"/>
      <c r="I61" s="21">
        <f t="shared" si="44"/>
        <v>0.77316263942598185</v>
      </c>
      <c r="J61" s="21">
        <f t="shared" si="44"/>
        <v>1.128359283133713E-2</v>
      </c>
      <c r="K61" s="13">
        <f t="shared" si="45"/>
        <v>1484.8104932389235</v>
      </c>
      <c r="L61" s="1">
        <f t="shared" si="42"/>
        <v>41614.793352991655</v>
      </c>
      <c r="M61">
        <f t="shared" si="3"/>
        <v>203.99704251040419</v>
      </c>
      <c r="N61" s="1">
        <f t="shared" si="4"/>
        <v>399.83420332039219</v>
      </c>
      <c r="O61" s="24">
        <f t="shared" si="43"/>
        <v>336.81049323892353</v>
      </c>
      <c r="P61" s="1">
        <f t="shared" si="46"/>
        <v>41614.793352991655</v>
      </c>
      <c r="Q61">
        <f t="shared" si="47"/>
        <v>203.99704251040419</v>
      </c>
      <c r="R61" s="1">
        <f t="shared" si="48"/>
        <v>399.83420332039219</v>
      </c>
    </row>
    <row r="62" spans="1:18" hidden="1" x14ac:dyDescent="0.3">
      <c r="A62" t="s">
        <v>81</v>
      </c>
      <c r="B62">
        <v>2008</v>
      </c>
      <c r="C62" t="s">
        <v>82</v>
      </c>
      <c r="D62" s="13">
        <v>1130</v>
      </c>
      <c r="E62" s="1"/>
      <c r="F62" s="1"/>
      <c r="G62" s="1"/>
      <c r="H62" s="1"/>
      <c r="I62" s="21">
        <f t="shared" si="44"/>
        <v>0.77316263942598185</v>
      </c>
      <c r="J62" s="21">
        <f t="shared" si="44"/>
        <v>1.128359283133713E-2</v>
      </c>
      <c r="K62" s="13">
        <f t="shared" si="45"/>
        <v>1461.5294924738532</v>
      </c>
      <c r="L62" s="1">
        <f t="shared" si="42"/>
        <v>40320.030618645244</v>
      </c>
      <c r="M62">
        <f t="shared" si="3"/>
        <v>200.79848261041528</v>
      </c>
      <c r="N62" s="1">
        <f t="shared" si="4"/>
        <v>393.56502591641396</v>
      </c>
      <c r="O62" s="24">
        <f t="shared" si="43"/>
        <v>331.52949247385322</v>
      </c>
      <c r="P62" s="1">
        <f t="shared" si="46"/>
        <v>40320.030618645244</v>
      </c>
      <c r="Q62">
        <f t="shared" si="47"/>
        <v>200.79848261041528</v>
      </c>
      <c r="R62" s="1">
        <f t="shared" si="48"/>
        <v>393.56502591641396</v>
      </c>
    </row>
    <row r="63" spans="1:18" hidden="1" x14ac:dyDescent="0.3">
      <c r="A63" t="s">
        <v>81</v>
      </c>
      <c r="B63">
        <v>2009</v>
      </c>
      <c r="C63" t="s">
        <v>82</v>
      </c>
      <c r="D63" s="13">
        <v>810</v>
      </c>
      <c r="E63" s="1"/>
      <c r="F63" s="1"/>
      <c r="G63" s="1"/>
      <c r="H63" s="1"/>
      <c r="I63" s="21">
        <f t="shared" si="44"/>
        <v>0.77316263942598185</v>
      </c>
      <c r="J63" s="21">
        <f t="shared" si="44"/>
        <v>1.128359283133713E-2</v>
      </c>
      <c r="K63" s="13">
        <f t="shared" si="45"/>
        <v>1047.6450344281602</v>
      </c>
      <c r="L63" s="1">
        <f t="shared" si="42"/>
        <v>20717.340503479634</v>
      </c>
      <c r="M63">
        <f t="shared" si="3"/>
        <v>143.93519549950122</v>
      </c>
      <c r="N63" s="1">
        <f t="shared" si="4"/>
        <v>282.11298317902236</v>
      </c>
      <c r="O63" s="24">
        <f t="shared" si="43"/>
        <v>237.64503442816022</v>
      </c>
      <c r="P63" s="1">
        <f t="shared" si="46"/>
        <v>20717.340503479634</v>
      </c>
      <c r="Q63">
        <f t="shared" si="47"/>
        <v>143.93519549950122</v>
      </c>
      <c r="R63" s="1">
        <f t="shared" si="48"/>
        <v>282.11298317902236</v>
      </c>
    </row>
    <row r="64" spans="1:18" hidden="1" x14ac:dyDescent="0.3">
      <c r="A64" t="s">
        <v>81</v>
      </c>
      <c r="B64">
        <v>2010</v>
      </c>
      <c r="C64" t="s">
        <v>82</v>
      </c>
      <c r="D64" s="13">
        <v>644</v>
      </c>
      <c r="E64" s="1"/>
      <c r="F64" s="1"/>
      <c r="G64" s="1"/>
      <c r="H64" s="1"/>
      <c r="I64" s="21">
        <f t="shared" si="44"/>
        <v>0.77316263942598185</v>
      </c>
      <c r="J64" s="21">
        <f t="shared" si="44"/>
        <v>1.128359283133713E-2</v>
      </c>
      <c r="K64" s="13">
        <f t="shared" si="45"/>
        <v>832.94247181695698</v>
      </c>
      <c r="L64" s="1">
        <f t="shared" si="42"/>
        <v>13095.910579257932</v>
      </c>
      <c r="M64">
        <f t="shared" si="3"/>
        <v>114.43736531071454</v>
      </c>
      <c r="N64" s="1">
        <f t="shared" si="4"/>
        <v>224.2972360090005</v>
      </c>
      <c r="O64" s="24">
        <f t="shared" si="43"/>
        <v>188.94247181695698</v>
      </c>
      <c r="P64" s="1">
        <f t="shared" si="46"/>
        <v>13095.910579257932</v>
      </c>
      <c r="Q64">
        <f t="shared" si="47"/>
        <v>114.43736531071454</v>
      </c>
      <c r="R64" s="1">
        <f t="shared" si="48"/>
        <v>224.2972360090005</v>
      </c>
    </row>
    <row r="65" spans="1:18" hidden="1" x14ac:dyDescent="0.3">
      <c r="A65" t="s">
        <v>81</v>
      </c>
      <c r="B65">
        <v>2011</v>
      </c>
      <c r="C65" t="s">
        <v>82</v>
      </c>
      <c r="D65" s="13">
        <v>689</v>
      </c>
      <c r="E65" s="28">
        <v>991</v>
      </c>
      <c r="F65" s="28">
        <v>93606.430714714777</v>
      </c>
      <c r="G65" s="29">
        <v>233</v>
      </c>
      <c r="H65" s="28">
        <v>21914.576320320331</v>
      </c>
      <c r="I65">
        <f t="shared" ref="I65:I73" si="49">E65/(E65+G65)</f>
        <v>0.809640522875817</v>
      </c>
      <c r="J65">
        <f t="shared" ref="J65:J73" si="50">((((E65)^2*H65)+((G65)^2*F65))/(E65+G65)^4)</f>
        <v>1.185266974203926E-2</v>
      </c>
      <c r="K65" s="13">
        <f t="shared" si="45"/>
        <v>850.99495459132186</v>
      </c>
      <c r="L65" s="1">
        <f t="shared" ref="L65:L72" si="51">(D65^2)*J65*(1/(I65^4))</f>
        <v>13094.402331197241</v>
      </c>
      <c r="M65">
        <f t="shared" ref="M65:M129" si="52">SQRT(L65)</f>
        <v>114.43077528006721</v>
      </c>
      <c r="N65" s="1">
        <f t="shared" ref="N65:N129" si="53">(1.96*M65)</f>
        <v>224.28431954893173</v>
      </c>
      <c r="O65" s="24">
        <f t="shared" si="43"/>
        <v>161.99495459132186</v>
      </c>
      <c r="P65" s="1">
        <f t="shared" si="46"/>
        <v>13094.402331197241</v>
      </c>
      <c r="Q65">
        <f t="shared" si="47"/>
        <v>114.43077528006721</v>
      </c>
      <c r="R65" s="1">
        <f t="shared" si="48"/>
        <v>224.28431954893173</v>
      </c>
    </row>
    <row r="66" spans="1:18" hidden="1" x14ac:dyDescent="0.3">
      <c r="A66" t="s">
        <v>81</v>
      </c>
      <c r="B66">
        <v>2012</v>
      </c>
      <c r="C66" t="s">
        <v>82</v>
      </c>
      <c r="D66" s="13">
        <v>918</v>
      </c>
      <c r="E66" s="28">
        <v>612</v>
      </c>
      <c r="F66" s="28">
        <v>37368.602801802022</v>
      </c>
      <c r="G66" s="29">
        <v>394</v>
      </c>
      <c r="H66" s="28">
        <v>35156.844808808622</v>
      </c>
      <c r="I66">
        <f t="shared" si="49"/>
        <v>0.60834990059642147</v>
      </c>
      <c r="J66">
        <f t="shared" si="50"/>
        <v>1.8520235654515379E-2</v>
      </c>
      <c r="K66" s="13">
        <f t="shared" si="45"/>
        <v>1509</v>
      </c>
      <c r="L66" s="1">
        <f t="shared" si="51"/>
        <v>113950.9906442892</v>
      </c>
      <c r="M66">
        <f t="shared" si="52"/>
        <v>337.56627592857848</v>
      </c>
      <c r="N66" s="1">
        <f t="shared" si="53"/>
        <v>661.62990082001386</v>
      </c>
      <c r="O66" s="24">
        <f t="shared" si="43"/>
        <v>591</v>
      </c>
      <c r="P66" s="1">
        <f t="shared" si="46"/>
        <v>113950.9906442892</v>
      </c>
      <c r="Q66">
        <f t="shared" si="47"/>
        <v>337.56627592857848</v>
      </c>
      <c r="R66" s="1">
        <f t="shared" si="48"/>
        <v>661.62990082001386</v>
      </c>
    </row>
    <row r="67" spans="1:18" hidden="1" x14ac:dyDescent="0.3">
      <c r="A67" t="s">
        <v>81</v>
      </c>
      <c r="B67">
        <v>2013</v>
      </c>
      <c r="C67" t="s">
        <v>82</v>
      </c>
      <c r="D67" s="13">
        <v>1035</v>
      </c>
      <c r="E67" s="28">
        <v>2072</v>
      </c>
      <c r="F67" s="28">
        <v>290813.90840440401</v>
      </c>
      <c r="G67" s="29">
        <v>420</v>
      </c>
      <c r="H67" s="28">
        <v>63870.855879880037</v>
      </c>
      <c r="I67">
        <f t="shared" si="49"/>
        <v>0.8314606741573034</v>
      </c>
      <c r="J67">
        <f t="shared" si="50"/>
        <v>8.4405496488616713E-3</v>
      </c>
      <c r="K67" s="13">
        <f t="shared" si="45"/>
        <v>1244.7972972972973</v>
      </c>
      <c r="L67" s="1">
        <f t="shared" si="51"/>
        <v>18918.407507863983</v>
      </c>
      <c r="M67">
        <f t="shared" si="52"/>
        <v>137.54420201471228</v>
      </c>
      <c r="N67" s="1">
        <f t="shared" si="53"/>
        <v>269.58663594883609</v>
      </c>
      <c r="O67" s="24">
        <f t="shared" si="43"/>
        <v>209.79729729729729</v>
      </c>
      <c r="P67" s="1">
        <f t="shared" si="46"/>
        <v>18918.407507863983</v>
      </c>
      <c r="Q67">
        <f t="shared" si="47"/>
        <v>137.54420201471228</v>
      </c>
      <c r="R67" s="1">
        <f t="shared" si="48"/>
        <v>269.58663594883609</v>
      </c>
    </row>
    <row r="68" spans="1:18" hidden="1" x14ac:dyDescent="0.3">
      <c r="A68" t="s">
        <v>81</v>
      </c>
      <c r="B68">
        <v>2014</v>
      </c>
      <c r="C68" t="s">
        <v>82</v>
      </c>
      <c r="D68" s="13">
        <v>653</v>
      </c>
      <c r="E68" s="28">
        <v>2239</v>
      </c>
      <c r="F68" s="28">
        <v>356324.55903003004</v>
      </c>
      <c r="G68" s="29">
        <v>754</v>
      </c>
      <c r="H68" s="28">
        <v>173290.73473473437</v>
      </c>
      <c r="I68">
        <f t="shared" si="49"/>
        <v>0.74807885065152024</v>
      </c>
      <c r="J68">
        <f t="shared" si="50"/>
        <v>1.3350136644000693E-2</v>
      </c>
      <c r="K68" s="13">
        <f t="shared" si="45"/>
        <v>872.90263510495754</v>
      </c>
      <c r="L68" s="1">
        <f t="shared" si="51"/>
        <v>18177.015037346606</v>
      </c>
      <c r="M68">
        <f t="shared" si="52"/>
        <v>134.82216077984586</v>
      </c>
      <c r="N68" s="1">
        <f t="shared" si="53"/>
        <v>264.25143512849786</v>
      </c>
      <c r="O68" s="24">
        <f t="shared" si="43"/>
        <v>219.90263510495754</v>
      </c>
      <c r="P68" s="1">
        <f t="shared" si="46"/>
        <v>18177.015037346606</v>
      </c>
      <c r="Q68">
        <f t="shared" si="47"/>
        <v>134.82216077984586</v>
      </c>
      <c r="R68" s="1">
        <f t="shared" si="48"/>
        <v>264.25143512849786</v>
      </c>
    </row>
    <row r="69" spans="1:18" hidden="1" x14ac:dyDescent="0.3">
      <c r="A69" t="s">
        <v>81</v>
      </c>
      <c r="B69">
        <v>2015</v>
      </c>
      <c r="C69" t="s">
        <v>82</v>
      </c>
      <c r="D69" s="13">
        <v>619</v>
      </c>
      <c r="E69" s="28">
        <v>1753</v>
      </c>
      <c r="F69" s="28">
        <v>589204.68546046084</v>
      </c>
      <c r="G69" s="29">
        <v>798</v>
      </c>
      <c r="H69" s="28">
        <v>376855.00260160118</v>
      </c>
      <c r="I69">
        <f t="shared" si="49"/>
        <v>0.68718149745197965</v>
      </c>
      <c r="J69">
        <f t="shared" si="50"/>
        <v>3.6206082645008374E-2</v>
      </c>
      <c r="K69" s="13">
        <f t="shared" si="45"/>
        <v>900.78094694808897</v>
      </c>
      <c r="L69" s="1">
        <f t="shared" si="51"/>
        <v>62212.407283949418</v>
      </c>
      <c r="M69">
        <f t="shared" si="52"/>
        <v>249.42415136459704</v>
      </c>
      <c r="N69" s="1">
        <f t="shared" si="53"/>
        <v>488.87133667461018</v>
      </c>
      <c r="O69" s="24">
        <f t="shared" si="43"/>
        <v>281.78094694808897</v>
      </c>
      <c r="P69" s="1">
        <f t="shared" si="46"/>
        <v>62212.407283949418</v>
      </c>
      <c r="Q69">
        <f t="shared" si="47"/>
        <v>249.42415136459704</v>
      </c>
      <c r="R69" s="1">
        <f t="shared" si="48"/>
        <v>488.87133667461018</v>
      </c>
    </row>
    <row r="70" spans="1:18" hidden="1" x14ac:dyDescent="0.3">
      <c r="A70" t="s">
        <v>81</v>
      </c>
      <c r="B70">
        <v>2016</v>
      </c>
      <c r="C70" t="s">
        <v>82</v>
      </c>
      <c r="D70" s="13">
        <v>804</v>
      </c>
      <c r="E70" s="62">
        <v>2512</v>
      </c>
      <c r="F70" s="62">
        <v>737293.04611712019</v>
      </c>
      <c r="G70" s="62">
        <v>295</v>
      </c>
      <c r="H70" s="62">
        <v>32635.602066066011</v>
      </c>
      <c r="I70">
        <f t="shared" si="49"/>
        <v>0.89490559315995721</v>
      </c>
      <c r="J70">
        <f t="shared" si="50"/>
        <v>4.3506301125708254E-3</v>
      </c>
      <c r="K70" s="13">
        <f t="shared" si="45"/>
        <v>898.41878980891727</v>
      </c>
      <c r="L70" s="1">
        <f t="shared" si="51"/>
        <v>4384.8563398414108</v>
      </c>
      <c r="M70">
        <f t="shared" si="52"/>
        <v>66.218247785949544</v>
      </c>
      <c r="N70" s="1">
        <f t="shared" si="53"/>
        <v>129.7877656604611</v>
      </c>
      <c r="O70" s="24">
        <f t="shared" si="43"/>
        <v>94.418789808917268</v>
      </c>
      <c r="P70" s="1">
        <f t="shared" si="46"/>
        <v>4384.8563398414108</v>
      </c>
      <c r="Q70">
        <f t="shared" si="47"/>
        <v>66.218247785949544</v>
      </c>
      <c r="R70" s="1">
        <f t="shared" si="48"/>
        <v>129.7877656604611</v>
      </c>
    </row>
    <row r="71" spans="1:18" hidden="1" x14ac:dyDescent="0.3">
      <c r="A71" t="s">
        <v>81</v>
      </c>
      <c r="B71">
        <v>2017</v>
      </c>
      <c r="C71" t="s">
        <v>82</v>
      </c>
      <c r="D71" s="13">
        <v>666</v>
      </c>
      <c r="E71" s="28">
        <v>2144</v>
      </c>
      <c r="F71" s="28">
        <v>280432.76311411388</v>
      </c>
      <c r="G71" s="29">
        <v>738</v>
      </c>
      <c r="H71" s="28">
        <v>153491.03426526548</v>
      </c>
      <c r="I71">
        <f t="shared" si="49"/>
        <v>0.7439278278972935</v>
      </c>
      <c r="J71">
        <f t="shared" si="50"/>
        <v>1.2441136690885117E-2</v>
      </c>
      <c r="K71" s="13">
        <f t="shared" si="45"/>
        <v>895.24813432835822</v>
      </c>
      <c r="L71" s="1">
        <f t="shared" si="51"/>
        <v>18017.117128178837</v>
      </c>
      <c r="M71">
        <f t="shared" si="52"/>
        <v>134.22785526178549</v>
      </c>
      <c r="N71" s="1">
        <f t="shared" si="53"/>
        <v>263.08659631309956</v>
      </c>
      <c r="O71" s="24">
        <f t="shared" si="43"/>
        <v>229.24813432835822</v>
      </c>
      <c r="P71" s="1">
        <f t="shared" si="46"/>
        <v>18017.117128178837</v>
      </c>
      <c r="Q71">
        <f t="shared" si="47"/>
        <v>134.22785526178549</v>
      </c>
      <c r="R71" s="1">
        <f t="shared" si="48"/>
        <v>263.08659631309956</v>
      </c>
    </row>
    <row r="72" spans="1:18" hidden="1" x14ac:dyDescent="0.3">
      <c r="A72" t="s">
        <v>81</v>
      </c>
      <c r="B72">
        <v>2018</v>
      </c>
      <c r="C72" t="s">
        <v>82</v>
      </c>
      <c r="D72" s="13">
        <v>671</v>
      </c>
      <c r="E72" s="28">
        <v>3896</v>
      </c>
      <c r="F72" s="28">
        <v>1060621.9609919984</v>
      </c>
      <c r="G72" s="29">
        <v>625</v>
      </c>
      <c r="H72" s="28">
        <v>118540.05008908936</v>
      </c>
      <c r="I72">
        <f t="shared" si="49"/>
        <v>0.8617562486175625</v>
      </c>
      <c r="J72">
        <f t="shared" si="50"/>
        <v>5.2986071211619818E-3</v>
      </c>
      <c r="K72" s="13">
        <f t="shared" si="45"/>
        <v>778.64245379876797</v>
      </c>
      <c r="L72" s="1">
        <f t="shared" si="51"/>
        <v>4325.8254808581805</v>
      </c>
      <c r="M72">
        <f t="shared" si="52"/>
        <v>65.77100790514146</v>
      </c>
      <c r="N72" s="1">
        <f t="shared" si="53"/>
        <v>128.91117549407727</v>
      </c>
      <c r="O72" s="24">
        <f t="shared" si="43"/>
        <v>107.64245379876797</v>
      </c>
      <c r="P72" s="1">
        <f t="shared" si="46"/>
        <v>4325.8254808581805</v>
      </c>
      <c r="Q72">
        <f t="shared" si="47"/>
        <v>65.77100790514146</v>
      </c>
      <c r="R72" s="1">
        <f t="shared" si="48"/>
        <v>128.91117549407727</v>
      </c>
    </row>
    <row r="73" spans="1:18" hidden="1" x14ac:dyDescent="0.3">
      <c r="A73" t="s">
        <v>81</v>
      </c>
      <c r="B73">
        <v>2019</v>
      </c>
      <c r="C73" t="s">
        <v>82</v>
      </c>
      <c r="D73" s="63">
        <v>716</v>
      </c>
      <c r="E73" s="64">
        <v>1831</v>
      </c>
      <c r="F73" s="64">
        <v>541050.77915415505</v>
      </c>
      <c r="G73" s="64">
        <v>589</v>
      </c>
      <c r="H73" s="64">
        <v>145527.89294894913</v>
      </c>
      <c r="I73">
        <f t="shared" si="49"/>
        <v>0.75661157024793391</v>
      </c>
      <c r="J73">
        <f t="shared" si="50"/>
        <v>1.9698070489197521E-2</v>
      </c>
      <c r="K73" s="63">
        <f t="shared" si="45"/>
        <v>946.32441288913162</v>
      </c>
      <c r="L73" s="40">
        <f>(D73^2)*J73*(1/(I73^4))</f>
        <v>30814.691102249373</v>
      </c>
      <c r="M73">
        <f>SQRT(L73)</f>
        <v>175.5411379200026</v>
      </c>
      <c r="N73" s="40">
        <f>(1.96*M73)</f>
        <v>344.06063032320509</v>
      </c>
      <c r="O73" s="24">
        <f t="shared" si="43"/>
        <v>230.32441288913162</v>
      </c>
      <c r="P73" s="40">
        <f>L73</f>
        <v>30814.691102249373</v>
      </c>
      <c r="Q73">
        <f>SQRT(P73)</f>
        <v>175.5411379200026</v>
      </c>
      <c r="R73" s="40">
        <f>(1.96*Q73)</f>
        <v>344.06063032320509</v>
      </c>
    </row>
    <row r="74" spans="1:18" hidden="1" x14ac:dyDescent="0.3">
      <c r="A74" t="s">
        <v>81</v>
      </c>
      <c r="B74">
        <v>2020</v>
      </c>
      <c r="C74" t="s">
        <v>82</v>
      </c>
      <c r="D74" s="13">
        <v>302</v>
      </c>
      <c r="E74" s="28">
        <v>2289</v>
      </c>
      <c r="F74" s="28">
        <v>233242.22538938923</v>
      </c>
      <c r="G74" s="57">
        <v>433</v>
      </c>
      <c r="H74" s="58">
        <v>38585.891791791895</v>
      </c>
      <c r="I74">
        <f t="shared" ref="I74" si="54">E74/(E74+G74)</f>
        <v>0.84092578986039679</v>
      </c>
      <c r="J74">
        <f t="shared" ref="J74:J75" si="55">((((E74)^2*H74)+((G74)^2*F74))/(E74+G74)^4)</f>
        <v>4.4792930362266871E-3</v>
      </c>
      <c r="K74" s="13">
        <f t="shared" ref="K74:K75" si="56">D74/I74</f>
        <v>359.12800349497599</v>
      </c>
      <c r="L74" s="1">
        <f t="shared" ref="L74:L75" si="57">(D74^2)*J74*(1/(I74^4))</f>
        <v>816.94472651239755</v>
      </c>
      <c r="M74">
        <f t="shared" ref="M74:M75" si="58">SQRT(L74)</f>
        <v>28.582244952284583</v>
      </c>
      <c r="N74" s="1">
        <f t="shared" ref="N74:N75" si="59">(1.96*M74)</f>
        <v>56.021200106477778</v>
      </c>
      <c r="O74" s="24">
        <f t="shared" ref="O74:O75" si="60">K74-D74</f>
        <v>57.128003494975985</v>
      </c>
      <c r="P74" s="1">
        <f t="shared" ref="P74:P75" si="61">L74</f>
        <v>816.94472651239755</v>
      </c>
      <c r="Q74">
        <f t="shared" ref="Q74:Q75" si="62">SQRT(P74)</f>
        <v>28.582244952284583</v>
      </c>
      <c r="R74" s="1">
        <f t="shared" ref="R74:R75" si="63">(1.96*Q74)</f>
        <v>56.021200106477778</v>
      </c>
    </row>
    <row r="75" spans="1:18" hidden="1" x14ac:dyDescent="0.3">
      <c r="A75" t="s">
        <v>81</v>
      </c>
      <c r="B75">
        <v>2021</v>
      </c>
      <c r="C75" t="s">
        <v>82</v>
      </c>
      <c r="D75" s="13">
        <v>1622</v>
      </c>
      <c r="E75" s="61">
        <v>8516</v>
      </c>
      <c r="F75" s="61">
        <v>2362897.2666416327</v>
      </c>
      <c r="G75" s="61">
        <v>1330</v>
      </c>
      <c r="H75" s="61">
        <v>243454.78281381403</v>
      </c>
      <c r="I75">
        <f>E75/(E75+G75)</f>
        <v>0.86491976437131834</v>
      </c>
      <c r="J75">
        <f t="shared" si="55"/>
        <v>2.3234117604804612E-3</v>
      </c>
      <c r="K75" s="13">
        <f t="shared" si="56"/>
        <v>1875.3184593705964</v>
      </c>
      <c r="L75" s="1">
        <f t="shared" si="57"/>
        <v>10922.563990757333</v>
      </c>
      <c r="M75">
        <f t="shared" si="58"/>
        <v>104.51107113965168</v>
      </c>
      <c r="N75" s="1">
        <f t="shared" si="59"/>
        <v>204.84169943371728</v>
      </c>
      <c r="O75" s="24">
        <f t="shared" si="60"/>
        <v>253.31845937059643</v>
      </c>
      <c r="P75" s="1">
        <f t="shared" si="61"/>
        <v>10922.563990757333</v>
      </c>
      <c r="Q75">
        <f t="shared" si="62"/>
        <v>104.51107113965168</v>
      </c>
      <c r="R75" s="1">
        <f t="shared" si="63"/>
        <v>204.84169943371728</v>
      </c>
    </row>
    <row r="76" spans="1:18" s="51" customFormat="1" hidden="1" x14ac:dyDescent="0.3">
      <c r="A76" s="51" t="s">
        <v>81</v>
      </c>
      <c r="B76" s="51">
        <v>2022</v>
      </c>
      <c r="C76" s="51" t="s">
        <v>82</v>
      </c>
      <c r="D76" s="71">
        <v>1321</v>
      </c>
      <c r="E76" s="74">
        <f>E26</f>
        <v>6339</v>
      </c>
      <c r="F76" s="74">
        <f>F26</f>
        <v>1466521</v>
      </c>
      <c r="G76" s="74">
        <f>G26</f>
        <v>2420</v>
      </c>
      <c r="H76" s="74">
        <f>H26</f>
        <v>741321</v>
      </c>
      <c r="I76">
        <f>E76/(E76+G76)</f>
        <v>0.72371275259732848</v>
      </c>
      <c r="J76">
        <f t="shared" ref="J76" si="64">((((E76)^2*H76)+((G76)^2*F76))/(E76+G76)^4)</f>
        <v>6.5200759365410454E-3</v>
      </c>
      <c r="K76" s="13">
        <f t="shared" ref="K76" si="65">D76/I76</f>
        <v>1825.3098280485881</v>
      </c>
      <c r="L76" s="1">
        <f t="shared" ref="L76" si="66">(D76^2)*J76*(1/(I76^4))</f>
        <v>41475.667798459108</v>
      </c>
      <c r="M76">
        <f t="shared" ref="M76" si="67">SQRT(L76)</f>
        <v>203.6557580783296</v>
      </c>
      <c r="N76" s="1">
        <f t="shared" ref="N76" si="68">(1.96*M76)</f>
        <v>399.16528583352601</v>
      </c>
      <c r="O76" s="24">
        <f t="shared" ref="O76" si="69">K76-D76</f>
        <v>504.30982804858809</v>
      </c>
      <c r="P76" s="1">
        <f t="shared" ref="P76" si="70">L76</f>
        <v>41475.667798459108</v>
      </c>
      <c r="Q76">
        <f t="shared" ref="Q76" si="71">SQRT(P76)</f>
        <v>203.6557580783296</v>
      </c>
      <c r="R76" s="1">
        <f t="shared" ref="R76" si="72">(1.96*Q76)</f>
        <v>399.16528583352601</v>
      </c>
    </row>
    <row r="77" spans="1:18" hidden="1" x14ac:dyDescent="0.3">
      <c r="A77" t="s">
        <v>81</v>
      </c>
      <c r="B77">
        <v>1998</v>
      </c>
      <c r="C77" t="s">
        <v>47</v>
      </c>
      <c r="D77" s="13">
        <v>994</v>
      </c>
      <c r="E77" s="23"/>
      <c r="F77" s="23"/>
      <c r="G77" s="23"/>
      <c r="H77" s="23"/>
      <c r="I77" s="21">
        <f>AVERAGE(I90:I97)</f>
        <v>0.58939472710535679</v>
      </c>
      <c r="J77" s="21">
        <v>5.4034193697657142E-3</v>
      </c>
      <c r="K77" s="13">
        <f t="shared" si="45"/>
        <v>1686.4758951640881</v>
      </c>
      <c r="L77" s="1">
        <f t="shared" ref="L77:L89" si="73">(D77^2)*J77*(1/(I77^4))</f>
        <v>44240.136597187789</v>
      </c>
      <c r="M77">
        <f t="shared" si="52"/>
        <v>210.33339391829293</v>
      </c>
      <c r="N77" s="1">
        <f t="shared" si="53"/>
        <v>412.25345207985413</v>
      </c>
      <c r="O77" s="24">
        <f t="shared" si="43"/>
        <v>692.47589516408812</v>
      </c>
      <c r="P77" s="1">
        <f t="shared" si="46"/>
        <v>44240.136597187789</v>
      </c>
      <c r="Q77">
        <f t="shared" si="47"/>
        <v>210.33339391829293</v>
      </c>
      <c r="R77" s="1">
        <f t="shared" si="48"/>
        <v>412.25345207985413</v>
      </c>
    </row>
    <row r="78" spans="1:18" hidden="1" x14ac:dyDescent="0.3">
      <c r="A78" t="s">
        <v>81</v>
      </c>
      <c r="B78">
        <v>1999</v>
      </c>
      <c r="C78" t="s">
        <v>47</v>
      </c>
      <c r="D78" s="13">
        <v>911</v>
      </c>
      <c r="E78" s="23"/>
      <c r="F78" s="23"/>
      <c r="G78" s="23"/>
      <c r="H78" s="23"/>
      <c r="I78" s="21">
        <v>0.58939472710535679</v>
      </c>
      <c r="J78" s="21">
        <v>5.4034193697657142E-3</v>
      </c>
      <c r="K78" s="13">
        <f t="shared" si="45"/>
        <v>1545.6534612620567</v>
      </c>
      <c r="L78" s="1">
        <f t="shared" si="73"/>
        <v>37160.4054962316</v>
      </c>
      <c r="M78">
        <f t="shared" si="52"/>
        <v>192.7703439231035</v>
      </c>
      <c r="N78" s="1">
        <f t="shared" si="53"/>
        <v>377.82987408928284</v>
      </c>
      <c r="O78" s="24">
        <f t="shared" si="43"/>
        <v>634.65346126205668</v>
      </c>
      <c r="P78" s="1">
        <f t="shared" si="46"/>
        <v>37160.4054962316</v>
      </c>
      <c r="Q78">
        <f t="shared" si="47"/>
        <v>192.7703439231035</v>
      </c>
      <c r="R78" s="1">
        <f t="shared" si="48"/>
        <v>377.82987408928284</v>
      </c>
    </row>
    <row r="79" spans="1:18" hidden="1" x14ac:dyDescent="0.3">
      <c r="A79" t="s">
        <v>81</v>
      </c>
      <c r="B79">
        <v>2000</v>
      </c>
      <c r="C79" t="s">
        <v>47</v>
      </c>
      <c r="D79" s="13">
        <v>1400</v>
      </c>
      <c r="E79" s="1"/>
      <c r="F79" s="1"/>
      <c r="G79" s="1"/>
      <c r="H79" s="1"/>
      <c r="I79" s="21">
        <v>0.58939472710535679</v>
      </c>
      <c r="J79" s="21">
        <v>5.4034193697657142E-3</v>
      </c>
      <c r="K79" s="13">
        <f t="shared" si="45"/>
        <v>2375.318162202941</v>
      </c>
      <c r="L79" s="1">
        <f t="shared" si="73"/>
        <v>87760.635979344952</v>
      </c>
      <c r="M79">
        <f t="shared" si="52"/>
        <v>296.24421678632808</v>
      </c>
      <c r="N79" s="1">
        <f t="shared" si="53"/>
        <v>580.63866490120301</v>
      </c>
      <c r="O79" s="24">
        <f t="shared" si="43"/>
        <v>975.31816220294104</v>
      </c>
      <c r="P79" s="1">
        <f t="shared" si="46"/>
        <v>87760.635979344952</v>
      </c>
      <c r="Q79">
        <f t="shared" si="47"/>
        <v>296.24421678632808</v>
      </c>
      <c r="R79" s="1">
        <f t="shared" si="48"/>
        <v>580.63866490120301</v>
      </c>
    </row>
    <row r="80" spans="1:18" hidden="1" x14ac:dyDescent="0.3">
      <c r="A80" t="s">
        <v>81</v>
      </c>
      <c r="B80">
        <v>2001</v>
      </c>
      <c r="C80" t="s">
        <v>47</v>
      </c>
      <c r="D80" s="13">
        <v>763</v>
      </c>
      <c r="E80" s="1"/>
      <c r="F80" s="1"/>
      <c r="G80" s="1"/>
      <c r="H80" s="1"/>
      <c r="I80" s="21">
        <v>0.58939472710535679</v>
      </c>
      <c r="J80" s="21">
        <v>5.4034193697657142E-3</v>
      </c>
      <c r="K80" s="13">
        <f t="shared" si="45"/>
        <v>1294.5483984006028</v>
      </c>
      <c r="L80" s="1">
        <f t="shared" si="73"/>
        <v>26067.102901764931</v>
      </c>
      <c r="M80">
        <f t="shared" si="52"/>
        <v>161.4530981485488</v>
      </c>
      <c r="N80" s="1">
        <f t="shared" si="53"/>
        <v>316.44807237115566</v>
      </c>
      <c r="O80" s="24">
        <f t="shared" si="43"/>
        <v>531.54839840060276</v>
      </c>
      <c r="P80" s="1">
        <f t="shared" si="46"/>
        <v>26067.102901764931</v>
      </c>
      <c r="Q80">
        <f t="shared" si="47"/>
        <v>161.4530981485488</v>
      </c>
      <c r="R80" s="1">
        <f t="shared" si="48"/>
        <v>316.44807237115566</v>
      </c>
    </row>
    <row r="81" spans="1:18" hidden="1" x14ac:dyDescent="0.3">
      <c r="A81" t="s">
        <v>81</v>
      </c>
      <c r="B81">
        <v>2002</v>
      </c>
      <c r="C81" t="s">
        <v>47</v>
      </c>
      <c r="D81" s="13">
        <v>2378</v>
      </c>
      <c r="E81" s="1"/>
      <c r="F81" s="1"/>
      <c r="G81" s="1"/>
      <c r="H81" s="1"/>
      <c r="I81" s="21">
        <v>0.58939472710535679</v>
      </c>
      <c r="J81" s="21">
        <v>5.4034193697657142E-3</v>
      </c>
      <c r="K81" s="13">
        <f t="shared" si="45"/>
        <v>4034.6475640847098</v>
      </c>
      <c r="L81" s="1">
        <f t="shared" si="73"/>
        <v>253202.15113746023</v>
      </c>
      <c r="M81">
        <f t="shared" si="52"/>
        <v>503.19196251277725</v>
      </c>
      <c r="N81" s="1">
        <f t="shared" si="53"/>
        <v>986.25624652504337</v>
      </c>
      <c r="O81" s="24">
        <f t="shared" si="43"/>
        <v>1656.6475640847098</v>
      </c>
      <c r="P81" s="1">
        <f t="shared" si="46"/>
        <v>253202.15113746023</v>
      </c>
      <c r="Q81">
        <f t="shared" si="47"/>
        <v>503.19196251277725</v>
      </c>
      <c r="R81" s="1">
        <f t="shared" si="48"/>
        <v>986.25624652504337</v>
      </c>
    </row>
    <row r="82" spans="1:18" hidden="1" x14ac:dyDescent="0.3">
      <c r="A82" t="s">
        <v>81</v>
      </c>
      <c r="B82">
        <v>2003</v>
      </c>
      <c r="C82" t="s">
        <v>47</v>
      </c>
      <c r="D82" s="13">
        <v>4623</v>
      </c>
      <c r="E82" s="1"/>
      <c r="F82" s="1"/>
      <c r="G82" s="1"/>
      <c r="H82" s="1"/>
      <c r="I82" s="21">
        <v>0.58939472710535679</v>
      </c>
      <c r="J82" s="21">
        <v>5.4034193697657142E-3</v>
      </c>
      <c r="K82" s="13">
        <f t="shared" si="45"/>
        <v>7843.6399027601401</v>
      </c>
      <c r="L82" s="1">
        <f t="shared" si="73"/>
        <v>956954.91493500082</v>
      </c>
      <c r="M82">
        <f t="shared" si="52"/>
        <v>978.24072443085333</v>
      </c>
      <c r="N82" s="1">
        <f t="shared" si="53"/>
        <v>1917.3518198844724</v>
      </c>
      <c r="O82" s="24">
        <f t="shared" si="43"/>
        <v>3220.6399027601401</v>
      </c>
      <c r="P82" s="1">
        <f t="shared" si="46"/>
        <v>956954.91493500082</v>
      </c>
      <c r="Q82">
        <f t="shared" si="47"/>
        <v>978.24072443085333</v>
      </c>
      <c r="R82" s="1">
        <f t="shared" si="48"/>
        <v>1917.3518198844724</v>
      </c>
    </row>
    <row r="83" spans="1:18" hidden="1" x14ac:dyDescent="0.3">
      <c r="A83" t="s">
        <v>81</v>
      </c>
      <c r="B83">
        <v>2004</v>
      </c>
      <c r="C83" t="s">
        <v>47</v>
      </c>
      <c r="D83" s="13">
        <v>4736</v>
      </c>
      <c r="E83" s="1"/>
      <c r="F83" s="1"/>
      <c r="G83" s="1"/>
      <c r="H83" s="1"/>
      <c r="I83" s="21">
        <v>0.58939472710535679</v>
      </c>
      <c r="J83" s="21">
        <v>5.4034193697657142E-3</v>
      </c>
      <c r="K83" s="13">
        <f t="shared" si="45"/>
        <v>8035.3620115665199</v>
      </c>
      <c r="L83" s="1">
        <f t="shared" si="73"/>
        <v>1004308.3600935558</v>
      </c>
      <c r="M83">
        <f t="shared" si="52"/>
        <v>1002.1518647857498</v>
      </c>
      <c r="N83" s="1">
        <f t="shared" si="53"/>
        <v>1964.2176549800695</v>
      </c>
      <c r="O83" s="24">
        <f t="shared" si="43"/>
        <v>3299.3620115665199</v>
      </c>
      <c r="P83" s="1">
        <f t="shared" si="46"/>
        <v>1004308.3600935558</v>
      </c>
      <c r="Q83">
        <f t="shared" si="47"/>
        <v>1002.1518647857498</v>
      </c>
      <c r="R83" s="1">
        <f t="shared" si="48"/>
        <v>1964.2176549800695</v>
      </c>
    </row>
    <row r="84" spans="1:18" hidden="1" x14ac:dyDescent="0.3">
      <c r="A84" t="s">
        <v>81</v>
      </c>
      <c r="B84">
        <v>2005</v>
      </c>
      <c r="C84" t="s">
        <v>47</v>
      </c>
      <c r="D84" s="13">
        <v>3615</v>
      </c>
      <c r="E84" s="1"/>
      <c r="F84" s="1"/>
      <c r="G84" s="1"/>
      <c r="H84" s="1"/>
      <c r="I84" s="21">
        <v>0.58939472710535679</v>
      </c>
      <c r="J84" s="21">
        <v>5.4034193697657142E-3</v>
      </c>
      <c r="K84" s="13">
        <f t="shared" si="45"/>
        <v>6133.4108259740224</v>
      </c>
      <c r="L84" s="1">
        <f t="shared" si="73"/>
        <v>585140.68220468122</v>
      </c>
      <c r="M84">
        <f t="shared" si="52"/>
        <v>764.94488834469712</v>
      </c>
      <c r="N84" s="1">
        <f t="shared" si="53"/>
        <v>1499.2919811556064</v>
      </c>
      <c r="O84" s="24">
        <f t="shared" si="43"/>
        <v>2518.4108259740224</v>
      </c>
      <c r="P84" s="1">
        <f t="shared" si="46"/>
        <v>585140.68220468122</v>
      </c>
      <c r="Q84">
        <f t="shared" si="47"/>
        <v>764.94488834469712</v>
      </c>
      <c r="R84" s="1">
        <f t="shared" si="48"/>
        <v>1499.2919811556064</v>
      </c>
    </row>
    <row r="85" spans="1:18" hidden="1" x14ac:dyDescent="0.3">
      <c r="A85" t="s">
        <v>81</v>
      </c>
      <c r="B85">
        <v>2006</v>
      </c>
      <c r="C85" t="s">
        <v>47</v>
      </c>
      <c r="D85" s="13">
        <v>2463</v>
      </c>
      <c r="E85" s="1"/>
      <c r="F85" s="1"/>
      <c r="G85" s="1"/>
      <c r="H85" s="1"/>
      <c r="I85" s="21">
        <v>0.58939472710535679</v>
      </c>
      <c r="J85" s="21">
        <v>5.4034193697657142E-3</v>
      </c>
      <c r="K85" s="13">
        <f t="shared" si="45"/>
        <v>4178.8633096470312</v>
      </c>
      <c r="L85" s="1">
        <f t="shared" si="73"/>
        <v>271626.73547213408</v>
      </c>
      <c r="M85">
        <f t="shared" si="52"/>
        <v>521.17821853194721</v>
      </c>
      <c r="N85" s="1">
        <f t="shared" si="53"/>
        <v>1021.5093083226166</v>
      </c>
      <c r="O85" s="24">
        <f t="shared" si="43"/>
        <v>1715.8633096470312</v>
      </c>
      <c r="P85" s="1">
        <f t="shared" si="46"/>
        <v>271626.73547213408</v>
      </c>
      <c r="Q85">
        <f t="shared" si="47"/>
        <v>521.17821853194721</v>
      </c>
      <c r="R85" s="1">
        <f t="shared" si="48"/>
        <v>1021.5093083226166</v>
      </c>
    </row>
    <row r="86" spans="1:18" hidden="1" x14ac:dyDescent="0.3">
      <c r="A86" t="s">
        <v>81</v>
      </c>
      <c r="B86">
        <v>2007</v>
      </c>
      <c r="C86" t="s">
        <v>47</v>
      </c>
      <c r="D86" s="13">
        <v>2559</v>
      </c>
      <c r="E86" s="1"/>
      <c r="F86" s="1"/>
      <c r="G86" s="1"/>
      <c r="H86" s="1"/>
      <c r="I86" s="21">
        <v>0.58939472710535679</v>
      </c>
      <c r="J86" s="21">
        <v>5.4034193697657142E-3</v>
      </c>
      <c r="K86" s="13">
        <f t="shared" si="45"/>
        <v>4341.7422693409471</v>
      </c>
      <c r="L86" s="1">
        <f t="shared" si="73"/>
        <v>293213.70268298819</v>
      </c>
      <c r="M86">
        <f t="shared" si="52"/>
        <v>541.49210768300975</v>
      </c>
      <c r="N86" s="1">
        <f t="shared" si="53"/>
        <v>1061.324531058699</v>
      </c>
      <c r="O86" s="24">
        <f t="shared" si="43"/>
        <v>1782.7422693409471</v>
      </c>
      <c r="P86" s="1">
        <f t="shared" si="46"/>
        <v>293213.70268298819</v>
      </c>
      <c r="Q86">
        <f t="shared" si="47"/>
        <v>541.49210768300975</v>
      </c>
      <c r="R86" s="1">
        <f t="shared" si="48"/>
        <v>1061.324531058699</v>
      </c>
    </row>
    <row r="87" spans="1:18" hidden="1" x14ac:dyDescent="0.3">
      <c r="A87" t="s">
        <v>81</v>
      </c>
      <c r="B87">
        <v>2008</v>
      </c>
      <c r="C87" t="s">
        <v>47</v>
      </c>
      <c r="D87" s="13">
        <v>2163</v>
      </c>
      <c r="E87" s="1"/>
      <c r="F87" s="1"/>
      <c r="G87" s="1"/>
      <c r="H87" s="1"/>
      <c r="I87" s="21">
        <v>0.58939472710535679</v>
      </c>
      <c r="J87" s="21">
        <v>5.4034193697657142E-3</v>
      </c>
      <c r="K87" s="13">
        <f t="shared" si="45"/>
        <v>3669.8665606035438</v>
      </c>
      <c r="L87" s="1">
        <f t="shared" si="73"/>
        <v>209486.83209859589</v>
      </c>
      <c r="M87">
        <f t="shared" si="52"/>
        <v>457.69731493487689</v>
      </c>
      <c r="N87" s="1">
        <f t="shared" si="53"/>
        <v>897.08673727235873</v>
      </c>
      <c r="O87" s="24">
        <f t="shared" si="43"/>
        <v>1506.8665606035438</v>
      </c>
      <c r="P87" s="1">
        <f t="shared" si="46"/>
        <v>209486.83209859589</v>
      </c>
      <c r="Q87">
        <f t="shared" si="47"/>
        <v>457.69731493487689</v>
      </c>
      <c r="R87" s="1">
        <f t="shared" si="48"/>
        <v>897.08673727235873</v>
      </c>
    </row>
    <row r="88" spans="1:18" hidden="1" x14ac:dyDescent="0.3">
      <c r="A88" t="s">
        <v>81</v>
      </c>
      <c r="B88">
        <v>2009</v>
      </c>
      <c r="C88" t="s">
        <v>47</v>
      </c>
      <c r="D88" s="13">
        <v>2918</v>
      </c>
      <c r="E88" s="1"/>
      <c r="F88" s="1"/>
      <c r="G88" s="1"/>
      <c r="H88" s="1"/>
      <c r="I88" s="21">
        <v>0.58939472710535679</v>
      </c>
      <c r="J88" s="21">
        <v>5.4034193697657142E-3</v>
      </c>
      <c r="K88" s="13">
        <f t="shared" si="45"/>
        <v>4950.841712362987</v>
      </c>
      <c r="L88" s="1">
        <f t="shared" si="73"/>
        <v>381253.87419826118</v>
      </c>
      <c r="M88">
        <f t="shared" si="52"/>
        <v>617.45758898750375</v>
      </c>
      <c r="N88" s="1">
        <f t="shared" si="53"/>
        <v>1210.2168744155074</v>
      </c>
      <c r="O88" s="24">
        <f t="shared" si="43"/>
        <v>2032.841712362987</v>
      </c>
      <c r="P88" s="1">
        <f t="shared" si="46"/>
        <v>381253.87419826118</v>
      </c>
      <c r="Q88">
        <f t="shared" si="47"/>
        <v>617.45758898750375</v>
      </c>
      <c r="R88" s="1">
        <f t="shared" si="48"/>
        <v>1210.2168744155074</v>
      </c>
    </row>
    <row r="89" spans="1:18" hidden="1" x14ac:dyDescent="0.3">
      <c r="A89" t="s">
        <v>81</v>
      </c>
      <c r="B89">
        <v>2010</v>
      </c>
      <c r="C89" t="s">
        <v>47</v>
      </c>
      <c r="D89" s="13">
        <v>4422</v>
      </c>
      <c r="E89" s="1"/>
      <c r="F89" s="1"/>
      <c r="G89" s="1"/>
      <c r="H89" s="1"/>
      <c r="I89" s="21">
        <v>0.58939472710535679</v>
      </c>
      <c r="J89" s="21">
        <v>5.4034193697657142E-3</v>
      </c>
      <c r="K89" s="13">
        <f t="shared" si="45"/>
        <v>7502.6120809010035</v>
      </c>
      <c r="L89" s="1">
        <f t="shared" si="73"/>
        <v>875550.43256812927</v>
      </c>
      <c r="M89">
        <f t="shared" si="52"/>
        <v>935.70851902081631</v>
      </c>
      <c r="N89" s="1">
        <f t="shared" si="53"/>
        <v>1833.9886972807999</v>
      </c>
      <c r="O89" s="24">
        <f t="shared" si="43"/>
        <v>3080.6120809010035</v>
      </c>
      <c r="P89" s="1">
        <f t="shared" si="46"/>
        <v>875550.43256812927</v>
      </c>
      <c r="Q89">
        <f t="shared" si="47"/>
        <v>935.70851902081631</v>
      </c>
      <c r="R89" s="1">
        <f t="shared" si="48"/>
        <v>1833.9886972807999</v>
      </c>
    </row>
    <row r="90" spans="1:18" hidden="1" x14ac:dyDescent="0.3">
      <c r="A90" t="s">
        <v>81</v>
      </c>
      <c r="B90">
        <v>2011</v>
      </c>
      <c r="C90" t="s">
        <v>47</v>
      </c>
      <c r="D90" s="13">
        <v>3046</v>
      </c>
      <c r="E90" s="1">
        <v>3090</v>
      </c>
      <c r="F90" s="1">
        <v>271781.70067567605</v>
      </c>
      <c r="G90" s="1">
        <v>2227</v>
      </c>
      <c r="H90" s="1">
        <v>216174.96608208178</v>
      </c>
      <c r="I90">
        <f t="shared" ref="I90:I98" si="74">E90/(E90+G90)</f>
        <v>0.58115478653375963</v>
      </c>
      <c r="J90">
        <f t="shared" ref="J90:J98" si="75">((((E90)^2*H90)+((G90)^2*F90))/(E90+G90)^4)</f>
        <v>4.2691212420400337E-3</v>
      </c>
      <c r="K90" s="13">
        <f t="shared" si="45"/>
        <v>5241.2886731391591</v>
      </c>
      <c r="L90" s="1">
        <f t="shared" ref="L90:L114" si="76">(D90^2)*J90*(1/(I90^4))</f>
        <v>347241.00971171423</v>
      </c>
      <c r="M90">
        <f t="shared" si="52"/>
        <v>589.27159248661758</v>
      </c>
      <c r="N90" s="1">
        <f t="shared" si="53"/>
        <v>1154.9723212737704</v>
      </c>
      <c r="O90" s="24">
        <f t="shared" si="43"/>
        <v>2195.2886731391591</v>
      </c>
      <c r="P90" s="1">
        <f t="shared" si="46"/>
        <v>347241.00971171423</v>
      </c>
      <c r="Q90">
        <f t="shared" si="47"/>
        <v>589.27159248661758</v>
      </c>
      <c r="R90" s="1">
        <f t="shared" si="48"/>
        <v>1154.9723212737704</v>
      </c>
    </row>
    <row r="91" spans="1:18" hidden="1" x14ac:dyDescent="0.3">
      <c r="A91" t="s">
        <v>81</v>
      </c>
      <c r="B91">
        <v>2012</v>
      </c>
      <c r="C91" t="s">
        <v>47</v>
      </c>
      <c r="D91" s="13">
        <v>4677</v>
      </c>
      <c r="E91" s="1">
        <v>3725</v>
      </c>
      <c r="F91" s="1">
        <v>397497.76136136171</v>
      </c>
      <c r="G91" s="1">
        <v>4253</v>
      </c>
      <c r="H91" s="1">
        <v>578754.77845445485</v>
      </c>
      <c r="I91">
        <f t="shared" si="74"/>
        <v>0.4669089997493106</v>
      </c>
      <c r="J91">
        <f t="shared" si="75"/>
        <v>3.7571070733600719E-3</v>
      </c>
      <c r="K91" s="13">
        <f t="shared" si="45"/>
        <v>10016.941208053691</v>
      </c>
      <c r="L91" s="1">
        <f t="shared" si="76"/>
        <v>1729256.1604569755</v>
      </c>
      <c r="M91">
        <f t="shared" si="52"/>
        <v>1315.0118480291253</v>
      </c>
      <c r="N91" s="1">
        <f t="shared" si="53"/>
        <v>2577.4232221370858</v>
      </c>
      <c r="O91" s="24">
        <f t="shared" si="43"/>
        <v>5339.9412080536913</v>
      </c>
      <c r="P91" s="1">
        <f t="shared" si="46"/>
        <v>1729256.1604569755</v>
      </c>
      <c r="Q91">
        <f t="shared" si="47"/>
        <v>1315.0118480291253</v>
      </c>
      <c r="R91" s="1">
        <f t="shared" si="48"/>
        <v>2577.4232221370858</v>
      </c>
    </row>
    <row r="92" spans="1:18" hidden="1" x14ac:dyDescent="0.3">
      <c r="A92" t="s">
        <v>81</v>
      </c>
      <c r="B92">
        <v>2013</v>
      </c>
      <c r="C92" t="s">
        <v>47</v>
      </c>
      <c r="D92" s="13">
        <v>4808</v>
      </c>
      <c r="E92" s="1">
        <v>4037</v>
      </c>
      <c r="F92" s="1">
        <v>420611.36510910874</v>
      </c>
      <c r="G92" s="1">
        <v>2924</v>
      </c>
      <c r="H92" s="1">
        <v>387920.33056957065</v>
      </c>
      <c r="I92">
        <f t="shared" si="74"/>
        <v>0.5799454101422209</v>
      </c>
      <c r="J92">
        <f t="shared" si="75"/>
        <v>4.224223881452006E-3</v>
      </c>
      <c r="K92" s="13">
        <f t="shared" si="45"/>
        <v>8290.4354718850645</v>
      </c>
      <c r="L92" s="1">
        <f t="shared" si="76"/>
        <v>863231.70507392555</v>
      </c>
      <c r="M92">
        <f t="shared" si="52"/>
        <v>929.1026343057722</v>
      </c>
      <c r="N92" s="1">
        <f t="shared" si="53"/>
        <v>1821.0411632393134</v>
      </c>
      <c r="O92" s="24">
        <f t="shared" si="43"/>
        <v>3482.4354718850645</v>
      </c>
      <c r="P92" s="1">
        <f t="shared" si="46"/>
        <v>863231.70507392555</v>
      </c>
      <c r="Q92">
        <f t="shared" si="47"/>
        <v>929.1026343057722</v>
      </c>
      <c r="R92" s="1">
        <f t="shared" si="48"/>
        <v>1821.0411632393134</v>
      </c>
    </row>
    <row r="93" spans="1:18" hidden="1" x14ac:dyDescent="0.3">
      <c r="A93" t="s">
        <v>81</v>
      </c>
      <c r="B93">
        <v>2014</v>
      </c>
      <c r="C93" t="s">
        <v>47</v>
      </c>
      <c r="D93" s="13">
        <v>4731</v>
      </c>
      <c r="E93" s="1">
        <v>6907</v>
      </c>
      <c r="F93" s="1">
        <v>856869.26777878113</v>
      </c>
      <c r="G93" s="1">
        <v>5029</v>
      </c>
      <c r="H93" s="1">
        <v>845537.23883783736</v>
      </c>
      <c r="I93">
        <f t="shared" si="74"/>
        <v>0.57866957104557637</v>
      </c>
      <c r="J93">
        <f t="shared" si="75"/>
        <v>3.055043052059355E-3</v>
      </c>
      <c r="K93" s="13">
        <f t="shared" si="45"/>
        <v>8175.6502099319532</v>
      </c>
      <c r="L93" s="1">
        <f t="shared" si="76"/>
        <v>609818.57296968682</v>
      </c>
      <c r="M93">
        <f t="shared" si="52"/>
        <v>780.90881219876553</v>
      </c>
      <c r="N93" s="1">
        <f t="shared" si="53"/>
        <v>1530.5812719095804</v>
      </c>
      <c r="O93" s="24">
        <f t="shared" si="43"/>
        <v>3444.6502099319532</v>
      </c>
      <c r="P93" s="1">
        <f t="shared" si="46"/>
        <v>609818.57296968682</v>
      </c>
      <c r="Q93">
        <f t="shared" si="47"/>
        <v>780.90881219876553</v>
      </c>
      <c r="R93" s="1">
        <f t="shared" si="48"/>
        <v>1530.5812719095804</v>
      </c>
    </row>
    <row r="94" spans="1:18" hidden="1" x14ac:dyDescent="0.3">
      <c r="A94" t="s">
        <v>81</v>
      </c>
      <c r="B94">
        <v>2015</v>
      </c>
      <c r="C94" t="s">
        <v>47</v>
      </c>
      <c r="D94" s="13">
        <v>6321</v>
      </c>
      <c r="E94" s="1">
        <v>6611</v>
      </c>
      <c r="F94" s="1">
        <v>769997.81975575699</v>
      </c>
      <c r="G94" s="1">
        <v>4186</v>
      </c>
      <c r="H94" s="1">
        <v>578778.57604704704</v>
      </c>
      <c r="I94">
        <f t="shared" si="74"/>
        <v>0.61229971288320828</v>
      </c>
      <c r="J94">
        <f t="shared" si="75"/>
        <v>2.8542085314162058E-3</v>
      </c>
      <c r="K94" s="13">
        <f t="shared" si="45"/>
        <v>10323.375737407352</v>
      </c>
      <c r="L94" s="1">
        <f t="shared" si="76"/>
        <v>811336.58070905623</v>
      </c>
      <c r="M94">
        <f t="shared" si="52"/>
        <v>900.7422387725893</v>
      </c>
      <c r="N94" s="1">
        <f t="shared" si="53"/>
        <v>1765.454787994275</v>
      </c>
      <c r="O94" s="24">
        <f t="shared" si="43"/>
        <v>4002.3757374073521</v>
      </c>
      <c r="P94" s="1">
        <f t="shared" si="46"/>
        <v>811336.58070905623</v>
      </c>
      <c r="Q94">
        <f t="shared" si="47"/>
        <v>900.7422387725893</v>
      </c>
      <c r="R94" s="1">
        <f t="shared" si="48"/>
        <v>1765.454787994275</v>
      </c>
    </row>
    <row r="95" spans="1:18" hidden="1" x14ac:dyDescent="0.3">
      <c r="A95" t="s">
        <v>81</v>
      </c>
      <c r="B95">
        <v>2016</v>
      </c>
      <c r="C95" t="s">
        <v>47</v>
      </c>
      <c r="D95" s="13">
        <v>10123</v>
      </c>
      <c r="E95" s="1">
        <v>9545</v>
      </c>
      <c r="F95" s="1">
        <v>1166196.6307867859</v>
      </c>
      <c r="G95" s="1">
        <v>5962</v>
      </c>
      <c r="H95" s="1">
        <v>699581.80920820858</v>
      </c>
      <c r="I95">
        <f t="shared" si="74"/>
        <v>0.61552847101309083</v>
      </c>
      <c r="J95">
        <f t="shared" si="75"/>
        <v>1.8191246498617864E-3</v>
      </c>
      <c r="K95" s="13">
        <f t="shared" si="45"/>
        <v>16446.030487166056</v>
      </c>
      <c r="L95" s="1">
        <f t="shared" si="76"/>
        <v>1298638.7245062976</v>
      </c>
      <c r="M95">
        <f t="shared" si="52"/>
        <v>1139.5783099490345</v>
      </c>
      <c r="N95" s="1">
        <f t="shared" si="53"/>
        <v>2233.5734875001076</v>
      </c>
      <c r="O95" s="24">
        <f t="shared" si="43"/>
        <v>6323.0304871660555</v>
      </c>
      <c r="P95" s="1">
        <f t="shared" si="46"/>
        <v>1298638.7245062976</v>
      </c>
      <c r="Q95">
        <f t="shared" si="47"/>
        <v>1139.5783099490345</v>
      </c>
      <c r="R95" s="1">
        <f t="shared" si="48"/>
        <v>2233.5734875001076</v>
      </c>
    </row>
    <row r="96" spans="1:18" hidden="1" x14ac:dyDescent="0.3">
      <c r="A96" t="s">
        <v>81</v>
      </c>
      <c r="B96">
        <v>2017</v>
      </c>
      <c r="C96" t="s">
        <v>47</v>
      </c>
      <c r="D96" s="13">
        <v>8376</v>
      </c>
      <c r="E96" s="1">
        <v>8163</v>
      </c>
      <c r="F96" s="1">
        <v>988291.94354254159</v>
      </c>
      <c r="G96" s="1">
        <v>3238</v>
      </c>
      <c r="H96" s="1">
        <v>343248.777976977</v>
      </c>
      <c r="I96">
        <f t="shared" si="74"/>
        <v>0.71598982545390755</v>
      </c>
      <c r="J96">
        <f t="shared" si="75"/>
        <v>1.9670366314147878E-3</v>
      </c>
      <c r="K96" s="13">
        <f t="shared" si="45"/>
        <v>11698.49026093348</v>
      </c>
      <c r="L96" s="1">
        <f t="shared" si="76"/>
        <v>525119.78521776723</v>
      </c>
      <c r="M96">
        <f t="shared" si="52"/>
        <v>724.65149224835466</v>
      </c>
      <c r="N96" s="1">
        <f t="shared" si="53"/>
        <v>1420.3169248067752</v>
      </c>
      <c r="O96" s="24">
        <f t="shared" si="43"/>
        <v>3322.4902609334804</v>
      </c>
      <c r="P96" s="1">
        <f t="shared" si="46"/>
        <v>525119.78521776723</v>
      </c>
      <c r="Q96">
        <f t="shared" si="47"/>
        <v>724.65149224835466</v>
      </c>
      <c r="R96" s="1">
        <f t="shared" si="48"/>
        <v>1420.3169248067752</v>
      </c>
    </row>
    <row r="97" spans="1:18" hidden="1" x14ac:dyDescent="0.3">
      <c r="A97" t="s">
        <v>81</v>
      </c>
      <c r="B97">
        <v>2018</v>
      </c>
      <c r="C97" t="s">
        <v>47</v>
      </c>
      <c r="D97" s="13">
        <v>13009</v>
      </c>
      <c r="E97" s="1">
        <v>8296</v>
      </c>
      <c r="F97" s="1">
        <v>1244537.532476468</v>
      </c>
      <c r="G97" s="1">
        <v>6396</v>
      </c>
      <c r="H97" s="1">
        <v>1481062.8518758779</v>
      </c>
      <c r="I97">
        <f t="shared" si="74"/>
        <v>0.56466104002178052</v>
      </c>
      <c r="J97">
        <f t="shared" si="75"/>
        <v>3.2803983559179534E-3</v>
      </c>
      <c r="K97" s="13">
        <f t="shared" si="45"/>
        <v>23038.600289296046</v>
      </c>
      <c r="L97" s="1">
        <f t="shared" si="76"/>
        <v>5460886.0967642423</v>
      </c>
      <c r="M97">
        <f t="shared" si="52"/>
        <v>2336.8538886212468</v>
      </c>
      <c r="N97" s="1">
        <f t="shared" si="53"/>
        <v>4580.2336216976437</v>
      </c>
      <c r="O97" s="24">
        <f t="shared" si="43"/>
        <v>10029.600289296046</v>
      </c>
      <c r="P97" s="1">
        <f t="shared" si="46"/>
        <v>5460886.0967642423</v>
      </c>
      <c r="Q97">
        <f t="shared" si="47"/>
        <v>2336.8538886212468</v>
      </c>
      <c r="R97" s="1">
        <f t="shared" si="48"/>
        <v>4580.2336216976437</v>
      </c>
    </row>
    <row r="98" spans="1:18" hidden="1" x14ac:dyDescent="0.3">
      <c r="A98" t="s">
        <v>81</v>
      </c>
      <c r="B98">
        <v>2019</v>
      </c>
      <c r="C98" t="s">
        <v>47</v>
      </c>
      <c r="D98" s="13">
        <v>16061</v>
      </c>
      <c r="E98" s="1">
        <v>7349</v>
      </c>
      <c r="F98" s="1">
        <v>1026108.003002</v>
      </c>
      <c r="G98" s="1">
        <v>5292</v>
      </c>
      <c r="H98" s="1">
        <v>1017281.7791551577</v>
      </c>
      <c r="I98">
        <f t="shared" si="74"/>
        <v>0.5813622340004746</v>
      </c>
      <c r="J98">
        <f t="shared" si="75"/>
        <v>3.2770523027060121E-3</v>
      </c>
      <c r="K98" s="13">
        <f t="shared" si="45"/>
        <v>27626.493536535585</v>
      </c>
      <c r="L98" s="1">
        <f>(D98^2)*J98*(1/(I98^4))</f>
        <v>7400162.779370754</v>
      </c>
      <c r="M98">
        <f>SQRT(L98)</f>
        <v>2720.3240210259428</v>
      </c>
      <c r="N98" s="1">
        <f>(1.96*M98)</f>
        <v>5331.8350812108474</v>
      </c>
      <c r="O98" s="24">
        <f t="shared" si="43"/>
        <v>11565.493536535585</v>
      </c>
      <c r="P98" s="1">
        <f>L98</f>
        <v>7400162.779370754</v>
      </c>
      <c r="Q98">
        <f>SQRT(P98)</f>
        <v>2720.3240210259428</v>
      </c>
      <c r="R98" s="1">
        <f>(1.96*Q98)</f>
        <v>5331.8350812108474</v>
      </c>
    </row>
    <row r="99" spans="1:18" hidden="1" x14ac:dyDescent="0.3">
      <c r="A99" t="s">
        <v>81</v>
      </c>
      <c r="B99">
        <v>2020</v>
      </c>
      <c r="C99" t="s">
        <v>47</v>
      </c>
      <c r="D99" s="13">
        <v>9784</v>
      </c>
      <c r="E99" s="1">
        <v>4920</v>
      </c>
      <c r="F99" s="1">
        <v>431065.91887487448</v>
      </c>
      <c r="G99" s="1">
        <v>5200</v>
      </c>
      <c r="H99" s="1">
        <v>1252286.3064654707</v>
      </c>
      <c r="I99">
        <f t="shared" ref="I99:I101" si="77">E99/(E99+G99)</f>
        <v>0.48616600790513836</v>
      </c>
      <c r="J99">
        <f t="shared" ref="J99:J101" si="78">((((E99)^2*H99)+((G99)^2*F99))/(E99+G99)^4)</f>
        <v>4.0013851452365525E-3</v>
      </c>
      <c r="K99" s="13">
        <f t="shared" ref="K99:K101" si="79">D99/I99</f>
        <v>20124.813008130081</v>
      </c>
      <c r="L99" s="1">
        <f t="shared" ref="L99:L100" si="80">(D99^2)*J99*(1/(I99^4))</f>
        <v>6856537.925024569</v>
      </c>
      <c r="M99">
        <f t="shared" ref="M99:M100" si="81">SQRT(L99)</f>
        <v>2618.4991741500644</v>
      </c>
      <c r="N99" s="1">
        <f t="shared" ref="N99:N100" si="82">(1.96*M99)</f>
        <v>5132.2583813341262</v>
      </c>
      <c r="O99" s="24">
        <f t="shared" ref="O99:O100" si="83">K99-D99</f>
        <v>10340.813008130081</v>
      </c>
      <c r="P99" s="1">
        <f t="shared" ref="P99:P100" si="84">L99</f>
        <v>6856537.925024569</v>
      </c>
      <c r="Q99">
        <f t="shared" ref="Q99:Q100" si="85">SQRT(P99)</f>
        <v>2618.4991741500644</v>
      </c>
      <c r="R99" s="1">
        <f t="shared" ref="R99:R100" si="86">(1.96*Q99)</f>
        <v>5132.2583813341262</v>
      </c>
    </row>
    <row r="100" spans="1:18" hidden="1" x14ac:dyDescent="0.3">
      <c r="A100" t="s">
        <v>81</v>
      </c>
      <c r="B100">
        <v>2021</v>
      </c>
      <c r="C100" t="s">
        <v>47</v>
      </c>
      <c r="D100" s="13">
        <v>14326</v>
      </c>
      <c r="E100" s="1">
        <v>12552</v>
      </c>
      <c r="F100" s="1">
        <v>2301376.8632142129</v>
      </c>
      <c r="G100" s="1">
        <v>6193</v>
      </c>
      <c r="H100" s="1">
        <v>1789721.1679429456</v>
      </c>
      <c r="I100">
        <f t="shared" si="77"/>
        <v>0.66961856495065353</v>
      </c>
      <c r="J100">
        <f t="shared" si="78"/>
        <v>2.9987645404020435E-3</v>
      </c>
      <c r="K100" s="13">
        <f t="shared" si="79"/>
        <v>21394.269439133204</v>
      </c>
      <c r="L100" s="1">
        <f t="shared" si="80"/>
        <v>3061133.8312190818</v>
      </c>
      <c r="M100">
        <f t="shared" si="81"/>
        <v>1749.6096225212873</v>
      </c>
      <c r="N100" s="1">
        <f t="shared" si="82"/>
        <v>3429.2348601417229</v>
      </c>
      <c r="O100" s="24">
        <f t="shared" si="83"/>
        <v>7068.2694391332043</v>
      </c>
      <c r="P100" s="1">
        <f t="shared" si="84"/>
        <v>3061133.8312190818</v>
      </c>
      <c r="Q100">
        <f t="shared" si="85"/>
        <v>1749.6096225212873</v>
      </c>
      <c r="R100" s="1">
        <f t="shared" si="86"/>
        <v>3429.2348601417229</v>
      </c>
    </row>
    <row r="101" spans="1:18" s="51" customFormat="1" hidden="1" x14ac:dyDescent="0.3">
      <c r="A101" s="51" t="s">
        <v>81</v>
      </c>
      <c r="B101" s="51">
        <v>2022</v>
      </c>
      <c r="C101" s="51" t="s">
        <v>47</v>
      </c>
      <c r="D101" s="71">
        <v>13586</v>
      </c>
      <c r="E101" s="72">
        <v>11657</v>
      </c>
      <c r="F101" s="72">
        <f>1473^2</f>
        <v>2169729</v>
      </c>
      <c r="G101" s="72">
        <v>7798</v>
      </c>
      <c r="H101" s="72">
        <f>1396^2</f>
        <v>1948816</v>
      </c>
      <c r="I101" s="51">
        <f t="shared" si="77"/>
        <v>0.59917758930866105</v>
      </c>
      <c r="J101">
        <f t="shared" si="78"/>
        <v>2.7694733921390879E-3</v>
      </c>
      <c r="K101" s="71">
        <f t="shared" si="79"/>
        <v>22674.412799176458</v>
      </c>
      <c r="L101" s="1">
        <f t="shared" ref="L101" si="87">(D101^2)*J101*(1/(I101^4))</f>
        <v>3966049.882434688</v>
      </c>
      <c r="M101">
        <f t="shared" ref="M101" si="88">SQRT(L101)</f>
        <v>1991.4943842337814</v>
      </c>
      <c r="N101" s="1">
        <f t="shared" ref="N101" si="89">(1.96*M101)</f>
        <v>3903.3289930982114</v>
      </c>
      <c r="O101" s="24">
        <f t="shared" ref="O101" si="90">K101-D101</f>
        <v>9088.4127991764581</v>
      </c>
      <c r="P101" s="1">
        <f t="shared" ref="P101" si="91">L101</f>
        <v>3966049.882434688</v>
      </c>
      <c r="Q101">
        <f t="shared" ref="Q101" si="92">SQRT(P101)</f>
        <v>1991.4943842337814</v>
      </c>
      <c r="R101" s="1">
        <f t="shared" ref="R101" si="93">(1.96*Q101)</f>
        <v>3903.3289930982114</v>
      </c>
    </row>
    <row r="102" spans="1:18" hidden="1" x14ac:dyDescent="0.3">
      <c r="A102" t="s">
        <v>81</v>
      </c>
      <c r="B102">
        <v>1998</v>
      </c>
      <c r="C102" t="s">
        <v>48</v>
      </c>
      <c r="D102" s="13">
        <v>157</v>
      </c>
      <c r="E102" s="1"/>
      <c r="F102" s="1"/>
      <c r="G102" s="1"/>
      <c r="H102" s="1"/>
      <c r="I102" s="21">
        <f>AVERAGE(I115:I122)</f>
        <v>0.87656454996077116</v>
      </c>
      <c r="J102" s="21">
        <v>8.4008435472244583E-3</v>
      </c>
      <c r="K102" s="13">
        <f t="shared" si="45"/>
        <v>179.10831553366631</v>
      </c>
      <c r="L102" s="1">
        <f t="shared" si="76"/>
        <v>350.7410435791694</v>
      </c>
      <c r="M102">
        <f t="shared" si="52"/>
        <v>18.728081684443001</v>
      </c>
      <c r="N102" s="1">
        <f t="shared" si="53"/>
        <v>36.707040101508284</v>
      </c>
      <c r="O102" s="24">
        <f t="shared" si="43"/>
        <v>22.108315533666314</v>
      </c>
      <c r="P102" s="1">
        <f t="shared" si="46"/>
        <v>350.7410435791694</v>
      </c>
      <c r="Q102">
        <f t="shared" si="47"/>
        <v>18.728081684443001</v>
      </c>
      <c r="R102" s="1">
        <f t="shared" si="48"/>
        <v>36.707040101508284</v>
      </c>
    </row>
    <row r="103" spans="1:18" hidden="1" x14ac:dyDescent="0.3">
      <c r="A103" t="s">
        <v>81</v>
      </c>
      <c r="B103">
        <v>1999</v>
      </c>
      <c r="C103" t="s">
        <v>48</v>
      </c>
      <c r="D103" s="13">
        <v>121</v>
      </c>
      <c r="E103" s="1"/>
      <c r="F103" s="1"/>
      <c r="G103" s="1"/>
      <c r="H103" s="1"/>
      <c r="I103" s="21">
        <v>0.87880449516838866</v>
      </c>
      <c r="J103" s="21">
        <v>8.4008435472244583E-3</v>
      </c>
      <c r="K103" s="13">
        <f t="shared" si="45"/>
        <v>137.68705174501304</v>
      </c>
      <c r="L103" s="1">
        <f t="shared" si="76"/>
        <v>206.21704461477333</v>
      </c>
      <c r="M103">
        <f t="shared" si="52"/>
        <v>14.360259211266813</v>
      </c>
      <c r="N103" s="1">
        <f t="shared" si="53"/>
        <v>28.146108054082951</v>
      </c>
      <c r="O103" s="24">
        <f t="shared" si="43"/>
        <v>16.687051745013036</v>
      </c>
      <c r="P103" s="1">
        <f t="shared" si="46"/>
        <v>206.21704461477333</v>
      </c>
      <c r="Q103">
        <f t="shared" si="47"/>
        <v>14.360259211266813</v>
      </c>
      <c r="R103" s="1">
        <f t="shared" si="48"/>
        <v>28.146108054082951</v>
      </c>
    </row>
    <row r="104" spans="1:18" hidden="1" x14ac:dyDescent="0.3">
      <c r="A104" t="s">
        <v>81</v>
      </c>
      <c r="B104">
        <v>2000</v>
      </c>
      <c r="C104" t="s">
        <v>48</v>
      </c>
      <c r="D104" s="13">
        <v>423</v>
      </c>
      <c r="E104" s="1"/>
      <c r="F104" s="1"/>
      <c r="G104" s="1"/>
      <c r="H104" s="1"/>
      <c r="I104" s="21">
        <v>0.87880449516838866</v>
      </c>
      <c r="J104" s="21">
        <v>8.4008435472244583E-3</v>
      </c>
      <c r="K104" s="13">
        <f t="shared" si="45"/>
        <v>481.33572634826874</v>
      </c>
      <c r="L104" s="1">
        <f t="shared" si="76"/>
        <v>2520.1973619204136</v>
      </c>
      <c r="M104">
        <f t="shared" si="52"/>
        <v>50.201567325337699</v>
      </c>
      <c r="N104" s="1">
        <f t="shared" si="53"/>
        <v>98.395071957661884</v>
      </c>
      <c r="O104" s="24">
        <f t="shared" si="43"/>
        <v>58.335726348268736</v>
      </c>
      <c r="P104" s="1">
        <f t="shared" si="46"/>
        <v>2520.1973619204136</v>
      </c>
      <c r="Q104">
        <f t="shared" si="47"/>
        <v>50.201567325337699</v>
      </c>
      <c r="R104" s="1">
        <f t="shared" si="48"/>
        <v>98.395071957661884</v>
      </c>
    </row>
    <row r="105" spans="1:18" hidden="1" x14ac:dyDescent="0.3">
      <c r="A105" t="s">
        <v>81</v>
      </c>
      <c r="B105">
        <v>2001</v>
      </c>
      <c r="C105" t="s">
        <v>48</v>
      </c>
      <c r="D105" s="13">
        <v>298</v>
      </c>
      <c r="E105" s="1"/>
      <c r="F105" s="1"/>
      <c r="G105" s="1"/>
      <c r="H105" s="1"/>
      <c r="I105" s="21">
        <v>0.87880449516838866</v>
      </c>
      <c r="J105" s="21">
        <v>8.4008435472244583E-3</v>
      </c>
      <c r="K105" s="13">
        <f t="shared" si="45"/>
        <v>339.09703652904039</v>
      </c>
      <c r="L105" s="1">
        <f t="shared" si="76"/>
        <v>1250.7956034403612</v>
      </c>
      <c r="M105">
        <f t="shared" si="52"/>
        <v>35.366588801301731</v>
      </c>
      <c r="N105" s="1">
        <f t="shared" si="53"/>
        <v>69.318514050551386</v>
      </c>
      <c r="O105" s="24">
        <f t="shared" si="43"/>
        <v>41.097036529040395</v>
      </c>
      <c r="P105" s="1">
        <f t="shared" si="46"/>
        <v>1250.7956034403612</v>
      </c>
      <c r="Q105">
        <f t="shared" si="47"/>
        <v>35.366588801301731</v>
      </c>
      <c r="R105" s="1">
        <f t="shared" si="48"/>
        <v>69.318514050551386</v>
      </c>
    </row>
    <row r="106" spans="1:18" hidden="1" x14ac:dyDescent="0.3">
      <c r="A106" t="s">
        <v>81</v>
      </c>
      <c r="B106">
        <v>2002</v>
      </c>
      <c r="C106" t="s">
        <v>48</v>
      </c>
      <c r="D106" s="13">
        <v>319</v>
      </c>
      <c r="E106" s="1"/>
      <c r="F106" s="1"/>
      <c r="G106" s="1"/>
      <c r="H106" s="1"/>
      <c r="I106" s="21">
        <v>0.87880449516838866</v>
      </c>
      <c r="J106" s="21">
        <v>8.4008435472244583E-3</v>
      </c>
      <c r="K106" s="13">
        <f t="shared" si="45"/>
        <v>362.99313641867076</v>
      </c>
      <c r="L106" s="1">
        <f t="shared" si="76"/>
        <v>1433.2936737274742</v>
      </c>
      <c r="M106">
        <f t="shared" si="52"/>
        <v>37.858865193339781</v>
      </c>
      <c r="N106" s="1">
        <f t="shared" si="53"/>
        <v>74.203375778945968</v>
      </c>
      <c r="O106" s="24">
        <f t="shared" si="43"/>
        <v>43.993136418670758</v>
      </c>
      <c r="P106" s="1">
        <f t="shared" si="46"/>
        <v>1433.2936737274742</v>
      </c>
      <c r="Q106">
        <f t="shared" si="47"/>
        <v>37.858865193339781</v>
      </c>
      <c r="R106" s="1">
        <f t="shared" si="48"/>
        <v>74.203375778945968</v>
      </c>
    </row>
    <row r="107" spans="1:18" hidden="1" x14ac:dyDescent="0.3">
      <c r="A107" t="s">
        <v>81</v>
      </c>
      <c r="B107">
        <v>2003</v>
      </c>
      <c r="C107" t="s">
        <v>48</v>
      </c>
      <c r="D107" s="13">
        <v>1012</v>
      </c>
      <c r="E107" s="1"/>
      <c r="F107" s="1"/>
      <c r="G107" s="1"/>
      <c r="H107" s="1"/>
      <c r="I107" s="21">
        <v>0.87880449516838866</v>
      </c>
      <c r="J107" s="21">
        <v>8.4008435472244583E-3</v>
      </c>
      <c r="K107" s="13">
        <f t="shared" si="45"/>
        <v>1151.5644327764728</v>
      </c>
      <c r="L107" s="1">
        <f t="shared" si="76"/>
        <v>14424.967484458195</v>
      </c>
      <c r="M107">
        <f t="shared" si="52"/>
        <v>120.10398613059516</v>
      </c>
      <c r="N107" s="1">
        <f t="shared" si="53"/>
        <v>235.40381281596652</v>
      </c>
      <c r="O107" s="24">
        <f t="shared" si="43"/>
        <v>139.56443277647281</v>
      </c>
      <c r="P107" s="1">
        <f t="shared" si="46"/>
        <v>14424.967484458195</v>
      </c>
      <c r="Q107">
        <f t="shared" si="47"/>
        <v>120.10398613059516</v>
      </c>
      <c r="R107" s="1">
        <f t="shared" si="48"/>
        <v>235.40381281596652</v>
      </c>
    </row>
    <row r="108" spans="1:18" hidden="1" x14ac:dyDescent="0.3">
      <c r="A108" t="s">
        <v>81</v>
      </c>
      <c r="B108">
        <v>2004</v>
      </c>
      <c r="C108" t="s">
        <v>48</v>
      </c>
      <c r="D108" s="13">
        <v>730</v>
      </c>
      <c r="E108" s="1"/>
      <c r="F108" s="1"/>
      <c r="G108" s="1"/>
      <c r="H108" s="1"/>
      <c r="I108" s="21">
        <v>0.87880449516838866</v>
      </c>
      <c r="J108" s="21">
        <v>8.4008435472244583E-3</v>
      </c>
      <c r="K108" s="13">
        <f t="shared" si="45"/>
        <v>830.67394854429358</v>
      </c>
      <c r="L108" s="1">
        <f t="shared" si="76"/>
        <v>7505.8440731652699</v>
      </c>
      <c r="M108">
        <f t="shared" si="52"/>
        <v>86.636274580370028</v>
      </c>
      <c r="N108" s="1">
        <f t="shared" si="53"/>
        <v>169.80709817752526</v>
      </c>
      <c r="O108" s="24">
        <f t="shared" si="43"/>
        <v>100.67394854429358</v>
      </c>
      <c r="P108" s="1">
        <f t="shared" si="46"/>
        <v>7505.8440731652699</v>
      </c>
      <c r="Q108">
        <f t="shared" si="47"/>
        <v>86.636274580370028</v>
      </c>
      <c r="R108" s="1">
        <f t="shared" si="48"/>
        <v>169.80709817752526</v>
      </c>
    </row>
    <row r="109" spans="1:18" hidden="1" x14ac:dyDescent="0.3">
      <c r="A109" t="s">
        <v>81</v>
      </c>
      <c r="B109">
        <v>2005</v>
      </c>
      <c r="C109" t="s">
        <v>48</v>
      </c>
      <c r="D109" s="13">
        <v>1242</v>
      </c>
      <c r="E109" s="1"/>
      <c r="F109" s="1"/>
      <c r="G109" s="1"/>
      <c r="H109" s="1"/>
      <c r="I109" s="21">
        <v>0.87880449516838866</v>
      </c>
      <c r="J109" s="21">
        <v>8.4008435472244583E-3</v>
      </c>
      <c r="K109" s="13">
        <f t="shared" si="45"/>
        <v>1413.283622043853</v>
      </c>
      <c r="L109" s="1">
        <f t="shared" si="76"/>
        <v>21726.862182169472</v>
      </c>
      <c r="M109">
        <f t="shared" si="52"/>
        <v>147.40034661482133</v>
      </c>
      <c r="N109" s="1">
        <f t="shared" si="53"/>
        <v>288.90467936504979</v>
      </c>
      <c r="O109" s="24">
        <f t="shared" si="43"/>
        <v>171.28362204385303</v>
      </c>
      <c r="P109" s="1">
        <f t="shared" si="46"/>
        <v>21726.862182169472</v>
      </c>
      <c r="Q109">
        <f t="shared" si="47"/>
        <v>147.40034661482133</v>
      </c>
      <c r="R109" s="1">
        <f t="shared" si="48"/>
        <v>288.90467936504979</v>
      </c>
    </row>
    <row r="110" spans="1:18" hidden="1" x14ac:dyDescent="0.3">
      <c r="A110" t="s">
        <v>81</v>
      </c>
      <c r="B110">
        <v>2006</v>
      </c>
      <c r="C110" t="s">
        <v>48</v>
      </c>
      <c r="D110" s="13">
        <v>1516</v>
      </c>
      <c r="E110" s="1"/>
      <c r="F110" s="1"/>
      <c r="G110" s="1"/>
      <c r="H110" s="1"/>
      <c r="I110" s="21">
        <v>0.87880449516838866</v>
      </c>
      <c r="J110" s="21">
        <v>8.4008435472244583E-3</v>
      </c>
      <c r="K110" s="13">
        <f t="shared" si="45"/>
        <v>1725.0708301276015</v>
      </c>
      <c r="L110" s="1">
        <f t="shared" si="76"/>
        <v>32370.709657002288</v>
      </c>
      <c r="M110">
        <f t="shared" si="52"/>
        <v>179.91861953950817</v>
      </c>
      <c r="N110" s="1">
        <f t="shared" si="53"/>
        <v>352.64049429743602</v>
      </c>
      <c r="O110" s="24">
        <f t="shared" si="43"/>
        <v>209.07083012760154</v>
      </c>
      <c r="P110" s="1">
        <f t="shared" si="46"/>
        <v>32370.709657002288</v>
      </c>
      <c r="Q110">
        <f t="shared" si="47"/>
        <v>179.91861953950817</v>
      </c>
      <c r="R110" s="1">
        <f t="shared" si="48"/>
        <v>352.64049429743602</v>
      </c>
    </row>
    <row r="111" spans="1:18" hidden="1" x14ac:dyDescent="0.3">
      <c r="A111" t="s">
        <v>81</v>
      </c>
      <c r="B111">
        <v>2007</v>
      </c>
      <c r="C111" t="s">
        <v>48</v>
      </c>
      <c r="D111" s="13">
        <v>3481</v>
      </c>
      <c r="E111" s="1"/>
      <c r="F111" s="1"/>
      <c r="G111" s="1"/>
      <c r="H111" s="1"/>
      <c r="I111" s="21">
        <v>0.87880449516838866</v>
      </c>
      <c r="J111" s="21">
        <v>8.4008435472244583E-3</v>
      </c>
      <c r="K111" s="13">
        <f t="shared" si="45"/>
        <v>3961.0630340858711</v>
      </c>
      <c r="L111" s="1">
        <f t="shared" si="76"/>
        <v>170671.83757600674</v>
      </c>
      <c r="M111">
        <f t="shared" si="52"/>
        <v>413.12448193735355</v>
      </c>
      <c r="N111" s="1">
        <f t="shared" si="53"/>
        <v>809.72398459721296</v>
      </c>
      <c r="O111" s="24">
        <f t="shared" si="43"/>
        <v>480.0630340858711</v>
      </c>
      <c r="P111" s="1">
        <f t="shared" si="46"/>
        <v>170671.83757600674</v>
      </c>
      <c r="Q111">
        <f t="shared" si="47"/>
        <v>413.12448193735355</v>
      </c>
      <c r="R111" s="1">
        <f t="shared" si="48"/>
        <v>809.72398459721296</v>
      </c>
    </row>
    <row r="112" spans="1:18" hidden="1" x14ac:dyDescent="0.3">
      <c r="A112" t="s">
        <v>81</v>
      </c>
      <c r="B112">
        <v>2008</v>
      </c>
      <c r="C112" t="s">
        <v>48</v>
      </c>
      <c r="D112" s="13">
        <v>2311</v>
      </c>
      <c r="E112" s="1"/>
      <c r="F112" s="1"/>
      <c r="G112" s="1"/>
      <c r="H112" s="1"/>
      <c r="I112" s="21">
        <v>0.87880449516838866</v>
      </c>
      <c r="J112" s="21">
        <v>8.4008435472244583E-3</v>
      </c>
      <c r="K112" s="13">
        <f t="shared" si="45"/>
        <v>2629.7088973778937</v>
      </c>
      <c r="L112" s="1">
        <f t="shared" si="76"/>
        <v>75223.529863537799</v>
      </c>
      <c r="M112">
        <f t="shared" si="52"/>
        <v>274.26908295237689</v>
      </c>
      <c r="N112" s="1">
        <f t="shared" si="53"/>
        <v>537.56740258665866</v>
      </c>
      <c r="O112" s="24">
        <f t="shared" si="43"/>
        <v>318.70889737789366</v>
      </c>
      <c r="P112" s="1">
        <f t="shared" si="46"/>
        <v>75223.529863537799</v>
      </c>
      <c r="Q112">
        <f t="shared" si="47"/>
        <v>274.26908295237689</v>
      </c>
      <c r="R112" s="1">
        <f t="shared" si="48"/>
        <v>537.56740258665866</v>
      </c>
    </row>
    <row r="113" spans="1:18" hidden="1" x14ac:dyDescent="0.3">
      <c r="A113" t="s">
        <v>81</v>
      </c>
      <c r="B113">
        <v>2009</v>
      </c>
      <c r="C113" t="s">
        <v>48</v>
      </c>
      <c r="D113" s="13">
        <v>2296</v>
      </c>
      <c r="E113" s="1"/>
      <c r="F113" s="1"/>
      <c r="G113" s="1"/>
      <c r="H113" s="1"/>
      <c r="I113" s="21">
        <v>0.87880449516838866</v>
      </c>
      <c r="J113" s="21">
        <v>8.4008435472244583E-3</v>
      </c>
      <c r="K113" s="13">
        <f t="shared" si="45"/>
        <v>2612.6402545995866</v>
      </c>
      <c r="L113" s="1">
        <f t="shared" si="76"/>
        <v>74250.19273710491</v>
      </c>
      <c r="M113">
        <f t="shared" si="52"/>
        <v>272.48888552949256</v>
      </c>
      <c r="N113" s="1">
        <f t="shared" si="53"/>
        <v>534.07821563780544</v>
      </c>
      <c r="O113" s="24">
        <f t="shared" si="43"/>
        <v>316.64025459958657</v>
      </c>
      <c r="P113" s="1">
        <f t="shared" si="46"/>
        <v>74250.19273710491</v>
      </c>
      <c r="Q113">
        <f t="shared" si="47"/>
        <v>272.48888552949256</v>
      </c>
      <c r="R113" s="1">
        <f t="shared" si="48"/>
        <v>534.07821563780544</v>
      </c>
    </row>
    <row r="114" spans="1:18" hidden="1" x14ac:dyDescent="0.3">
      <c r="A114" t="s">
        <v>81</v>
      </c>
      <c r="B114">
        <v>2010</v>
      </c>
      <c r="C114" t="s">
        <v>48</v>
      </c>
      <c r="D114" s="13">
        <v>2555</v>
      </c>
      <c r="E114" s="1"/>
      <c r="F114" s="1"/>
      <c r="G114" s="1"/>
      <c r="H114" s="1"/>
      <c r="I114" s="21">
        <v>0.87880449516838866</v>
      </c>
      <c r="J114" s="21">
        <v>8.4008435472244583E-3</v>
      </c>
      <c r="K114" s="13">
        <f t="shared" si="45"/>
        <v>2907.3588199050278</v>
      </c>
      <c r="L114" s="1">
        <f t="shared" si="76"/>
        <v>91946.589896274556</v>
      </c>
      <c r="M114">
        <f t="shared" si="52"/>
        <v>303.2269610312951</v>
      </c>
      <c r="N114" s="1">
        <f t="shared" si="53"/>
        <v>594.32484362133835</v>
      </c>
      <c r="O114" s="24">
        <f t="shared" si="43"/>
        <v>352.35881990502776</v>
      </c>
      <c r="P114" s="1">
        <f t="shared" si="46"/>
        <v>91946.589896274556</v>
      </c>
      <c r="Q114">
        <f t="shared" si="47"/>
        <v>303.2269610312951</v>
      </c>
      <c r="R114" s="1">
        <f t="shared" si="48"/>
        <v>594.32484362133835</v>
      </c>
    </row>
    <row r="115" spans="1:18" hidden="1" x14ac:dyDescent="0.3">
      <c r="A115" t="s">
        <v>81</v>
      </c>
      <c r="B115">
        <v>2011</v>
      </c>
      <c r="C115" t="s">
        <v>48</v>
      </c>
      <c r="D115" s="13">
        <v>1928</v>
      </c>
      <c r="E115" s="1">
        <v>1611</v>
      </c>
      <c r="F115" s="1">
        <v>234019.09331731763</v>
      </c>
      <c r="G115" s="1">
        <v>43</v>
      </c>
      <c r="H115" s="1">
        <v>985.27242342342709</v>
      </c>
      <c r="I115">
        <f t="shared" ref="I115:I123" si="94">E115/(E115+G115)</f>
        <v>0.9740024183796856</v>
      </c>
      <c r="J115">
        <f t="shared" ref="J115:J123" si="95">((((E115)^2*H115)+((G115)^2*F115))/(E115+G115)^4)</f>
        <v>3.9948460381027822E-4</v>
      </c>
      <c r="K115" s="13">
        <f t="shared" si="45"/>
        <v>1979.4612042209808</v>
      </c>
      <c r="L115" s="1">
        <f t="shared" ref="L115:L139" si="96">(D115^2)*J115*(1/(I115^4))</f>
        <v>1649.9620849615694</v>
      </c>
      <c r="M115">
        <f t="shared" si="52"/>
        <v>40.619725318637613</v>
      </c>
      <c r="N115" s="1">
        <f t="shared" si="53"/>
        <v>79.614661624529717</v>
      </c>
      <c r="O115" s="24">
        <f t="shared" si="43"/>
        <v>51.46120422098079</v>
      </c>
      <c r="P115" s="1">
        <f t="shared" si="46"/>
        <v>1649.9620849615694</v>
      </c>
      <c r="Q115">
        <f t="shared" si="47"/>
        <v>40.619725318637613</v>
      </c>
      <c r="R115" s="1">
        <f t="shared" si="48"/>
        <v>79.614661624529717</v>
      </c>
    </row>
    <row r="116" spans="1:18" hidden="1" x14ac:dyDescent="0.3">
      <c r="A116" t="s">
        <v>81</v>
      </c>
      <c r="B116">
        <v>2012</v>
      </c>
      <c r="C116" t="s">
        <v>48</v>
      </c>
      <c r="D116" s="13">
        <v>3433</v>
      </c>
      <c r="E116" s="1">
        <v>3279</v>
      </c>
      <c r="F116" s="1">
        <v>722961.9843593596</v>
      </c>
      <c r="G116" s="1">
        <v>264</v>
      </c>
      <c r="H116" s="1">
        <v>18228.595970970924</v>
      </c>
      <c r="I116">
        <f t="shared" si="94"/>
        <v>0.92548687552921249</v>
      </c>
      <c r="J116">
        <f t="shared" si="95"/>
        <v>1.5635732787416788E-3</v>
      </c>
      <c r="K116" s="13">
        <f t="shared" si="45"/>
        <v>3709.3989021043003</v>
      </c>
      <c r="L116" s="1">
        <f t="shared" si="96"/>
        <v>25117.984568882985</v>
      </c>
      <c r="M116">
        <f t="shared" si="52"/>
        <v>158.48654381013861</v>
      </c>
      <c r="N116" s="1">
        <f t="shared" si="53"/>
        <v>310.63362586787167</v>
      </c>
      <c r="O116" s="24">
        <f t="shared" si="43"/>
        <v>276.3989021043003</v>
      </c>
      <c r="P116" s="1">
        <f t="shared" si="46"/>
        <v>25117.984568882985</v>
      </c>
      <c r="Q116">
        <f t="shared" si="47"/>
        <v>158.48654381013861</v>
      </c>
      <c r="R116" s="1">
        <f t="shared" si="48"/>
        <v>310.63362586787167</v>
      </c>
    </row>
    <row r="117" spans="1:18" hidden="1" x14ac:dyDescent="0.3">
      <c r="A117" t="s">
        <v>81</v>
      </c>
      <c r="B117">
        <v>2013</v>
      </c>
      <c r="C117" t="s">
        <v>48</v>
      </c>
      <c r="D117" s="13">
        <v>2207</v>
      </c>
      <c r="E117" s="1">
        <v>2108</v>
      </c>
      <c r="F117" s="1">
        <v>348619.63040540554</v>
      </c>
      <c r="G117" s="1">
        <v>336</v>
      </c>
      <c r="H117" s="1">
        <v>76840.780155155284</v>
      </c>
      <c r="I117">
        <f t="shared" si="94"/>
        <v>0.86252045826513912</v>
      </c>
      <c r="J117">
        <f t="shared" si="95"/>
        <v>1.0673484930831973E-2</v>
      </c>
      <c r="K117" s="13">
        <f t="shared" si="45"/>
        <v>2558.7798861480078</v>
      </c>
      <c r="L117" s="1">
        <f t="shared" si="96"/>
        <v>93936.264893907151</v>
      </c>
      <c r="M117">
        <f t="shared" si="52"/>
        <v>306.4902362130108</v>
      </c>
      <c r="N117" s="1">
        <f t="shared" si="53"/>
        <v>600.72086297750116</v>
      </c>
      <c r="O117" s="24">
        <f t="shared" si="43"/>
        <v>351.77988614800779</v>
      </c>
      <c r="P117" s="1">
        <f t="shared" si="46"/>
        <v>93936.264893907151</v>
      </c>
      <c r="Q117">
        <f t="shared" si="47"/>
        <v>306.4902362130108</v>
      </c>
      <c r="R117" s="1">
        <f t="shared" si="48"/>
        <v>600.72086297750116</v>
      </c>
    </row>
    <row r="118" spans="1:18" hidden="1" x14ac:dyDescent="0.3">
      <c r="A118" t="s">
        <v>81</v>
      </c>
      <c r="B118">
        <v>2014</v>
      </c>
      <c r="C118" t="s">
        <v>48</v>
      </c>
      <c r="D118" s="13">
        <v>3551</v>
      </c>
      <c r="E118" s="1">
        <v>3029</v>
      </c>
      <c r="F118" s="1">
        <v>593307.65881781862</v>
      </c>
      <c r="G118" s="1">
        <v>214</v>
      </c>
      <c r="H118" s="1">
        <v>14293.40584984976</v>
      </c>
      <c r="I118">
        <f t="shared" si="94"/>
        <v>0.93401171754548262</v>
      </c>
      <c r="J118">
        <f t="shared" si="95"/>
        <v>1.4312742842371292E-3</v>
      </c>
      <c r="K118" s="13">
        <f t="shared" si="45"/>
        <v>3801.8794981842188</v>
      </c>
      <c r="L118" s="1">
        <f t="shared" si="96"/>
        <v>23714.551436006946</v>
      </c>
      <c r="M118">
        <f t="shared" si="52"/>
        <v>153.9952967983339</v>
      </c>
      <c r="N118" s="1">
        <f t="shared" si="53"/>
        <v>301.83078172473444</v>
      </c>
      <c r="O118" s="24">
        <f t="shared" si="43"/>
        <v>250.87949818421885</v>
      </c>
      <c r="P118" s="1">
        <f t="shared" si="46"/>
        <v>23714.551436006946</v>
      </c>
      <c r="Q118">
        <f t="shared" si="47"/>
        <v>153.9952967983339</v>
      </c>
      <c r="R118" s="1">
        <f t="shared" si="48"/>
        <v>301.83078172473444</v>
      </c>
    </row>
    <row r="119" spans="1:18" hidden="1" x14ac:dyDescent="0.3">
      <c r="A119" t="s">
        <v>81</v>
      </c>
      <c r="B119">
        <v>2015</v>
      </c>
      <c r="C119" t="s">
        <v>48</v>
      </c>
      <c r="D119" s="13">
        <v>2787</v>
      </c>
      <c r="E119" s="1">
        <v>2033</v>
      </c>
      <c r="F119" s="1">
        <v>412089.59622022061</v>
      </c>
      <c r="G119" s="1">
        <v>680</v>
      </c>
      <c r="H119" s="1">
        <v>145667.6246636638</v>
      </c>
      <c r="I119">
        <f t="shared" si="94"/>
        <v>0.74935495761150017</v>
      </c>
      <c r="J119">
        <f t="shared" si="95"/>
        <v>1.4630494157075957E-2</v>
      </c>
      <c r="K119" s="13">
        <f t="shared" si="45"/>
        <v>3719.19872110182</v>
      </c>
      <c r="L119" s="1">
        <f t="shared" si="96"/>
        <v>360398.18316320516</v>
      </c>
      <c r="M119">
        <f t="shared" si="52"/>
        <v>600.33172760000377</v>
      </c>
      <c r="N119" s="1">
        <f t="shared" si="53"/>
        <v>1176.6501860960075</v>
      </c>
      <c r="O119" s="24">
        <f t="shared" si="43"/>
        <v>932.19872110181996</v>
      </c>
      <c r="P119" s="1">
        <f t="shared" si="46"/>
        <v>360398.18316320516</v>
      </c>
      <c r="Q119">
        <f t="shared" si="47"/>
        <v>600.33172760000377</v>
      </c>
      <c r="R119" s="1">
        <f t="shared" si="48"/>
        <v>1176.6501860960075</v>
      </c>
    </row>
    <row r="120" spans="1:18" hidden="1" x14ac:dyDescent="0.3">
      <c r="A120" t="s">
        <v>81</v>
      </c>
      <c r="B120">
        <v>2016</v>
      </c>
      <c r="C120" t="s">
        <v>48</v>
      </c>
      <c r="D120" s="13">
        <v>3561</v>
      </c>
      <c r="E120" s="1">
        <v>2512</v>
      </c>
      <c r="F120" s="1">
        <v>737293.04611712019</v>
      </c>
      <c r="G120" s="1">
        <v>295</v>
      </c>
      <c r="H120" s="1">
        <v>32635.602066066011</v>
      </c>
      <c r="I120">
        <f t="shared" si="94"/>
        <v>0.89490559315995721</v>
      </c>
      <c r="J120">
        <f t="shared" si="95"/>
        <v>4.3506301125708254E-3</v>
      </c>
      <c r="K120" s="13">
        <f t="shared" si="45"/>
        <v>3979.190684713376</v>
      </c>
      <c r="L120" s="1">
        <f t="shared" si="96"/>
        <v>86017.579810230731</v>
      </c>
      <c r="M120">
        <f t="shared" si="52"/>
        <v>293.28753776836601</v>
      </c>
      <c r="N120" s="1">
        <f t="shared" si="53"/>
        <v>574.84357402599733</v>
      </c>
      <c r="O120" s="24">
        <f t="shared" si="43"/>
        <v>418.19068471337596</v>
      </c>
      <c r="P120" s="1">
        <f t="shared" si="46"/>
        <v>86017.579810230731</v>
      </c>
      <c r="Q120">
        <f t="shared" si="47"/>
        <v>293.28753776836601</v>
      </c>
      <c r="R120" s="1">
        <f t="shared" si="48"/>
        <v>574.84357402599733</v>
      </c>
    </row>
    <row r="121" spans="1:18" hidden="1" x14ac:dyDescent="0.3">
      <c r="A121" t="s">
        <v>81</v>
      </c>
      <c r="B121">
        <v>2017</v>
      </c>
      <c r="C121" t="s">
        <v>48</v>
      </c>
      <c r="D121" s="13">
        <v>3933</v>
      </c>
      <c r="E121" s="60">
        <v>2144</v>
      </c>
      <c r="F121" s="60">
        <v>280432.76311411388</v>
      </c>
      <c r="G121" s="65">
        <v>738</v>
      </c>
      <c r="H121" s="60">
        <v>153491.03426526548</v>
      </c>
      <c r="I121">
        <f>E121/(E121+G121)</f>
        <v>0.7439278278972935</v>
      </c>
      <c r="J121">
        <f t="shared" si="95"/>
        <v>1.2441136690885117E-2</v>
      </c>
      <c r="K121" s="13">
        <f t="shared" si="45"/>
        <v>5286.8031716417918</v>
      </c>
      <c r="L121" s="1">
        <f t="shared" si="96"/>
        <v>628325.57356668822</v>
      </c>
      <c r="M121">
        <f t="shared" si="52"/>
        <v>792.66990201892247</v>
      </c>
      <c r="N121" s="1">
        <f t="shared" si="53"/>
        <v>1553.633007957088</v>
      </c>
      <c r="O121" s="24">
        <f t="shared" si="43"/>
        <v>1353.8031716417918</v>
      </c>
      <c r="P121" s="1">
        <f t="shared" si="46"/>
        <v>628325.57356668822</v>
      </c>
      <c r="Q121">
        <f t="shared" si="47"/>
        <v>792.66990201892247</v>
      </c>
      <c r="R121" s="1">
        <f t="shared" si="48"/>
        <v>1553.633007957088</v>
      </c>
    </row>
    <row r="122" spans="1:18" hidden="1" x14ac:dyDescent="0.3">
      <c r="A122" t="s">
        <v>81</v>
      </c>
      <c r="B122">
        <v>2018</v>
      </c>
      <c r="C122" t="s">
        <v>48</v>
      </c>
      <c r="D122" s="13">
        <v>3914</v>
      </c>
      <c r="E122" s="1">
        <v>3004</v>
      </c>
      <c r="F122" s="1">
        <v>672614.38643043162</v>
      </c>
      <c r="G122" s="1">
        <v>232</v>
      </c>
      <c r="H122" s="1">
        <v>18134.66934834827</v>
      </c>
      <c r="I122">
        <f t="shared" si="94"/>
        <v>0.92830655129789863</v>
      </c>
      <c r="J122">
        <f t="shared" si="95"/>
        <v>1.8225138878764035E-3</v>
      </c>
      <c r="K122" s="13">
        <f t="shared" si="45"/>
        <v>4216.2796271637817</v>
      </c>
      <c r="L122" s="1">
        <f t="shared" si="96"/>
        <v>37596.448991886558</v>
      </c>
      <c r="M122">
        <f t="shared" si="52"/>
        <v>193.89803761742036</v>
      </c>
      <c r="N122" s="1">
        <f t="shared" si="53"/>
        <v>380.04015373014391</v>
      </c>
      <c r="O122" s="24">
        <f t="shared" si="43"/>
        <v>302.2796271637817</v>
      </c>
      <c r="P122" s="1">
        <f t="shared" si="46"/>
        <v>37596.448991886558</v>
      </c>
      <c r="Q122">
        <f t="shared" si="47"/>
        <v>193.89803761742036</v>
      </c>
      <c r="R122" s="1">
        <f t="shared" si="48"/>
        <v>380.04015373014391</v>
      </c>
    </row>
    <row r="123" spans="1:18" hidden="1" x14ac:dyDescent="0.3">
      <c r="A123" t="s">
        <v>81</v>
      </c>
      <c r="B123">
        <v>2019</v>
      </c>
      <c r="C123" t="s">
        <v>48</v>
      </c>
      <c r="D123" s="13">
        <v>5680</v>
      </c>
      <c r="E123" s="1">
        <v>1831</v>
      </c>
      <c r="F123" s="1">
        <v>541050.77915415505</v>
      </c>
      <c r="G123" s="1">
        <v>589</v>
      </c>
      <c r="H123" s="1">
        <v>145527.89294894913</v>
      </c>
      <c r="I123">
        <f t="shared" si="94"/>
        <v>0.75661157024793391</v>
      </c>
      <c r="J123">
        <f t="shared" si="95"/>
        <v>1.9698070489197521E-2</v>
      </c>
      <c r="K123" s="13">
        <f t="shared" si="45"/>
        <v>7507.1545603495351</v>
      </c>
      <c r="L123" s="1">
        <f>(D123^2)*J123*(1/(I123^4))</f>
        <v>1939226.0896531206</v>
      </c>
      <c r="M123">
        <f>SQRT(L123)</f>
        <v>1392.5609823821435</v>
      </c>
      <c r="N123" s="1">
        <f>(1.96*M123)</f>
        <v>2729.4195254690012</v>
      </c>
      <c r="O123" s="24">
        <f t="shared" si="43"/>
        <v>1827.1545603495351</v>
      </c>
      <c r="P123" s="1">
        <f>L123</f>
        <v>1939226.0896531206</v>
      </c>
      <c r="Q123">
        <f>SQRT(P123)</f>
        <v>1392.5609823821435</v>
      </c>
      <c r="R123" s="1">
        <f>(1.96*Q123)</f>
        <v>2729.4195254690012</v>
      </c>
    </row>
    <row r="124" spans="1:18" hidden="1" x14ac:dyDescent="0.3">
      <c r="A124" t="s">
        <v>81</v>
      </c>
      <c r="B124">
        <v>2020</v>
      </c>
      <c r="C124" t="s">
        <v>48</v>
      </c>
      <c r="D124" s="13">
        <v>1507</v>
      </c>
      <c r="E124" s="66">
        <v>2289</v>
      </c>
      <c r="F124" s="66">
        <v>233242.22538938923</v>
      </c>
      <c r="G124" s="66">
        <v>433</v>
      </c>
      <c r="H124" s="66">
        <v>38585.891791791895</v>
      </c>
      <c r="I124">
        <f t="shared" ref="I124:I125" si="97">E124/(E124+G124)</f>
        <v>0.84092578986039679</v>
      </c>
      <c r="J124">
        <f t="shared" ref="J124:J125" si="98">((((E124)^2*H124)+((G124)^2*F124))/(E124+G124)^4)</f>
        <v>4.4792930362266871E-3</v>
      </c>
      <c r="K124" s="13">
        <f t="shared" ref="K124:K125" si="99">D124/I124</f>
        <v>1792.0725207514197</v>
      </c>
      <c r="L124" s="1">
        <f t="shared" ref="L124:L125" si="100">(D124^2)*J124*(1/(I124^4))</f>
        <v>20342.54532916598</v>
      </c>
      <c r="M124">
        <f t="shared" ref="M124:M125" si="101">SQRT(L124)</f>
        <v>142.62729517580419</v>
      </c>
      <c r="N124" s="1">
        <f t="shared" ref="N124:N125" si="102">(1.96*M124)</f>
        <v>279.54949854457624</v>
      </c>
      <c r="O124" s="24">
        <f t="shared" ref="O124:O125" si="103">K124-D124</f>
        <v>285.07252075141969</v>
      </c>
      <c r="P124" s="1">
        <f t="shared" ref="P124:P125" si="104">L124</f>
        <v>20342.54532916598</v>
      </c>
      <c r="Q124">
        <f t="shared" ref="Q124:Q125" si="105">SQRT(P124)</f>
        <v>142.62729517580419</v>
      </c>
      <c r="R124" s="1">
        <f t="shared" ref="R124:R125" si="106">(1.96*Q124)</f>
        <v>279.54949854457624</v>
      </c>
    </row>
    <row r="125" spans="1:18" hidden="1" x14ac:dyDescent="0.3">
      <c r="A125" t="s">
        <v>81</v>
      </c>
      <c r="B125">
        <v>2021</v>
      </c>
      <c r="C125" t="s">
        <v>48</v>
      </c>
      <c r="D125" s="13">
        <v>2885</v>
      </c>
      <c r="E125" s="61">
        <v>8516</v>
      </c>
      <c r="F125" s="61">
        <v>2362897.2666416327</v>
      </c>
      <c r="G125" s="61">
        <v>1330</v>
      </c>
      <c r="H125" s="61">
        <v>243454.78281381403</v>
      </c>
      <c r="I125">
        <f t="shared" si="97"/>
        <v>0.86491976437131834</v>
      </c>
      <c r="J125">
        <f t="shared" si="98"/>
        <v>2.3234117604804612E-3</v>
      </c>
      <c r="K125" s="13">
        <f t="shared" si="99"/>
        <v>3335.5695162047909</v>
      </c>
      <c r="L125" s="1">
        <f t="shared" si="100"/>
        <v>34555.289276141099</v>
      </c>
      <c r="M125">
        <f t="shared" si="101"/>
        <v>185.8905303562855</v>
      </c>
      <c r="N125" s="1">
        <f t="shared" si="102"/>
        <v>364.34543949831959</v>
      </c>
      <c r="O125" s="24">
        <f t="shared" si="103"/>
        <v>450.56951620479094</v>
      </c>
      <c r="P125" s="1">
        <f t="shared" si="104"/>
        <v>34555.289276141099</v>
      </c>
      <c r="Q125">
        <f t="shared" si="105"/>
        <v>185.8905303562855</v>
      </c>
      <c r="R125" s="1">
        <f t="shared" si="106"/>
        <v>364.34543949831959</v>
      </c>
    </row>
    <row r="126" spans="1:18" s="51" customFormat="1" hidden="1" x14ac:dyDescent="0.3">
      <c r="A126" s="51" t="s">
        <v>81</v>
      </c>
      <c r="B126" s="51">
        <v>2022</v>
      </c>
      <c r="C126" s="51" t="s">
        <v>48</v>
      </c>
      <c r="D126" s="71">
        <v>1829</v>
      </c>
      <c r="E126" s="84">
        <f>E26</f>
        <v>6339</v>
      </c>
      <c r="F126" s="84">
        <f>F26</f>
        <v>1466521</v>
      </c>
      <c r="G126" s="84">
        <f>G26</f>
        <v>2420</v>
      </c>
      <c r="H126" s="84">
        <f>H26</f>
        <v>741321</v>
      </c>
      <c r="I126">
        <f t="shared" ref="I126" si="107">E126/(E126+G126)</f>
        <v>0.72371275259732848</v>
      </c>
      <c r="J126">
        <f t="shared" ref="J126" si="108">((((E126)^2*H126)+((G126)^2*F126))/(E126+G126)^4)</f>
        <v>6.5200759365410454E-3</v>
      </c>
      <c r="K126" s="13">
        <f t="shared" ref="K126" si="109">D126/I126</f>
        <v>2527.2457800914972</v>
      </c>
      <c r="L126" s="1">
        <f t="shared" ref="L126" si="110">(D126^2)*J126*(1/(I126^4))</f>
        <v>79508.793444844647</v>
      </c>
      <c r="M126">
        <f t="shared" ref="M126" si="111">SQRT(L126)</f>
        <v>281.97303673373568</v>
      </c>
      <c r="N126" s="1">
        <f t="shared" ref="N126" si="112">(1.96*M126)</f>
        <v>552.66715199812188</v>
      </c>
      <c r="O126" s="24">
        <f t="shared" ref="O126" si="113">K126-D126</f>
        <v>698.24578009149718</v>
      </c>
      <c r="P126" s="1">
        <f t="shared" ref="P126" si="114">L126</f>
        <v>79508.793444844647</v>
      </c>
      <c r="Q126">
        <f t="shared" ref="Q126" si="115">SQRT(P126)</f>
        <v>281.97303673373568</v>
      </c>
      <c r="R126" s="1">
        <f t="shared" ref="R126" si="116">(1.96*Q126)</f>
        <v>552.66715199812188</v>
      </c>
    </row>
    <row r="127" spans="1:18" hidden="1" x14ac:dyDescent="0.3">
      <c r="A127" t="s">
        <v>81</v>
      </c>
      <c r="B127">
        <v>1998</v>
      </c>
      <c r="C127" t="s">
        <v>49</v>
      </c>
      <c r="D127" s="13">
        <v>5169</v>
      </c>
      <c r="E127" s="1"/>
      <c r="F127" s="1"/>
      <c r="G127" s="1"/>
      <c r="H127" s="1"/>
      <c r="I127" s="21">
        <f>AVERAGE(I140:I147)</f>
        <v>0.66910707531848124</v>
      </c>
      <c r="J127" s="21">
        <v>2.8570629536094913E-3</v>
      </c>
      <c r="K127" s="13">
        <f t="shared" ref="K127:K180" si="117">D127/I127</f>
        <v>7725.220955913016</v>
      </c>
      <c r="L127" s="1">
        <f t="shared" si="96"/>
        <v>380846.86521831615</v>
      </c>
      <c r="M127">
        <f t="shared" si="52"/>
        <v>617.12791641467345</v>
      </c>
      <c r="N127" s="1">
        <f t="shared" si="53"/>
        <v>1209.5707161727598</v>
      </c>
      <c r="O127" s="24">
        <f t="shared" si="43"/>
        <v>2556.220955913016</v>
      </c>
      <c r="P127" s="1">
        <f t="shared" ref="P127:P180" si="118">L127</f>
        <v>380846.86521831615</v>
      </c>
      <c r="Q127">
        <f t="shared" ref="Q127:Q180" si="119">SQRT(P127)</f>
        <v>617.12791641467345</v>
      </c>
      <c r="R127" s="1">
        <f t="shared" ref="R127:R180" si="120">(1.96*Q127)</f>
        <v>1209.5707161727598</v>
      </c>
    </row>
    <row r="128" spans="1:18" hidden="1" x14ac:dyDescent="0.3">
      <c r="A128" t="s">
        <v>81</v>
      </c>
      <c r="B128">
        <v>1999</v>
      </c>
      <c r="C128" t="s">
        <v>49</v>
      </c>
      <c r="D128" s="13">
        <v>9276</v>
      </c>
      <c r="E128" s="1"/>
      <c r="F128" s="1"/>
      <c r="G128" s="1"/>
      <c r="H128" s="1"/>
      <c r="I128" s="21">
        <v>0.66910707531848124</v>
      </c>
      <c r="J128" s="21">
        <v>2.8570629536094913E-3</v>
      </c>
      <c r="K128" s="13">
        <f t="shared" si="117"/>
        <v>13863.251999816044</v>
      </c>
      <c r="L128" s="1">
        <f t="shared" si="96"/>
        <v>1226475.2843498222</v>
      </c>
      <c r="M128">
        <f t="shared" si="52"/>
        <v>1107.4634460558154</v>
      </c>
      <c r="N128" s="1">
        <f t="shared" si="53"/>
        <v>2170.6283542693982</v>
      </c>
      <c r="O128" s="24">
        <f t="shared" si="43"/>
        <v>4587.2519998160442</v>
      </c>
      <c r="P128" s="1">
        <f t="shared" si="118"/>
        <v>1226475.2843498222</v>
      </c>
      <c r="Q128">
        <f t="shared" si="119"/>
        <v>1107.4634460558154</v>
      </c>
      <c r="R128" s="1">
        <f t="shared" si="120"/>
        <v>2170.6283542693982</v>
      </c>
    </row>
    <row r="129" spans="1:18" hidden="1" x14ac:dyDescent="0.3">
      <c r="A129" t="s">
        <v>81</v>
      </c>
      <c r="B129">
        <v>2000</v>
      </c>
      <c r="C129" t="s">
        <v>49</v>
      </c>
      <c r="D129" s="13">
        <v>13107</v>
      </c>
      <c r="E129" s="1"/>
      <c r="F129" s="1"/>
      <c r="G129" s="1"/>
      <c r="H129" s="1"/>
      <c r="I129" s="21">
        <v>0.66910707531848124</v>
      </c>
      <c r="J129" s="21">
        <v>2.8570629536094913E-3</v>
      </c>
      <c r="K129" s="13">
        <f t="shared" si="117"/>
        <v>19588.793010089361</v>
      </c>
      <c r="L129" s="1">
        <f t="shared" si="96"/>
        <v>2448747.0158551079</v>
      </c>
      <c r="M129">
        <f t="shared" si="52"/>
        <v>1564.8472819592039</v>
      </c>
      <c r="N129" s="1">
        <f t="shared" si="53"/>
        <v>3067.1006726400396</v>
      </c>
      <c r="O129" s="24">
        <f t="shared" ref="O129:O204" si="121">K129-D129</f>
        <v>6481.7930100893609</v>
      </c>
      <c r="P129" s="1">
        <f t="shared" si="118"/>
        <v>2448747.0158551079</v>
      </c>
      <c r="Q129">
        <f t="shared" si="119"/>
        <v>1564.8472819592039</v>
      </c>
      <c r="R129" s="1">
        <f t="shared" si="120"/>
        <v>3067.1006726400396</v>
      </c>
    </row>
    <row r="130" spans="1:18" hidden="1" x14ac:dyDescent="0.3">
      <c r="A130" t="s">
        <v>81</v>
      </c>
      <c r="B130">
        <v>2001</v>
      </c>
      <c r="C130" t="s">
        <v>49</v>
      </c>
      <c r="D130" s="13">
        <v>20907</v>
      </c>
      <c r="E130" s="1"/>
      <c r="F130" s="1"/>
      <c r="G130" s="1"/>
      <c r="H130" s="1"/>
      <c r="I130" s="21">
        <v>0.66910707531848124</v>
      </c>
      <c r="J130" s="21">
        <v>2.8570629536094913E-3</v>
      </c>
      <c r="K130" s="13">
        <f t="shared" si="117"/>
        <v>31246.120047450848</v>
      </c>
      <c r="L130" s="1">
        <f t="shared" si="96"/>
        <v>6230469.2850139625</v>
      </c>
      <c r="M130">
        <f t="shared" ref="M130:M139" si="122">SQRT(L130)</f>
        <v>2496.0908006348573</v>
      </c>
      <c r="N130" s="1">
        <f t="shared" ref="N130:N139" si="123">(1.96*M130)</f>
        <v>4892.3379692443204</v>
      </c>
      <c r="O130" s="24">
        <f t="shared" si="121"/>
        <v>10339.120047450848</v>
      </c>
      <c r="P130" s="1">
        <f t="shared" si="118"/>
        <v>6230469.2850139625</v>
      </c>
      <c r="Q130">
        <f t="shared" si="119"/>
        <v>2496.0908006348573</v>
      </c>
      <c r="R130" s="1">
        <f t="shared" si="120"/>
        <v>4892.3379692443204</v>
      </c>
    </row>
    <row r="131" spans="1:18" hidden="1" x14ac:dyDescent="0.3">
      <c r="A131" t="s">
        <v>81</v>
      </c>
      <c r="B131">
        <v>2002</v>
      </c>
      <c r="C131" t="s">
        <v>49</v>
      </c>
      <c r="D131" s="13">
        <v>17318</v>
      </c>
      <c r="E131" s="1"/>
      <c r="F131" s="1"/>
      <c r="G131" s="1"/>
      <c r="H131" s="1"/>
      <c r="I131" s="21">
        <v>0.66910707531848124</v>
      </c>
      <c r="J131" s="21">
        <v>2.8570629536094913E-3</v>
      </c>
      <c r="K131" s="13">
        <f t="shared" si="117"/>
        <v>25882.255081157207</v>
      </c>
      <c r="L131" s="1">
        <f t="shared" si="96"/>
        <v>4274967.2451758217</v>
      </c>
      <c r="M131">
        <f t="shared" si="122"/>
        <v>2067.5993918493546</v>
      </c>
      <c r="N131" s="1">
        <f t="shared" si="123"/>
        <v>4052.494808024735</v>
      </c>
      <c r="O131" s="24">
        <f t="shared" si="121"/>
        <v>8564.2550811572073</v>
      </c>
      <c r="P131" s="1">
        <f t="shared" si="118"/>
        <v>4274967.2451758217</v>
      </c>
      <c r="Q131">
        <f t="shared" si="119"/>
        <v>2067.5993918493546</v>
      </c>
      <c r="R131" s="1">
        <f t="shared" si="120"/>
        <v>4052.494808024735</v>
      </c>
    </row>
    <row r="132" spans="1:18" hidden="1" x14ac:dyDescent="0.3">
      <c r="A132" t="s">
        <v>81</v>
      </c>
      <c r="B132">
        <v>2003</v>
      </c>
      <c r="C132" t="s">
        <v>49</v>
      </c>
      <c r="D132" s="13">
        <v>17020</v>
      </c>
      <c r="E132" s="1"/>
      <c r="F132" s="1"/>
      <c r="G132" s="1"/>
      <c r="H132" s="1"/>
      <c r="I132" s="21">
        <v>0.66910707531848124</v>
      </c>
      <c r="J132" s="21">
        <v>2.8570629536094913E-3</v>
      </c>
      <c r="K132" s="13">
        <f t="shared" si="117"/>
        <v>25436.885407165704</v>
      </c>
      <c r="L132" s="1">
        <f t="shared" si="96"/>
        <v>4129109.8070434225</v>
      </c>
      <c r="M132">
        <f t="shared" si="122"/>
        <v>2032.0211138281568</v>
      </c>
      <c r="N132" s="1">
        <f t="shared" si="123"/>
        <v>3982.7613831031872</v>
      </c>
      <c r="O132" s="24">
        <f t="shared" si="121"/>
        <v>8416.8854071657042</v>
      </c>
      <c r="P132" s="1">
        <f t="shared" si="118"/>
        <v>4129109.8070434225</v>
      </c>
      <c r="Q132">
        <f t="shared" si="119"/>
        <v>2032.0211138281568</v>
      </c>
      <c r="R132" s="1">
        <f t="shared" si="120"/>
        <v>3982.7613831031872</v>
      </c>
    </row>
    <row r="133" spans="1:18" hidden="1" x14ac:dyDescent="0.3">
      <c r="A133" t="s">
        <v>81</v>
      </c>
      <c r="B133">
        <v>2004</v>
      </c>
      <c r="C133" t="s">
        <v>49</v>
      </c>
      <c r="D133" s="13">
        <v>19434</v>
      </c>
      <c r="E133" s="1"/>
      <c r="F133" s="1"/>
      <c r="G133" s="1"/>
      <c r="H133" s="1"/>
      <c r="I133" s="21">
        <v>0.66910707531848124</v>
      </c>
      <c r="J133" s="21">
        <v>2.8570629536094913E-3</v>
      </c>
      <c r="K133" s="13">
        <f t="shared" si="117"/>
        <v>29044.67867231835</v>
      </c>
      <c r="L133" s="1">
        <f t="shared" si="96"/>
        <v>5383462.8158731172</v>
      </c>
      <c r="M133">
        <f t="shared" si="122"/>
        <v>2320.2290438388013</v>
      </c>
      <c r="N133" s="1">
        <f t="shared" si="123"/>
        <v>4547.6489259240507</v>
      </c>
      <c r="O133" s="24">
        <f t="shared" si="121"/>
        <v>9610.6786723183504</v>
      </c>
      <c r="P133" s="1">
        <f t="shared" si="118"/>
        <v>5383462.8158731172</v>
      </c>
      <c r="Q133">
        <f t="shared" si="119"/>
        <v>2320.2290438388013</v>
      </c>
      <c r="R133" s="1">
        <f t="shared" si="120"/>
        <v>4547.6489259240507</v>
      </c>
    </row>
    <row r="134" spans="1:18" hidden="1" x14ac:dyDescent="0.3">
      <c r="A134" t="s">
        <v>81</v>
      </c>
      <c r="B134">
        <v>2005</v>
      </c>
      <c r="C134" t="s">
        <v>49</v>
      </c>
      <c r="D134" s="13">
        <v>22792</v>
      </c>
      <c r="E134" s="1"/>
      <c r="F134" s="1"/>
      <c r="G134" s="1"/>
      <c r="H134" s="1"/>
      <c r="I134" s="21">
        <v>0.66910707531848124</v>
      </c>
      <c r="J134" s="21">
        <v>2.8570629536094913E-3</v>
      </c>
      <c r="K134" s="13">
        <f t="shared" si="117"/>
        <v>34063.307414813207</v>
      </c>
      <c r="L134" s="1">
        <f t="shared" si="96"/>
        <v>7404610.0706118569</v>
      </c>
      <c r="M134">
        <f t="shared" si="122"/>
        <v>2721.1413176481401</v>
      </c>
      <c r="N134" s="1">
        <f t="shared" si="123"/>
        <v>5333.4369825903541</v>
      </c>
      <c r="O134" s="24">
        <f t="shared" si="121"/>
        <v>11271.307414813207</v>
      </c>
      <c r="P134" s="1">
        <f t="shared" si="118"/>
        <v>7404610.0706118569</v>
      </c>
      <c r="Q134">
        <f t="shared" si="119"/>
        <v>2721.1413176481401</v>
      </c>
      <c r="R134" s="1">
        <f t="shared" si="120"/>
        <v>5333.4369825903541</v>
      </c>
    </row>
    <row r="135" spans="1:18" hidden="1" x14ac:dyDescent="0.3">
      <c r="A135" t="s">
        <v>81</v>
      </c>
      <c r="B135">
        <v>2006</v>
      </c>
      <c r="C135" t="s">
        <v>49</v>
      </c>
      <c r="D135" s="13">
        <v>19998</v>
      </c>
      <c r="E135" s="1"/>
      <c r="F135" s="1"/>
      <c r="G135" s="1"/>
      <c r="H135" s="1"/>
      <c r="I135" s="21">
        <v>0.66910707531848124</v>
      </c>
      <c r="J135" s="21">
        <v>2.8570629536094913E-3</v>
      </c>
      <c r="K135" s="13">
        <f t="shared" si="117"/>
        <v>29887.593088866026</v>
      </c>
      <c r="L135" s="1">
        <f t="shared" si="96"/>
        <v>5700467.1719220383</v>
      </c>
      <c r="M135">
        <f t="shared" si="122"/>
        <v>2387.5651136507331</v>
      </c>
      <c r="N135" s="1">
        <f t="shared" si="123"/>
        <v>4679.6276227554372</v>
      </c>
      <c r="O135" s="24">
        <f t="shared" si="121"/>
        <v>9889.5930888660259</v>
      </c>
      <c r="P135" s="1">
        <f t="shared" si="118"/>
        <v>5700467.1719220383</v>
      </c>
      <c r="Q135">
        <f t="shared" si="119"/>
        <v>2387.5651136507331</v>
      </c>
      <c r="R135" s="1">
        <f t="shared" si="120"/>
        <v>4679.6276227554372</v>
      </c>
    </row>
    <row r="136" spans="1:18" hidden="1" x14ac:dyDescent="0.3">
      <c r="A136" t="s">
        <v>81</v>
      </c>
      <c r="B136">
        <v>2007</v>
      </c>
      <c r="C136" t="s">
        <v>49</v>
      </c>
      <c r="D136" s="13">
        <v>23861</v>
      </c>
      <c r="E136" s="1"/>
      <c r="F136" s="1"/>
      <c r="G136" s="1"/>
      <c r="H136" s="1"/>
      <c r="I136" s="21">
        <v>0.66910707531848124</v>
      </c>
      <c r="J136" s="21">
        <v>2.8570629536094913E-3</v>
      </c>
      <c r="K136" s="13">
        <f t="shared" si="117"/>
        <v>35660.959030574668</v>
      </c>
      <c r="L136" s="1">
        <f t="shared" si="96"/>
        <v>8115487.2982604261</v>
      </c>
      <c r="M136">
        <f t="shared" si="122"/>
        <v>2848.7694357845858</v>
      </c>
      <c r="N136" s="1">
        <f t="shared" si="123"/>
        <v>5583.5880941377882</v>
      </c>
      <c r="O136" s="24">
        <f t="shared" si="121"/>
        <v>11799.959030574668</v>
      </c>
      <c r="P136" s="1">
        <f t="shared" si="118"/>
        <v>8115487.2982604261</v>
      </c>
      <c r="Q136">
        <f t="shared" si="119"/>
        <v>2848.7694357845858</v>
      </c>
      <c r="R136" s="1">
        <f t="shared" si="120"/>
        <v>5583.5880941377882</v>
      </c>
    </row>
    <row r="137" spans="1:18" hidden="1" x14ac:dyDescent="0.3">
      <c r="A137" t="s">
        <v>81</v>
      </c>
      <c r="B137">
        <v>2008</v>
      </c>
      <c r="C137" t="s">
        <v>49</v>
      </c>
      <c r="D137" s="13">
        <v>25596</v>
      </c>
      <c r="E137" s="1"/>
      <c r="F137" s="1"/>
      <c r="G137" s="1"/>
      <c r="H137" s="1"/>
      <c r="I137" s="21">
        <v>0.66910707531848124</v>
      </c>
      <c r="J137" s="21">
        <v>2.8570629536094913E-3</v>
      </c>
      <c r="K137" s="13">
        <f t="shared" si="117"/>
        <v>38253.967031833927</v>
      </c>
      <c r="L137" s="1">
        <f t="shared" si="96"/>
        <v>9338594.6288435515</v>
      </c>
      <c r="M137">
        <f t="shared" si="122"/>
        <v>3055.9114235925672</v>
      </c>
      <c r="N137" s="1">
        <f t="shared" si="123"/>
        <v>5989.5863902414312</v>
      </c>
      <c r="O137" s="24">
        <f t="shared" si="121"/>
        <v>12657.967031833927</v>
      </c>
      <c r="P137" s="1">
        <f t="shared" si="118"/>
        <v>9338594.6288435515</v>
      </c>
      <c r="Q137">
        <f t="shared" si="119"/>
        <v>3055.9114235925672</v>
      </c>
      <c r="R137" s="1">
        <f t="shared" si="120"/>
        <v>5989.5863902414312</v>
      </c>
    </row>
    <row r="138" spans="1:18" hidden="1" x14ac:dyDescent="0.3">
      <c r="A138" t="s">
        <v>81</v>
      </c>
      <c r="B138">
        <v>2009</v>
      </c>
      <c r="C138" t="s">
        <v>49</v>
      </c>
      <c r="D138" s="13">
        <v>21909</v>
      </c>
      <c r="E138" s="1"/>
      <c r="F138" s="1"/>
      <c r="G138" s="1"/>
      <c r="H138" s="1"/>
      <c r="I138" s="21">
        <v>0.66910707531848124</v>
      </c>
      <c r="J138" s="21">
        <v>2.8570629536094913E-3</v>
      </c>
      <c r="K138" s="13">
        <f t="shared" si="117"/>
        <v>32743.638213019593</v>
      </c>
      <c r="L138" s="1">
        <f t="shared" si="96"/>
        <v>6841989.9451254793</v>
      </c>
      <c r="M138">
        <f t="shared" si="122"/>
        <v>2615.7197757262684</v>
      </c>
      <c r="N138" s="1">
        <f t="shared" si="123"/>
        <v>5126.8107604234856</v>
      </c>
      <c r="O138" s="24">
        <f t="shared" si="121"/>
        <v>10834.638213019593</v>
      </c>
      <c r="P138" s="1">
        <f t="shared" si="118"/>
        <v>6841989.9451254793</v>
      </c>
      <c r="Q138">
        <f t="shared" si="119"/>
        <v>2615.7197757262684</v>
      </c>
      <c r="R138" s="1">
        <f t="shared" si="120"/>
        <v>5126.8107604234856</v>
      </c>
    </row>
    <row r="139" spans="1:18" hidden="1" x14ac:dyDescent="0.3">
      <c r="A139" t="s">
        <v>81</v>
      </c>
      <c r="B139">
        <v>2010</v>
      </c>
      <c r="C139" t="s">
        <v>49</v>
      </c>
      <c r="D139" s="13">
        <v>27027</v>
      </c>
      <c r="E139" s="1"/>
      <c r="F139" s="1"/>
      <c r="G139" s="1"/>
      <c r="H139" s="1"/>
      <c r="I139" s="21">
        <v>0.66910707531848124</v>
      </c>
      <c r="J139" s="21">
        <v>2.8570629536094913E-3</v>
      </c>
      <c r="K139" s="13">
        <f t="shared" si="117"/>
        <v>40392.638184457552</v>
      </c>
      <c r="L139" s="1">
        <f t="shared" si="96"/>
        <v>10411972.30311189</v>
      </c>
      <c r="M139">
        <f t="shared" si="122"/>
        <v>3226.7587922111393</v>
      </c>
      <c r="N139" s="1">
        <f t="shared" si="123"/>
        <v>6324.4472327338326</v>
      </c>
      <c r="O139" s="24">
        <f t="shared" si="121"/>
        <v>13365.638184457552</v>
      </c>
      <c r="P139" s="1">
        <f t="shared" si="118"/>
        <v>10411972.30311189</v>
      </c>
      <c r="Q139">
        <f t="shared" si="119"/>
        <v>3226.7587922111393</v>
      </c>
      <c r="R139" s="1">
        <f t="shared" si="120"/>
        <v>6324.4472327338326</v>
      </c>
    </row>
    <row r="140" spans="1:18" hidden="1" x14ac:dyDescent="0.3">
      <c r="A140" t="s">
        <v>81</v>
      </c>
      <c r="B140">
        <v>2011</v>
      </c>
      <c r="C140" t="s">
        <v>49</v>
      </c>
      <c r="D140" s="13">
        <v>30322</v>
      </c>
      <c r="E140" s="1">
        <v>26745</v>
      </c>
      <c r="F140" s="1">
        <v>3371338.2992552528</v>
      </c>
      <c r="G140" s="1">
        <v>19301</v>
      </c>
      <c r="H140" s="1">
        <v>4610897.2432392361</v>
      </c>
      <c r="I140">
        <f t="shared" ref="I140:I173" si="124">E140/(E140+G140)</f>
        <v>0.58083221126699391</v>
      </c>
      <c r="J140">
        <f t="shared" ref="J140:J173" si="125">((((E140)^2*H140)+((G140)^2*F140))/(E140+G140)^4)</f>
        <v>1.0130531626875246E-3</v>
      </c>
      <c r="K140" s="13">
        <f t="shared" si="117"/>
        <v>52204.405010282295</v>
      </c>
      <c r="L140" s="1">
        <f t="shared" ref="L140:L164" si="126">(D140^2)*J140*(1/(I140^4))</f>
        <v>8183614.275682712</v>
      </c>
      <c r="M140">
        <f t="shared" ref="M140:M189" si="127">SQRT(L140)</f>
        <v>2860.7017103645589</v>
      </c>
      <c r="N140" s="1">
        <f t="shared" ref="N140:N189" si="128">(1.96*M140)</f>
        <v>5606.9753523145355</v>
      </c>
      <c r="O140" s="24">
        <f t="shared" si="121"/>
        <v>21882.405010282295</v>
      </c>
      <c r="P140" s="1">
        <f t="shared" si="118"/>
        <v>8183614.275682712</v>
      </c>
      <c r="Q140">
        <f t="shared" si="119"/>
        <v>2860.7017103645589</v>
      </c>
      <c r="R140" s="1">
        <f t="shared" si="120"/>
        <v>5606.9753523145355</v>
      </c>
    </row>
    <row r="141" spans="1:18" hidden="1" x14ac:dyDescent="0.3">
      <c r="A141" t="s">
        <v>81</v>
      </c>
      <c r="B141">
        <v>2012</v>
      </c>
      <c r="C141" t="s">
        <v>49</v>
      </c>
      <c r="D141" s="13">
        <v>27771</v>
      </c>
      <c r="E141" s="1">
        <v>25298</v>
      </c>
      <c r="F141" s="1">
        <v>2451631.8439079095</v>
      </c>
      <c r="G141" s="1">
        <v>12069</v>
      </c>
      <c r="H141" s="1">
        <v>1536999.9170170294</v>
      </c>
      <c r="I141">
        <f t="shared" si="124"/>
        <v>0.67701447801536119</v>
      </c>
      <c r="J141">
        <f t="shared" si="125"/>
        <v>6.8770333223137144E-4</v>
      </c>
      <c r="K141" s="13">
        <f t="shared" si="117"/>
        <v>41019.802237331009</v>
      </c>
      <c r="L141" s="1">
        <f t="shared" si="126"/>
        <v>2524598.6215632036</v>
      </c>
      <c r="M141">
        <f t="shared" si="127"/>
        <v>1588.898556095764</v>
      </c>
      <c r="N141" s="1">
        <f t="shared" si="128"/>
        <v>3114.2411699476975</v>
      </c>
      <c r="O141" s="24">
        <f t="shared" si="121"/>
        <v>13248.802237331009</v>
      </c>
      <c r="P141" s="1">
        <f t="shared" si="118"/>
        <v>2524598.6215632036</v>
      </c>
      <c r="Q141">
        <f t="shared" si="119"/>
        <v>1588.898556095764</v>
      </c>
      <c r="R141" s="1">
        <f t="shared" si="120"/>
        <v>3114.2411699476975</v>
      </c>
    </row>
    <row r="142" spans="1:18" hidden="1" x14ac:dyDescent="0.3">
      <c r="A142" t="s">
        <v>81</v>
      </c>
      <c r="B142">
        <v>2013</v>
      </c>
      <c r="C142" t="s">
        <v>49</v>
      </c>
      <c r="D142" s="13">
        <v>30558</v>
      </c>
      <c r="E142" s="1">
        <v>29220</v>
      </c>
      <c r="F142" s="1">
        <v>2940937.0897137322</v>
      </c>
      <c r="G142" s="1">
        <v>16406</v>
      </c>
      <c r="H142" s="1">
        <v>2718992.1367407311</v>
      </c>
      <c r="I142">
        <f t="shared" si="124"/>
        <v>0.64042431946697054</v>
      </c>
      <c r="J142">
        <f t="shared" si="125"/>
        <v>7.1835568252007881E-4</v>
      </c>
      <c r="K142" s="13">
        <f t="shared" si="117"/>
        <v>47715.239835728957</v>
      </c>
      <c r="L142" s="1">
        <f t="shared" si="126"/>
        <v>3987660.0085104108</v>
      </c>
      <c r="M142">
        <f t="shared" si="127"/>
        <v>1996.9126191474707</v>
      </c>
      <c r="N142" s="1">
        <f t="shared" si="128"/>
        <v>3913.9487335290423</v>
      </c>
      <c r="O142" s="24">
        <f t="shared" si="121"/>
        <v>17157.239835728957</v>
      </c>
      <c r="P142" s="1">
        <f t="shared" si="118"/>
        <v>3987660.0085104108</v>
      </c>
      <c r="Q142">
        <f t="shared" si="119"/>
        <v>1996.9126191474707</v>
      </c>
      <c r="R142" s="1">
        <f t="shared" si="120"/>
        <v>3913.9487335290423</v>
      </c>
    </row>
    <row r="143" spans="1:18" hidden="1" x14ac:dyDescent="0.3">
      <c r="A143" t="s">
        <v>81</v>
      </c>
      <c r="B143">
        <v>2014</v>
      </c>
      <c r="C143" t="s">
        <v>49</v>
      </c>
      <c r="D143" s="13">
        <v>37025</v>
      </c>
      <c r="E143" s="1">
        <v>32841</v>
      </c>
      <c r="F143" s="1">
        <v>4288839.5662702508</v>
      </c>
      <c r="G143" s="1">
        <v>19287</v>
      </c>
      <c r="H143" s="1">
        <v>3817844.4858448328</v>
      </c>
      <c r="I143">
        <f t="shared" si="124"/>
        <v>0.63000690607734811</v>
      </c>
      <c r="J143">
        <f t="shared" si="125"/>
        <v>7.737216927083926E-4</v>
      </c>
      <c r="K143" s="13">
        <f t="shared" si="117"/>
        <v>58769.197040285006</v>
      </c>
      <c r="L143" s="1">
        <f t="shared" si="126"/>
        <v>6732768.2681420343</v>
      </c>
      <c r="M143">
        <f t="shared" si="127"/>
        <v>2594.7578438347641</v>
      </c>
      <c r="N143" s="1">
        <f t="shared" si="128"/>
        <v>5085.7253739161379</v>
      </c>
      <c r="O143" s="24">
        <f t="shared" si="121"/>
        <v>21744.197040285006</v>
      </c>
      <c r="P143" s="1">
        <f t="shared" si="118"/>
        <v>6732768.2681420343</v>
      </c>
      <c r="Q143">
        <f t="shared" si="119"/>
        <v>2594.7578438347641</v>
      </c>
      <c r="R143" s="1">
        <f t="shared" si="120"/>
        <v>5085.7253739161379</v>
      </c>
    </row>
    <row r="144" spans="1:18" hidden="1" x14ac:dyDescent="0.3">
      <c r="A144" t="s">
        <v>81</v>
      </c>
      <c r="B144">
        <v>2015</v>
      </c>
      <c r="C144" t="s">
        <v>49</v>
      </c>
      <c r="D144" s="13">
        <v>45883</v>
      </c>
      <c r="E144" s="1">
        <v>38015</v>
      </c>
      <c r="F144" s="1">
        <v>4690504.2996746805</v>
      </c>
      <c r="G144" s="1">
        <v>19960</v>
      </c>
      <c r="H144" s="1">
        <v>3660869.5256016064</v>
      </c>
      <c r="I144">
        <f t="shared" si="124"/>
        <v>0.65571366968520917</v>
      </c>
      <c r="J144">
        <f t="shared" si="125"/>
        <v>6.3372363177776486E-4</v>
      </c>
      <c r="K144" s="13">
        <f t="shared" si="117"/>
        <v>69974.13981323161</v>
      </c>
      <c r="L144" s="1">
        <f t="shared" si="126"/>
        <v>7216831.4803412473</v>
      </c>
      <c r="M144">
        <f t="shared" si="127"/>
        <v>2686.4161033505675</v>
      </c>
      <c r="N144" s="1">
        <f t="shared" si="128"/>
        <v>5265.375562567112</v>
      </c>
      <c r="O144" s="24">
        <f t="shared" si="121"/>
        <v>24091.13981323161</v>
      </c>
      <c r="P144" s="1">
        <f t="shared" si="118"/>
        <v>7216831.4803412473</v>
      </c>
      <c r="Q144">
        <f t="shared" si="119"/>
        <v>2686.4161033505675</v>
      </c>
      <c r="R144" s="1">
        <f t="shared" si="120"/>
        <v>5265.375562567112</v>
      </c>
    </row>
    <row r="145" spans="1:18" hidden="1" x14ac:dyDescent="0.3">
      <c r="A145" t="s">
        <v>81</v>
      </c>
      <c r="B145">
        <v>2016</v>
      </c>
      <c r="C145" t="s">
        <v>49</v>
      </c>
      <c r="D145" s="13">
        <v>56991</v>
      </c>
      <c r="E145" s="1">
        <v>54312</v>
      </c>
      <c r="F145" s="1">
        <v>6811053.1334925136</v>
      </c>
      <c r="G145" s="1">
        <v>20639</v>
      </c>
      <c r="H145" s="1">
        <v>4884535.9659619685</v>
      </c>
      <c r="I145">
        <f t="shared" si="124"/>
        <v>0.7246334271724193</v>
      </c>
      <c r="J145">
        <f t="shared" si="125"/>
        <v>5.4850289631723644E-4</v>
      </c>
      <c r="K145" s="13">
        <f t="shared" si="117"/>
        <v>78648.041703490948</v>
      </c>
      <c r="L145" s="1">
        <f t="shared" si="126"/>
        <v>6461271.9983784193</v>
      </c>
      <c r="M145">
        <f t="shared" si="127"/>
        <v>2541.9032236453099</v>
      </c>
      <c r="N145" s="1">
        <f t="shared" si="128"/>
        <v>4982.1303183448072</v>
      </c>
      <c r="O145" s="24">
        <f t="shared" si="121"/>
        <v>21657.041703490948</v>
      </c>
      <c r="P145" s="1">
        <f t="shared" si="118"/>
        <v>6461271.9983784193</v>
      </c>
      <c r="Q145">
        <f t="shared" si="119"/>
        <v>2541.9032236453099</v>
      </c>
      <c r="R145" s="1">
        <f t="shared" si="120"/>
        <v>4982.1303183448072</v>
      </c>
    </row>
    <row r="146" spans="1:18" hidden="1" x14ac:dyDescent="0.3">
      <c r="A146" t="s">
        <v>81</v>
      </c>
      <c r="B146">
        <v>2017</v>
      </c>
      <c r="C146" t="s">
        <v>49</v>
      </c>
      <c r="D146" s="13">
        <v>38626</v>
      </c>
      <c r="E146" s="1">
        <v>39626</v>
      </c>
      <c r="F146" s="1">
        <v>6115880.0231071012</v>
      </c>
      <c r="G146" s="1">
        <v>15632</v>
      </c>
      <c r="H146" s="1">
        <v>3073257.3823413369</v>
      </c>
      <c r="I146">
        <f t="shared" si="124"/>
        <v>0.71710883491983057</v>
      </c>
      <c r="J146">
        <f t="shared" si="125"/>
        <v>6.7787187181830963E-4</v>
      </c>
      <c r="K146" s="13">
        <f t="shared" si="117"/>
        <v>53863.511532831981</v>
      </c>
      <c r="L146" s="1">
        <f t="shared" si="126"/>
        <v>3824430.6766507281</v>
      </c>
      <c r="M146">
        <f t="shared" si="127"/>
        <v>1955.6151657856226</v>
      </c>
      <c r="N146" s="1">
        <f t="shared" si="128"/>
        <v>3833.0057249398201</v>
      </c>
      <c r="O146" s="24">
        <f t="shared" si="121"/>
        <v>15237.511532831981</v>
      </c>
      <c r="P146" s="1">
        <f t="shared" si="118"/>
        <v>3824430.6766507281</v>
      </c>
      <c r="Q146">
        <f t="shared" si="119"/>
        <v>1955.6151657856226</v>
      </c>
      <c r="R146" s="1">
        <f t="shared" si="120"/>
        <v>3833.0057249398201</v>
      </c>
    </row>
    <row r="147" spans="1:18" hidden="1" x14ac:dyDescent="0.3">
      <c r="A147" t="s">
        <v>81</v>
      </c>
      <c r="B147">
        <v>2018</v>
      </c>
      <c r="C147" t="s">
        <v>49</v>
      </c>
      <c r="D147" s="13">
        <v>50115</v>
      </c>
      <c r="E147" s="1">
        <v>44958</v>
      </c>
      <c r="F147" s="1">
        <v>6589196.3836226137</v>
      </c>
      <c r="G147" s="1">
        <v>16872</v>
      </c>
      <c r="H147" s="1">
        <v>3827665.0736246384</v>
      </c>
      <c r="I147">
        <f t="shared" si="124"/>
        <v>0.72712275594371667</v>
      </c>
      <c r="J147">
        <f t="shared" si="125"/>
        <v>6.5770168095516217E-4</v>
      </c>
      <c r="K147" s="13">
        <f t="shared" si="117"/>
        <v>68922.337515014005</v>
      </c>
      <c r="L147" s="1">
        <f t="shared" si="126"/>
        <v>5909265.1225642972</v>
      </c>
      <c r="M147">
        <f t="shared" si="127"/>
        <v>2430.8980074376418</v>
      </c>
      <c r="N147" s="1">
        <f t="shared" si="128"/>
        <v>4764.5600945777778</v>
      </c>
      <c r="O147" s="24">
        <f t="shared" si="121"/>
        <v>18807.337515014005</v>
      </c>
      <c r="P147" s="1">
        <f t="shared" si="118"/>
        <v>5909265.1225642972</v>
      </c>
      <c r="Q147">
        <f t="shared" si="119"/>
        <v>2430.8980074376418</v>
      </c>
      <c r="R147" s="1">
        <f t="shared" si="120"/>
        <v>4764.5600945777778</v>
      </c>
    </row>
    <row r="148" spans="1:18" hidden="1" x14ac:dyDescent="0.3">
      <c r="A148" t="s">
        <v>81</v>
      </c>
      <c r="B148">
        <v>2019</v>
      </c>
      <c r="C148" t="s">
        <v>49</v>
      </c>
      <c r="D148" s="13">
        <v>64565</v>
      </c>
      <c r="E148" s="1">
        <v>54358</v>
      </c>
      <c r="F148" s="1">
        <v>7817619.6806716658</v>
      </c>
      <c r="G148" s="1">
        <v>25480</v>
      </c>
      <c r="H148" s="1">
        <v>8508084.8607797977</v>
      </c>
      <c r="I148">
        <f t="shared" si="124"/>
        <v>0.68085372880082162</v>
      </c>
      <c r="J148">
        <f t="shared" si="125"/>
        <v>7.4367785273928369E-4</v>
      </c>
      <c r="K148" s="13">
        <f t="shared" si="117"/>
        <v>94829.472570734768</v>
      </c>
      <c r="L148" s="1">
        <f>(D148^2)*J148*(1/(I148^4))</f>
        <v>14426596.252648354</v>
      </c>
      <c r="M148">
        <f>SQRT(L148)</f>
        <v>3798.2359395709418</v>
      </c>
      <c r="N148" s="1">
        <f>(1.96*M148)</f>
        <v>7444.542441559046</v>
      </c>
      <c r="O148" s="24">
        <f t="shared" si="121"/>
        <v>30264.472570734768</v>
      </c>
      <c r="P148" s="1">
        <f>L148</f>
        <v>14426596.252648354</v>
      </c>
      <c r="Q148">
        <f>SQRT(P148)</f>
        <v>3798.2359395709418</v>
      </c>
      <c r="R148" s="1">
        <f>(1.96*Q148)</f>
        <v>7444.542441559046</v>
      </c>
    </row>
    <row r="149" spans="1:18" hidden="1" x14ac:dyDescent="0.3">
      <c r="A149" t="s">
        <v>81</v>
      </c>
      <c r="B149">
        <v>2020</v>
      </c>
      <c r="C149" t="s">
        <v>49</v>
      </c>
      <c r="D149" s="13">
        <v>43363</v>
      </c>
      <c r="E149" s="1">
        <v>38289</v>
      </c>
      <c r="F149" s="1">
        <v>3851267.7489399323</v>
      </c>
      <c r="G149" s="1">
        <v>12721</v>
      </c>
      <c r="H149" s="1">
        <v>2527856.9335245173</v>
      </c>
      <c r="I149">
        <f t="shared" ref="I149:I151" si="129">E149/(E149+G149)</f>
        <v>0.75061752597529896</v>
      </c>
      <c r="J149">
        <f t="shared" ref="J149:J151" si="130">((((E149)^2*H149)+((G149)^2*F149))/(E149+G149)^4)</f>
        <v>6.3941803872386569E-4</v>
      </c>
      <c r="K149" s="13">
        <f t="shared" ref="K149:K151" si="131">D149/I149</f>
        <v>57769.767557261875</v>
      </c>
      <c r="L149" s="1">
        <f t="shared" ref="L149:L150" si="132">(D149^2)*J149*(1/(I149^4))</f>
        <v>3787465.8304927479</v>
      </c>
      <c r="M149">
        <f t="shared" ref="M149:M150" si="133">SQRT(L149)</f>
        <v>1946.1412668387534</v>
      </c>
      <c r="N149" s="1">
        <f t="shared" ref="N149:N150" si="134">(1.96*M149)</f>
        <v>3814.4368830039566</v>
      </c>
      <c r="O149" s="24">
        <f t="shared" ref="O149:O150" si="135">K149-D149</f>
        <v>14406.767557261875</v>
      </c>
      <c r="P149" s="1">
        <f t="shared" ref="P149:P150" si="136">L149</f>
        <v>3787465.8304927479</v>
      </c>
      <c r="Q149">
        <f t="shared" ref="Q149:Q150" si="137">SQRT(P149)</f>
        <v>1946.1412668387534</v>
      </c>
      <c r="R149" s="1">
        <f t="shared" ref="R149:R150" si="138">(1.96*Q149)</f>
        <v>3814.4368830039566</v>
      </c>
    </row>
    <row r="150" spans="1:18" hidden="1" x14ac:dyDescent="0.3">
      <c r="A150" t="s">
        <v>81</v>
      </c>
      <c r="B150">
        <v>2021</v>
      </c>
      <c r="C150" t="s">
        <v>49</v>
      </c>
      <c r="D150" s="13">
        <v>83097</v>
      </c>
      <c r="E150" s="1">
        <v>59688</v>
      </c>
      <c r="F150" s="1">
        <v>8990398.6151391603</v>
      </c>
      <c r="G150" s="1">
        <v>17665</v>
      </c>
      <c r="H150" s="1">
        <v>4894447.538514534</v>
      </c>
      <c r="I150">
        <f t="shared" si="129"/>
        <v>0.77163135237159519</v>
      </c>
      <c r="J150">
        <f t="shared" si="130"/>
        <v>5.6540556488276659E-4</v>
      </c>
      <c r="K150" s="13">
        <f t="shared" si="131"/>
        <v>107690.02548250904</v>
      </c>
      <c r="L150" s="1">
        <f t="shared" si="132"/>
        <v>11012636.577756885</v>
      </c>
      <c r="M150">
        <f t="shared" si="133"/>
        <v>3318.5292793279505</v>
      </c>
      <c r="N150" s="1">
        <f t="shared" si="134"/>
        <v>6504.3173874827826</v>
      </c>
      <c r="O150" s="24">
        <f t="shared" si="135"/>
        <v>24593.025482509038</v>
      </c>
      <c r="P150" s="1">
        <f t="shared" si="136"/>
        <v>11012636.577756885</v>
      </c>
      <c r="Q150">
        <f t="shared" si="137"/>
        <v>3318.5292793279505</v>
      </c>
      <c r="R150" s="1">
        <f t="shared" si="138"/>
        <v>6504.3173874827826</v>
      </c>
    </row>
    <row r="151" spans="1:18" s="51" customFormat="1" hidden="1" x14ac:dyDescent="0.3">
      <c r="A151" s="51" t="s">
        <v>81</v>
      </c>
      <c r="B151" s="51">
        <v>2022</v>
      </c>
      <c r="C151" s="51" t="s">
        <v>49</v>
      </c>
      <c r="D151" s="71">
        <v>86545</v>
      </c>
      <c r="E151" s="72">
        <v>64214</v>
      </c>
      <c r="F151" s="72">
        <f>3622^2</f>
        <v>13118884</v>
      </c>
      <c r="G151" s="72">
        <v>17445</v>
      </c>
      <c r="H151" s="72">
        <f>2430^2</f>
        <v>5904900</v>
      </c>
      <c r="I151" s="51">
        <f t="shared" si="129"/>
        <v>0.78636769982488153</v>
      </c>
      <c r="J151">
        <f t="shared" si="130"/>
        <v>6.3737921590029752E-4</v>
      </c>
      <c r="K151" s="71">
        <f t="shared" si="131"/>
        <v>110056.65672594761</v>
      </c>
      <c r="L151" s="1">
        <f t="shared" ref="L151" si="139">(D151^2)*J151*(1/(I151^4))</f>
        <v>12484731.197476877</v>
      </c>
      <c r="M151">
        <f t="shared" ref="M151" si="140">SQRT(L151)</f>
        <v>3533.3739113596339</v>
      </c>
      <c r="N151" s="1">
        <f t="shared" ref="N151" si="141">(1.96*M151)</f>
        <v>6925.4128662648827</v>
      </c>
      <c r="O151" s="24">
        <f t="shared" ref="O151" si="142">K151-D151</f>
        <v>23511.656725947614</v>
      </c>
      <c r="P151" s="1">
        <f t="shared" ref="P151" si="143">L151</f>
        <v>12484731.197476877</v>
      </c>
      <c r="Q151">
        <f t="shared" ref="Q151" si="144">SQRT(P151)</f>
        <v>3533.3739113596339</v>
      </c>
      <c r="R151" s="1">
        <f t="shared" ref="R151" si="145">(1.96*Q151)</f>
        <v>6925.4128662648827</v>
      </c>
    </row>
    <row r="152" spans="1:18" hidden="1" x14ac:dyDescent="0.3">
      <c r="A152" t="s">
        <v>81</v>
      </c>
      <c r="B152">
        <v>1998</v>
      </c>
      <c r="C152" t="s">
        <v>50</v>
      </c>
      <c r="D152" s="13">
        <v>1488</v>
      </c>
      <c r="E152" s="1"/>
      <c r="F152" s="1"/>
      <c r="G152" s="1"/>
      <c r="H152" s="1"/>
      <c r="I152" s="21">
        <f>AVERAGE(I165:I172)</f>
        <v>0.56219860293382817</v>
      </c>
      <c r="J152" s="21">
        <v>5.8979492006494567E-3</v>
      </c>
      <c r="K152" s="13">
        <f t="shared" si="117"/>
        <v>2646.751507803267</v>
      </c>
      <c r="L152" s="1">
        <f t="shared" si="126"/>
        <v>130721.74657888399</v>
      </c>
      <c r="M152">
        <f t="shared" si="127"/>
        <v>361.55462461277409</v>
      </c>
      <c r="N152" s="1">
        <f t="shared" si="128"/>
        <v>708.64706424103724</v>
      </c>
      <c r="O152" s="24">
        <f t="shared" si="121"/>
        <v>1158.751507803267</v>
      </c>
      <c r="P152" s="1">
        <f t="shared" si="118"/>
        <v>130721.74657888399</v>
      </c>
      <c r="Q152">
        <f t="shared" si="119"/>
        <v>361.55462461277409</v>
      </c>
      <c r="R152" s="1">
        <f t="shared" si="120"/>
        <v>708.64706424103724</v>
      </c>
    </row>
    <row r="153" spans="1:18" hidden="1" x14ac:dyDescent="0.3">
      <c r="A153" t="s">
        <v>81</v>
      </c>
      <c r="B153">
        <v>1999</v>
      </c>
      <c r="C153" t="s">
        <v>50</v>
      </c>
      <c r="D153" s="13">
        <v>1866</v>
      </c>
      <c r="E153" s="1"/>
      <c r="F153" s="1"/>
      <c r="G153" s="1"/>
      <c r="H153" s="1"/>
      <c r="I153" s="21">
        <v>0.56219860293382817</v>
      </c>
      <c r="J153" s="21">
        <v>5.8979492006494567E-3</v>
      </c>
      <c r="K153" s="13">
        <f t="shared" si="117"/>
        <v>3319.1117698661938</v>
      </c>
      <c r="L153" s="1">
        <f t="shared" si="126"/>
        <v>205572.61399024838</v>
      </c>
      <c r="M153">
        <f t="shared" si="127"/>
        <v>453.40116231682555</v>
      </c>
      <c r="N153" s="1">
        <f t="shared" si="128"/>
        <v>888.66627814097808</v>
      </c>
      <c r="O153" s="24">
        <f t="shared" si="121"/>
        <v>1453.1117698661938</v>
      </c>
      <c r="P153" s="1">
        <f t="shared" si="118"/>
        <v>205572.61399024838</v>
      </c>
      <c r="Q153">
        <f t="shared" si="119"/>
        <v>453.40116231682555</v>
      </c>
      <c r="R153" s="1">
        <f t="shared" si="120"/>
        <v>888.66627814097808</v>
      </c>
    </row>
    <row r="154" spans="1:18" hidden="1" x14ac:dyDescent="0.3">
      <c r="A154" t="s">
        <v>81</v>
      </c>
      <c r="B154">
        <v>2000</v>
      </c>
      <c r="C154" t="s">
        <v>50</v>
      </c>
      <c r="D154" s="13">
        <v>2115</v>
      </c>
      <c r="E154" s="1"/>
      <c r="F154" s="1"/>
      <c r="G154" s="1"/>
      <c r="H154" s="1"/>
      <c r="I154" s="21">
        <v>0.56219860293382817</v>
      </c>
      <c r="J154" s="21">
        <v>5.8979492006494567E-3</v>
      </c>
      <c r="K154" s="13">
        <f t="shared" si="117"/>
        <v>3762.0157520187568</v>
      </c>
      <c r="L154" s="1">
        <f t="shared" si="126"/>
        <v>264096.54694560438</v>
      </c>
      <c r="M154">
        <f t="shared" si="127"/>
        <v>513.90324667743084</v>
      </c>
      <c r="N154" s="1">
        <f t="shared" si="128"/>
        <v>1007.2503634877644</v>
      </c>
      <c r="O154" s="24">
        <f t="shared" si="121"/>
        <v>1647.0157520187568</v>
      </c>
      <c r="P154" s="1">
        <f t="shared" si="118"/>
        <v>264096.54694560438</v>
      </c>
      <c r="Q154">
        <f t="shared" si="119"/>
        <v>513.90324667743084</v>
      </c>
      <c r="R154" s="1">
        <f t="shared" si="120"/>
        <v>1007.2503634877644</v>
      </c>
    </row>
    <row r="155" spans="1:18" hidden="1" x14ac:dyDescent="0.3">
      <c r="A155" t="s">
        <v>81</v>
      </c>
      <c r="B155">
        <v>2001</v>
      </c>
      <c r="C155" t="s">
        <v>50</v>
      </c>
      <c r="D155" s="13">
        <v>2081</v>
      </c>
      <c r="E155" s="1"/>
      <c r="F155" s="1"/>
      <c r="G155" s="1"/>
      <c r="H155" s="1"/>
      <c r="I155" s="21">
        <v>0.56219860293382817</v>
      </c>
      <c r="J155" s="21">
        <v>5.8979492006494567E-3</v>
      </c>
      <c r="K155" s="13">
        <f t="shared" si="117"/>
        <v>3701.5389030501337</v>
      </c>
      <c r="L155" s="1">
        <f t="shared" si="126"/>
        <v>255673.74912670467</v>
      </c>
      <c r="M155">
        <f t="shared" si="127"/>
        <v>505.6419178892358</v>
      </c>
      <c r="N155" s="1">
        <f t="shared" si="128"/>
        <v>991.05815906290218</v>
      </c>
      <c r="O155" s="24">
        <f t="shared" si="121"/>
        <v>1620.5389030501337</v>
      </c>
      <c r="P155" s="1">
        <f t="shared" si="118"/>
        <v>255673.74912670467</v>
      </c>
      <c r="Q155">
        <f t="shared" si="119"/>
        <v>505.6419178892358</v>
      </c>
      <c r="R155" s="1">
        <f t="shared" si="120"/>
        <v>991.05815906290218</v>
      </c>
    </row>
    <row r="156" spans="1:18" hidden="1" x14ac:dyDescent="0.3">
      <c r="A156" t="s">
        <v>81</v>
      </c>
      <c r="B156">
        <v>2002</v>
      </c>
      <c r="C156" t="s">
        <v>50</v>
      </c>
      <c r="D156" s="13">
        <v>2262</v>
      </c>
      <c r="E156" s="1"/>
      <c r="F156" s="1"/>
      <c r="G156" s="1"/>
      <c r="H156" s="1"/>
      <c r="I156" s="21">
        <v>0.56219860293382817</v>
      </c>
      <c r="J156" s="21">
        <v>5.8979492006494567E-3</v>
      </c>
      <c r="K156" s="13">
        <f t="shared" si="117"/>
        <v>4023.4891872654503</v>
      </c>
      <c r="L156" s="1">
        <f t="shared" si="126"/>
        <v>302083.62252065231</v>
      </c>
      <c r="M156">
        <f t="shared" si="127"/>
        <v>549.62134467345095</v>
      </c>
      <c r="N156" s="1">
        <f t="shared" si="128"/>
        <v>1077.257835559964</v>
      </c>
      <c r="O156" s="24">
        <f t="shared" si="121"/>
        <v>1761.4891872654503</v>
      </c>
      <c r="P156" s="1">
        <f t="shared" si="118"/>
        <v>302083.62252065231</v>
      </c>
      <c r="Q156">
        <f t="shared" si="119"/>
        <v>549.62134467345095</v>
      </c>
      <c r="R156" s="1">
        <f t="shared" si="120"/>
        <v>1077.257835559964</v>
      </c>
    </row>
    <row r="157" spans="1:18" hidden="1" x14ac:dyDescent="0.3">
      <c r="A157" t="s">
        <v>81</v>
      </c>
      <c r="B157">
        <v>2003</v>
      </c>
      <c r="C157" t="s">
        <v>50</v>
      </c>
      <c r="D157" s="13">
        <v>2743</v>
      </c>
      <c r="E157" s="1"/>
      <c r="F157" s="1"/>
      <c r="G157" s="1"/>
      <c r="H157" s="1"/>
      <c r="I157" s="21">
        <v>0.56219860293382817</v>
      </c>
      <c r="J157" s="21">
        <v>5.8979492006494567E-3</v>
      </c>
      <c r="K157" s="13">
        <f t="shared" si="117"/>
        <v>4879.0587270862643</v>
      </c>
      <c r="L157" s="1">
        <f t="shared" si="126"/>
        <v>444215.38374428463</v>
      </c>
      <c r="M157">
        <f t="shared" si="127"/>
        <v>666.49484900056405</v>
      </c>
      <c r="N157" s="1">
        <f t="shared" si="128"/>
        <v>1306.3299040411055</v>
      </c>
      <c r="O157" s="24">
        <f t="shared" si="121"/>
        <v>2136.0587270862643</v>
      </c>
      <c r="P157" s="1">
        <f t="shared" si="118"/>
        <v>444215.38374428463</v>
      </c>
      <c r="Q157">
        <f t="shared" si="119"/>
        <v>666.49484900056405</v>
      </c>
      <c r="R157" s="1">
        <f t="shared" si="120"/>
        <v>1306.3299040411055</v>
      </c>
    </row>
    <row r="158" spans="1:18" hidden="1" x14ac:dyDescent="0.3">
      <c r="A158" t="s">
        <v>81</v>
      </c>
      <c r="B158">
        <v>2004</v>
      </c>
      <c r="C158" t="s">
        <v>50</v>
      </c>
      <c r="D158" s="13">
        <v>3291</v>
      </c>
      <c r="E158" s="1"/>
      <c r="F158" s="1"/>
      <c r="G158" s="1"/>
      <c r="H158" s="1"/>
      <c r="I158" s="21">
        <v>0.56219860293382817</v>
      </c>
      <c r="J158" s="21">
        <v>5.8979492006494567E-3</v>
      </c>
      <c r="K158" s="13">
        <f t="shared" si="117"/>
        <v>5853.8032339923066</v>
      </c>
      <c r="L158" s="1">
        <f t="shared" si="126"/>
        <v>639436.97291537211</v>
      </c>
      <c r="M158">
        <f t="shared" si="127"/>
        <v>799.64803064559101</v>
      </c>
      <c r="N158" s="1">
        <f t="shared" si="128"/>
        <v>1567.3101400653584</v>
      </c>
      <c r="O158" s="24">
        <f t="shared" si="121"/>
        <v>2562.8032339923066</v>
      </c>
      <c r="P158" s="1">
        <f t="shared" si="118"/>
        <v>639436.97291537211</v>
      </c>
      <c r="Q158">
        <f t="shared" si="119"/>
        <v>799.64803064559101</v>
      </c>
      <c r="R158" s="1">
        <f t="shared" si="120"/>
        <v>1567.3101400653584</v>
      </c>
    </row>
    <row r="159" spans="1:18" hidden="1" x14ac:dyDescent="0.3">
      <c r="A159" t="s">
        <v>81</v>
      </c>
      <c r="B159">
        <v>2005</v>
      </c>
      <c r="C159" t="s">
        <v>50</v>
      </c>
      <c r="D159" s="13">
        <v>4641</v>
      </c>
      <c r="E159" s="1"/>
      <c r="F159" s="1"/>
      <c r="G159" s="1"/>
      <c r="H159" s="1"/>
      <c r="I159" s="21">
        <v>0.56219860293382817</v>
      </c>
      <c r="J159" s="21">
        <v>5.8979492006494567E-3</v>
      </c>
      <c r="K159" s="13">
        <f t="shared" si="117"/>
        <v>8255.0898842170445</v>
      </c>
      <c r="L159" s="1">
        <f t="shared" si="126"/>
        <v>1271642.7403433286</v>
      </c>
      <c r="M159">
        <f t="shared" si="127"/>
        <v>1127.6713795886319</v>
      </c>
      <c r="N159" s="1">
        <f t="shared" si="128"/>
        <v>2210.2359039937187</v>
      </c>
      <c r="O159" s="24">
        <f t="shared" si="121"/>
        <v>3614.0898842170445</v>
      </c>
      <c r="P159" s="1">
        <f t="shared" si="118"/>
        <v>1271642.7403433286</v>
      </c>
      <c r="Q159">
        <f t="shared" si="119"/>
        <v>1127.6713795886319</v>
      </c>
      <c r="R159" s="1">
        <f t="shared" si="120"/>
        <v>2210.2359039937187</v>
      </c>
    </row>
    <row r="160" spans="1:18" hidden="1" x14ac:dyDescent="0.3">
      <c r="A160" t="s">
        <v>81</v>
      </c>
      <c r="B160">
        <v>2006</v>
      </c>
      <c r="C160" t="s">
        <v>50</v>
      </c>
      <c r="D160" s="13">
        <v>3693</v>
      </c>
      <c r="E160" s="1"/>
      <c r="F160" s="1"/>
      <c r="G160" s="1"/>
      <c r="H160" s="1"/>
      <c r="I160" s="21">
        <v>0.56219860293382817</v>
      </c>
      <c r="J160" s="21">
        <v>5.8979492006494567E-3</v>
      </c>
      <c r="K160" s="13">
        <f t="shared" si="117"/>
        <v>6568.8530365036731</v>
      </c>
      <c r="L160" s="1">
        <f t="shared" si="126"/>
        <v>805194.11996587296</v>
      </c>
      <c r="M160">
        <f t="shared" si="127"/>
        <v>897.32609455307431</v>
      </c>
      <c r="N160" s="1">
        <f t="shared" si="128"/>
        <v>1758.7591453240257</v>
      </c>
      <c r="O160" s="24">
        <f t="shared" si="121"/>
        <v>2875.8530365036731</v>
      </c>
      <c r="P160" s="1">
        <f t="shared" si="118"/>
        <v>805194.11996587296</v>
      </c>
      <c r="Q160">
        <f t="shared" si="119"/>
        <v>897.32609455307431</v>
      </c>
      <c r="R160" s="1">
        <f t="shared" si="120"/>
        <v>1758.7591453240257</v>
      </c>
    </row>
    <row r="161" spans="1:18" hidden="1" x14ac:dyDescent="0.3">
      <c r="A161" t="s">
        <v>81</v>
      </c>
      <c r="B161">
        <v>2007</v>
      </c>
      <c r="C161" t="s">
        <v>50</v>
      </c>
      <c r="D161" s="13">
        <v>5080</v>
      </c>
      <c r="E161" s="1"/>
      <c r="F161" s="1"/>
      <c r="G161" s="1"/>
      <c r="H161" s="1"/>
      <c r="I161" s="21">
        <v>0.56219860293382817</v>
      </c>
      <c r="J161" s="21">
        <v>5.8979492006494567E-3</v>
      </c>
      <c r="K161" s="13">
        <f t="shared" si="117"/>
        <v>9035.9527282530889</v>
      </c>
      <c r="L161" s="1">
        <f t="shared" si="126"/>
        <v>1523594.5272363999</v>
      </c>
      <c r="M161">
        <f t="shared" si="127"/>
        <v>1234.3397130597396</v>
      </c>
      <c r="N161" s="1">
        <f t="shared" si="128"/>
        <v>2419.3058375970895</v>
      </c>
      <c r="O161" s="24">
        <f t="shared" si="121"/>
        <v>3955.9527282530889</v>
      </c>
      <c r="P161" s="1">
        <f t="shared" si="118"/>
        <v>1523594.5272363999</v>
      </c>
      <c r="Q161">
        <f t="shared" si="119"/>
        <v>1234.3397130597396</v>
      </c>
      <c r="R161" s="1">
        <f t="shared" si="120"/>
        <v>2419.3058375970895</v>
      </c>
    </row>
    <row r="162" spans="1:18" hidden="1" x14ac:dyDescent="0.3">
      <c r="A162" t="s">
        <v>81</v>
      </c>
      <c r="B162">
        <v>2008</v>
      </c>
      <c r="C162" t="s">
        <v>50</v>
      </c>
      <c r="D162" s="13">
        <v>6260</v>
      </c>
      <c r="E162" s="1"/>
      <c r="F162" s="1"/>
      <c r="G162" s="1"/>
      <c r="H162" s="1"/>
      <c r="I162" s="21">
        <v>0.56219860293382817</v>
      </c>
      <c r="J162" s="21">
        <v>5.8979492006494567E-3</v>
      </c>
      <c r="K162" s="13">
        <f t="shared" si="117"/>
        <v>11134.855133634712</v>
      </c>
      <c r="L162" s="1">
        <f t="shared" si="126"/>
        <v>2313612.6269270084</v>
      </c>
      <c r="M162">
        <f t="shared" si="127"/>
        <v>1521.0564180618051</v>
      </c>
      <c r="N162" s="1">
        <f t="shared" si="128"/>
        <v>2981.2705794011381</v>
      </c>
      <c r="O162" s="24">
        <f t="shared" si="121"/>
        <v>4874.8551336347118</v>
      </c>
      <c r="P162" s="1">
        <f t="shared" si="118"/>
        <v>2313612.6269270084</v>
      </c>
      <c r="Q162">
        <f t="shared" si="119"/>
        <v>1521.0564180618051</v>
      </c>
      <c r="R162" s="1">
        <f t="shared" si="120"/>
        <v>2981.2705794011381</v>
      </c>
    </row>
    <row r="163" spans="1:18" hidden="1" x14ac:dyDescent="0.3">
      <c r="A163" t="s">
        <v>81</v>
      </c>
      <c r="B163">
        <v>2009</v>
      </c>
      <c r="C163" t="s">
        <v>50</v>
      </c>
      <c r="D163" s="13">
        <v>6369</v>
      </c>
      <c r="E163" s="1"/>
      <c r="F163" s="1"/>
      <c r="G163" s="1"/>
      <c r="H163" s="1"/>
      <c r="I163" s="21">
        <v>0.56219860293382817</v>
      </c>
      <c r="J163" s="21">
        <v>5.8979492006494567E-3</v>
      </c>
      <c r="K163" s="13">
        <f t="shared" si="117"/>
        <v>11328.736796504711</v>
      </c>
      <c r="L163" s="1">
        <f t="shared" si="126"/>
        <v>2394883.9707024693</v>
      </c>
      <c r="M163">
        <f t="shared" si="127"/>
        <v>1547.5412662357244</v>
      </c>
      <c r="N163" s="1">
        <f t="shared" si="128"/>
        <v>3033.1808818220197</v>
      </c>
      <c r="O163" s="24">
        <f t="shared" si="121"/>
        <v>4959.7367965047106</v>
      </c>
      <c r="P163" s="1">
        <f t="shared" si="118"/>
        <v>2394883.9707024693</v>
      </c>
      <c r="Q163">
        <f t="shared" si="119"/>
        <v>1547.5412662357244</v>
      </c>
      <c r="R163" s="1">
        <f t="shared" si="120"/>
        <v>3033.1808818220197</v>
      </c>
    </row>
    <row r="164" spans="1:18" hidden="1" x14ac:dyDescent="0.3">
      <c r="A164" t="s">
        <v>81</v>
      </c>
      <c r="B164">
        <v>2010</v>
      </c>
      <c r="C164" t="s">
        <v>50</v>
      </c>
      <c r="D164" s="13">
        <v>8141</v>
      </c>
      <c r="E164" s="1"/>
      <c r="F164" s="1"/>
      <c r="G164" s="1"/>
      <c r="H164" s="1"/>
      <c r="I164" s="21">
        <v>0.56219860293382817</v>
      </c>
      <c r="J164" s="21">
        <v>5.8979492006494567E-3</v>
      </c>
      <c r="K164" s="13">
        <f t="shared" si="117"/>
        <v>14480.647866281181</v>
      </c>
      <c r="L164" s="1">
        <f t="shared" si="126"/>
        <v>3912888.6469779164</v>
      </c>
      <c r="M164">
        <f t="shared" si="127"/>
        <v>1978.1022842557754</v>
      </c>
      <c r="N164" s="1">
        <f t="shared" si="128"/>
        <v>3877.08047714132</v>
      </c>
      <c r="O164" s="24">
        <f t="shared" si="121"/>
        <v>6339.6478662811805</v>
      </c>
      <c r="P164" s="1">
        <f t="shared" si="118"/>
        <v>3912888.6469779164</v>
      </c>
      <c r="Q164">
        <f t="shared" si="119"/>
        <v>1978.1022842557754</v>
      </c>
      <c r="R164" s="1">
        <f t="shared" si="120"/>
        <v>3877.08047714132</v>
      </c>
    </row>
    <row r="165" spans="1:18" hidden="1" x14ac:dyDescent="0.3">
      <c r="A165" t="s">
        <v>81</v>
      </c>
      <c r="B165">
        <v>2011</v>
      </c>
      <c r="C165" t="s">
        <v>50</v>
      </c>
      <c r="D165" s="13">
        <v>6904</v>
      </c>
      <c r="E165" s="1">
        <v>5586</v>
      </c>
      <c r="F165" s="1">
        <v>1018027.7018928905</v>
      </c>
      <c r="G165" s="1">
        <v>4855</v>
      </c>
      <c r="H165" s="1">
        <v>620704.14382282284</v>
      </c>
      <c r="I165">
        <f t="shared" si="124"/>
        <v>0.53500622545733167</v>
      </c>
      <c r="J165" s="25">
        <f>((((E165)^2*H165)+((G165)^2*F165))/(E165+G165)^4)</f>
        <v>3.6488943526685616E-3</v>
      </c>
      <c r="K165" s="13">
        <f t="shared" si="117"/>
        <v>12904.522735409953</v>
      </c>
      <c r="L165" s="1">
        <f t="shared" ref="L165:L189" si="146">(D165^2)*J165*(1/(I165^4))</f>
        <v>2122890.1028359062</v>
      </c>
      <c r="M165">
        <f t="shared" si="127"/>
        <v>1457.0141052288775</v>
      </c>
      <c r="N165" s="1">
        <f t="shared" si="128"/>
        <v>2855.7476462485997</v>
      </c>
      <c r="O165" s="24">
        <f t="shared" si="121"/>
        <v>6000.5227354099534</v>
      </c>
      <c r="P165" s="1">
        <f t="shared" si="118"/>
        <v>2122890.1028359062</v>
      </c>
      <c r="Q165">
        <f t="shared" si="119"/>
        <v>1457.0141052288775</v>
      </c>
      <c r="R165" s="1">
        <f t="shared" si="120"/>
        <v>2855.7476462485997</v>
      </c>
    </row>
    <row r="166" spans="1:18" hidden="1" x14ac:dyDescent="0.3">
      <c r="A166" t="s">
        <v>81</v>
      </c>
      <c r="B166">
        <v>2012</v>
      </c>
      <c r="C166" t="s">
        <v>50</v>
      </c>
      <c r="D166" s="13">
        <v>6813</v>
      </c>
      <c r="E166" s="1">
        <v>6484</v>
      </c>
      <c r="F166" s="1">
        <v>1240637.6038428419</v>
      </c>
      <c r="G166" s="1">
        <v>4700</v>
      </c>
      <c r="H166" s="1">
        <v>1180627.8061701611</v>
      </c>
      <c r="I166">
        <f t="shared" si="124"/>
        <v>0.57975679542203151</v>
      </c>
      <c r="J166">
        <f t="shared" si="125"/>
        <v>4.9242328730077552E-3</v>
      </c>
      <c r="K166" s="13">
        <f t="shared" si="117"/>
        <v>11751.479333744601</v>
      </c>
      <c r="L166" s="1">
        <f t="shared" si="146"/>
        <v>2023168.1052428612</v>
      </c>
      <c r="M166">
        <f t="shared" si="127"/>
        <v>1422.3811392319785</v>
      </c>
      <c r="N166" s="1">
        <f t="shared" si="128"/>
        <v>2787.8670328946778</v>
      </c>
      <c r="O166" s="24">
        <f t="shared" si="121"/>
        <v>4938.4793337446008</v>
      </c>
      <c r="P166" s="1">
        <f t="shared" si="118"/>
        <v>2023168.1052428612</v>
      </c>
      <c r="Q166">
        <f t="shared" si="119"/>
        <v>1422.3811392319785</v>
      </c>
      <c r="R166" s="1">
        <f t="shared" si="120"/>
        <v>2787.8670328946778</v>
      </c>
    </row>
    <row r="167" spans="1:18" hidden="1" x14ac:dyDescent="0.3">
      <c r="A167" t="s">
        <v>81</v>
      </c>
      <c r="B167">
        <v>2013</v>
      </c>
      <c r="C167" t="s">
        <v>50</v>
      </c>
      <c r="D167" s="13">
        <v>9965</v>
      </c>
      <c r="E167" s="1">
        <v>5313</v>
      </c>
      <c r="F167" s="1">
        <v>736780.25336436427</v>
      </c>
      <c r="G167" s="1">
        <v>4599</v>
      </c>
      <c r="H167" s="1">
        <v>801374.23235635646</v>
      </c>
      <c r="I167">
        <f t="shared" si="124"/>
        <v>0.53601694915254239</v>
      </c>
      <c r="J167">
        <f t="shared" si="125"/>
        <v>3.957957805243259E-3</v>
      </c>
      <c r="K167" s="13">
        <f t="shared" si="117"/>
        <v>18590.830039525692</v>
      </c>
      <c r="L167" s="1">
        <f t="shared" si="146"/>
        <v>4761147.9363994701</v>
      </c>
      <c r="M167">
        <f t="shared" si="127"/>
        <v>2182.0054849609041</v>
      </c>
      <c r="N167" s="1">
        <f t="shared" si="128"/>
        <v>4276.7307505233721</v>
      </c>
      <c r="O167" s="24">
        <f t="shared" si="121"/>
        <v>8625.830039525692</v>
      </c>
      <c r="P167" s="1">
        <f t="shared" si="118"/>
        <v>4761147.9363994701</v>
      </c>
      <c r="Q167">
        <f t="shared" si="119"/>
        <v>2182.0054849609041</v>
      </c>
      <c r="R167" s="1">
        <f t="shared" si="120"/>
        <v>4276.7307505233721</v>
      </c>
    </row>
    <row r="168" spans="1:18" hidden="1" x14ac:dyDescent="0.3">
      <c r="A168" t="s">
        <v>81</v>
      </c>
      <c r="B168">
        <v>2014</v>
      </c>
      <c r="C168" t="s">
        <v>50</v>
      </c>
      <c r="D168" s="13">
        <v>11896</v>
      </c>
      <c r="E168" s="1">
        <v>14189</v>
      </c>
      <c r="F168" s="1">
        <v>3624990.0104104094</v>
      </c>
      <c r="G168" s="1">
        <v>6454</v>
      </c>
      <c r="H168" s="1">
        <v>1573411.5406566611</v>
      </c>
      <c r="I168">
        <f>E168/(E168+G168)</f>
        <v>0.68735164462529674</v>
      </c>
      <c r="J168">
        <f t="shared" si="125"/>
        <v>2.5759559707076319E-3</v>
      </c>
      <c r="K168" s="13">
        <f t="shared" si="117"/>
        <v>17307.007400098668</v>
      </c>
      <c r="L168" s="1">
        <f t="shared" si="146"/>
        <v>1633143.8585763292</v>
      </c>
      <c r="M168">
        <f t="shared" si="127"/>
        <v>1277.9451704108158</v>
      </c>
      <c r="N168" s="1">
        <f t="shared" si="128"/>
        <v>2504.7725340051988</v>
      </c>
      <c r="O168" s="24">
        <f t="shared" si="121"/>
        <v>5411.0074000986679</v>
      </c>
      <c r="P168" s="1">
        <f t="shared" si="118"/>
        <v>1633143.8585763292</v>
      </c>
      <c r="Q168">
        <f t="shared" si="119"/>
        <v>1277.9451704108158</v>
      </c>
      <c r="R168" s="1">
        <f t="shared" si="120"/>
        <v>2504.7725340051988</v>
      </c>
    </row>
    <row r="169" spans="1:18" hidden="1" x14ac:dyDescent="0.3">
      <c r="A169" t="s">
        <v>81</v>
      </c>
      <c r="B169">
        <v>2015</v>
      </c>
      <c r="C169" t="s">
        <v>50</v>
      </c>
      <c r="D169" s="13">
        <v>12377</v>
      </c>
      <c r="E169" s="1">
        <v>8808</v>
      </c>
      <c r="F169" s="1">
        <v>1555658.3352462491</v>
      </c>
      <c r="G169" s="1">
        <v>7669</v>
      </c>
      <c r="H169" s="1">
        <v>3940924.0648558754</v>
      </c>
      <c r="I169">
        <f t="shared" si="124"/>
        <v>0.53456333070340478</v>
      </c>
      <c r="J169">
        <f t="shared" si="125"/>
        <v>5.3893198139838491E-3</v>
      </c>
      <c r="K169" s="13">
        <f t="shared" si="117"/>
        <v>23153.477406902814</v>
      </c>
      <c r="L169" s="1">
        <f t="shared" si="146"/>
        <v>10110394.020791385</v>
      </c>
      <c r="M169">
        <f t="shared" si="127"/>
        <v>3179.6845788208907</v>
      </c>
      <c r="N169" s="1">
        <f t="shared" si="128"/>
        <v>6232.1817744889458</v>
      </c>
      <c r="O169" s="24">
        <f t="shared" si="121"/>
        <v>10776.477406902814</v>
      </c>
      <c r="P169" s="1">
        <f t="shared" si="118"/>
        <v>10110394.020791385</v>
      </c>
      <c r="Q169">
        <f t="shared" si="119"/>
        <v>3179.6845788208907</v>
      </c>
      <c r="R169" s="1">
        <f t="shared" si="120"/>
        <v>6232.1817744889458</v>
      </c>
    </row>
    <row r="170" spans="1:18" hidden="1" x14ac:dyDescent="0.3">
      <c r="A170" t="s">
        <v>81</v>
      </c>
      <c r="B170">
        <v>2016</v>
      </c>
      <c r="C170" t="s">
        <v>50</v>
      </c>
      <c r="D170" s="13">
        <v>13580</v>
      </c>
      <c r="E170" s="1">
        <v>7013</v>
      </c>
      <c r="F170" s="1">
        <v>1611474.156360368</v>
      </c>
      <c r="G170" s="1">
        <v>7306</v>
      </c>
      <c r="H170" s="1">
        <v>4275790.6274024071</v>
      </c>
      <c r="I170">
        <f t="shared" si="124"/>
        <v>0.48976883860604792</v>
      </c>
      <c r="J170">
        <f t="shared" si="125"/>
        <v>7.0484655615102388E-3</v>
      </c>
      <c r="K170" s="13">
        <f t="shared" si="117"/>
        <v>27727.366319691999</v>
      </c>
      <c r="L170" s="1">
        <f t="shared" si="146"/>
        <v>22590691.391820997</v>
      </c>
      <c r="M170">
        <f t="shared" si="127"/>
        <v>4752.9665885445693</v>
      </c>
      <c r="N170" s="1">
        <f t="shared" si="128"/>
        <v>9315.8145135473551</v>
      </c>
      <c r="O170" s="24">
        <f t="shared" si="121"/>
        <v>14147.366319691999</v>
      </c>
      <c r="P170" s="1">
        <f t="shared" si="118"/>
        <v>22590691.391820997</v>
      </c>
      <c r="Q170">
        <f t="shared" si="119"/>
        <v>4752.9665885445693</v>
      </c>
      <c r="R170" s="1">
        <f t="shared" si="120"/>
        <v>9315.8145135473551</v>
      </c>
    </row>
    <row r="171" spans="1:18" hidden="1" x14ac:dyDescent="0.3">
      <c r="A171" t="s">
        <v>81</v>
      </c>
      <c r="B171">
        <v>2017</v>
      </c>
      <c r="C171" t="s">
        <v>50</v>
      </c>
      <c r="D171" s="13">
        <v>6719</v>
      </c>
      <c r="E171" s="1">
        <v>8635</v>
      </c>
      <c r="F171" s="1">
        <v>2065818.5137577469</v>
      </c>
      <c r="G171" s="1">
        <v>4830</v>
      </c>
      <c r="H171" s="1">
        <v>1064464.5500660685</v>
      </c>
      <c r="I171">
        <f t="shared" si="124"/>
        <v>0.64129223913850719</v>
      </c>
      <c r="J171">
        <f t="shared" si="125"/>
        <v>3.8806092747841916E-3</v>
      </c>
      <c r="K171" s="13">
        <f t="shared" si="117"/>
        <v>10477.282570932253</v>
      </c>
      <c r="L171" s="1">
        <f t="shared" si="146"/>
        <v>1035822.3149322054</v>
      </c>
      <c r="M171">
        <f t="shared" si="127"/>
        <v>1017.7535629670895</v>
      </c>
      <c r="N171" s="1">
        <f t="shared" si="128"/>
        <v>1994.7969834154953</v>
      </c>
      <c r="O171" s="24">
        <f t="shared" si="121"/>
        <v>3758.2825709322533</v>
      </c>
      <c r="P171" s="1">
        <f t="shared" si="118"/>
        <v>1035822.3149322054</v>
      </c>
      <c r="Q171">
        <f t="shared" si="119"/>
        <v>1017.7535629670895</v>
      </c>
      <c r="R171" s="1">
        <f t="shared" si="120"/>
        <v>1994.7969834154953</v>
      </c>
    </row>
    <row r="172" spans="1:18" hidden="1" x14ac:dyDescent="0.3">
      <c r="A172" t="s">
        <v>81</v>
      </c>
      <c r="B172">
        <v>2018</v>
      </c>
      <c r="C172" t="s">
        <v>50</v>
      </c>
      <c r="D172" s="13">
        <v>8479</v>
      </c>
      <c r="E172" s="1">
        <v>6486</v>
      </c>
      <c r="F172" s="1">
        <v>1145866.3617056981</v>
      </c>
      <c r="G172" s="1">
        <v>6648</v>
      </c>
      <c r="H172" s="1">
        <v>2360229.3893053131</v>
      </c>
      <c r="I172">
        <f t="shared" si="124"/>
        <v>0.49383280036546368</v>
      </c>
      <c r="J172">
        <f t="shared" si="125"/>
        <v>5.0385983484752166E-3</v>
      </c>
      <c r="K172" s="13">
        <f t="shared" si="117"/>
        <v>17169.778908418131</v>
      </c>
      <c r="L172" s="1">
        <f t="shared" si="146"/>
        <v>6090869.3085533688</v>
      </c>
      <c r="M172">
        <f t="shared" si="127"/>
        <v>2467.9686603669361</v>
      </c>
      <c r="N172" s="1">
        <f t="shared" si="128"/>
        <v>4837.2185743191949</v>
      </c>
      <c r="O172" s="24">
        <f t="shared" si="121"/>
        <v>8690.7789084181313</v>
      </c>
      <c r="P172" s="1">
        <f t="shared" si="118"/>
        <v>6090869.3085533688</v>
      </c>
      <c r="Q172">
        <f t="shared" si="119"/>
        <v>2467.9686603669361</v>
      </c>
      <c r="R172" s="1">
        <f t="shared" si="120"/>
        <v>4837.2185743191949</v>
      </c>
    </row>
    <row r="173" spans="1:18" hidden="1" x14ac:dyDescent="0.3">
      <c r="A173" t="s">
        <v>81</v>
      </c>
      <c r="B173">
        <v>2019</v>
      </c>
      <c r="C173" t="s">
        <v>50</v>
      </c>
      <c r="D173" s="13">
        <v>9881</v>
      </c>
      <c r="E173" s="1">
        <v>7481</v>
      </c>
      <c r="F173" s="1">
        <v>975394.6246156171</v>
      </c>
      <c r="G173" s="1">
        <v>7801</v>
      </c>
      <c r="H173" s="1">
        <v>1822654.7817257144</v>
      </c>
      <c r="I173">
        <f t="shared" si="124"/>
        <v>0.48953016620861145</v>
      </c>
      <c r="J173">
        <f t="shared" si="125"/>
        <v>2.9585929682643991E-3</v>
      </c>
      <c r="K173" s="13">
        <f t="shared" si="117"/>
        <v>20184.660072182862</v>
      </c>
      <c r="L173" s="1">
        <f>(D173^2)*J173*(1/(I173^4))</f>
        <v>5030013.8598571327</v>
      </c>
      <c r="M173">
        <f>SQRT(L173)</f>
        <v>2242.7692391008782</v>
      </c>
      <c r="N173" s="1">
        <f>(1.96*M173)</f>
        <v>4395.8277086377211</v>
      </c>
      <c r="O173" s="24">
        <f t="shared" si="121"/>
        <v>10303.660072182862</v>
      </c>
      <c r="P173" s="1">
        <f>L173</f>
        <v>5030013.8598571327</v>
      </c>
      <c r="Q173">
        <f>SQRT(P173)</f>
        <v>2242.7692391008782</v>
      </c>
      <c r="R173" s="1">
        <f>(1.96*Q173)</f>
        <v>4395.8277086377211</v>
      </c>
    </row>
    <row r="174" spans="1:18" hidden="1" x14ac:dyDescent="0.3">
      <c r="A174" t="s">
        <v>81</v>
      </c>
      <c r="B174">
        <v>2020</v>
      </c>
      <c r="C174" t="s">
        <v>50</v>
      </c>
      <c r="D174" s="13">
        <v>4479</v>
      </c>
      <c r="E174" s="1">
        <v>2696</v>
      </c>
      <c r="F174" s="1">
        <v>281022.69369269308</v>
      </c>
      <c r="G174" s="1">
        <v>3266</v>
      </c>
      <c r="H174" s="1">
        <v>545052.47342442453</v>
      </c>
      <c r="I174">
        <f t="shared" ref="I174:I176" si="147">E174/(E174+G174)</f>
        <v>0.4521972492452197</v>
      </c>
      <c r="J174">
        <f t="shared" ref="J174:J176" si="148">((((E174)^2*H174)+((G174)^2*F174))/(E174+G174)^4)</f>
        <v>5.5080225992613554E-3</v>
      </c>
      <c r="K174" s="13">
        <f t="shared" ref="K174:K176" si="149">D174/I174</f>
        <v>9904.9695845697333</v>
      </c>
      <c r="L174" s="1">
        <f t="shared" ref="L174:L175" si="150">(D174^2)*J174*(1/(I174^4))</f>
        <v>2642689.7102351333</v>
      </c>
      <c r="M174">
        <f t="shared" ref="M174:M175" si="151">SQRT(L174)</f>
        <v>1625.6351713207773</v>
      </c>
      <c r="N174" s="1">
        <f t="shared" ref="N174:N175" si="152">(1.96*M174)</f>
        <v>3186.2449357887235</v>
      </c>
      <c r="O174" s="24">
        <f t="shared" ref="O174:O175" si="153">K174-D174</f>
        <v>5425.9695845697333</v>
      </c>
      <c r="P174" s="1">
        <f t="shared" ref="P174:P175" si="154">L174</f>
        <v>2642689.7102351333</v>
      </c>
      <c r="Q174">
        <f t="shared" ref="Q174:Q175" si="155">SQRT(P174)</f>
        <v>1625.6351713207773</v>
      </c>
      <c r="R174" s="1">
        <f t="shared" ref="R174:R175" si="156">(1.96*Q174)</f>
        <v>3186.2449357887235</v>
      </c>
    </row>
    <row r="175" spans="1:18" hidden="1" x14ac:dyDescent="0.3">
      <c r="A175" t="s">
        <v>81</v>
      </c>
      <c r="B175">
        <v>2021</v>
      </c>
      <c r="C175" t="s">
        <v>50</v>
      </c>
      <c r="D175" s="13">
        <v>9680</v>
      </c>
      <c r="E175" s="1">
        <v>9479</v>
      </c>
      <c r="F175" s="1">
        <v>1897417.6877187195</v>
      </c>
      <c r="G175" s="1">
        <v>6779</v>
      </c>
      <c r="H175" s="1">
        <v>1586677.904688698</v>
      </c>
      <c r="I175">
        <f t="shared" si="147"/>
        <v>0.58303604379382457</v>
      </c>
      <c r="J175">
        <f t="shared" si="148"/>
        <v>3.2885731284598768E-3</v>
      </c>
      <c r="K175" s="13">
        <f t="shared" si="149"/>
        <v>16602.747125224181</v>
      </c>
      <c r="L175" s="1">
        <f t="shared" si="150"/>
        <v>2666714.9901529583</v>
      </c>
      <c r="M175">
        <f t="shared" si="151"/>
        <v>1633.007957773923</v>
      </c>
      <c r="N175" s="1">
        <f t="shared" si="152"/>
        <v>3200.6955972368887</v>
      </c>
      <c r="O175" s="24">
        <f t="shared" si="153"/>
        <v>6922.7471252241812</v>
      </c>
      <c r="P175" s="1">
        <f t="shared" si="154"/>
        <v>2666714.9901529583</v>
      </c>
      <c r="Q175">
        <f t="shared" si="155"/>
        <v>1633.007957773923</v>
      </c>
      <c r="R175" s="1">
        <f t="shared" si="156"/>
        <v>3200.6955972368887</v>
      </c>
    </row>
    <row r="176" spans="1:18" s="51" customFormat="1" hidden="1" x14ac:dyDescent="0.3">
      <c r="A176" s="51" t="s">
        <v>81</v>
      </c>
      <c r="B176" s="51">
        <v>2022</v>
      </c>
      <c r="C176" s="51" t="s">
        <v>50</v>
      </c>
      <c r="D176" s="71">
        <v>10973</v>
      </c>
      <c r="E176" s="72">
        <v>9783</v>
      </c>
      <c r="F176" s="72">
        <f>1385^2</f>
        <v>1918225</v>
      </c>
      <c r="G176" s="72">
        <v>3133</v>
      </c>
      <c r="H176" s="72">
        <f>801^2</f>
        <v>641601</v>
      </c>
      <c r="I176" s="51">
        <f t="shared" si="147"/>
        <v>0.75743264168473212</v>
      </c>
      <c r="J176">
        <f t="shared" si="148"/>
        <v>2.8830276697592431E-3</v>
      </c>
      <c r="K176" s="71">
        <f t="shared" si="149"/>
        <v>14487.096800572421</v>
      </c>
      <c r="L176" s="1">
        <f t="shared" ref="L176" si="157">(D176^2)*J176*(1/(I176^4))</f>
        <v>1054686.774762708</v>
      </c>
      <c r="M176">
        <f t="shared" ref="M176" si="158">SQRT(L176)</f>
        <v>1026.9794422298373</v>
      </c>
      <c r="N176" s="1">
        <f t="shared" ref="N176" si="159">(1.96*M176)</f>
        <v>2012.8797067704811</v>
      </c>
      <c r="O176" s="24">
        <f t="shared" ref="O176" si="160">K176-D176</f>
        <v>3514.0968005724208</v>
      </c>
      <c r="P176" s="1">
        <f t="shared" ref="P176" si="161">L176</f>
        <v>1054686.774762708</v>
      </c>
      <c r="Q176">
        <f t="shared" ref="Q176" si="162">SQRT(P176)</f>
        <v>1026.9794422298373</v>
      </c>
      <c r="R176" s="1">
        <f t="shared" ref="R176" si="163">(1.96*Q176)</f>
        <v>2012.8797067704811</v>
      </c>
    </row>
    <row r="177" spans="1:18" hidden="1" x14ac:dyDescent="0.3">
      <c r="A177" t="s">
        <v>81</v>
      </c>
      <c r="B177">
        <v>1998</v>
      </c>
      <c r="C177" t="s">
        <v>51</v>
      </c>
      <c r="D177" s="13">
        <v>3821</v>
      </c>
      <c r="E177" s="1"/>
      <c r="F177" s="1"/>
      <c r="G177" s="1"/>
      <c r="H177" s="1"/>
      <c r="I177" s="21">
        <f>AVERAGE(I190:I197)</f>
        <v>0.28117596290133401</v>
      </c>
      <c r="J177" s="21">
        <v>3.7484781746451919E-3</v>
      </c>
      <c r="K177" s="13">
        <f t="shared" si="117"/>
        <v>13589.355080614794</v>
      </c>
      <c r="L177" s="1">
        <f t="shared" si="146"/>
        <v>8755809.3695013113</v>
      </c>
      <c r="M177">
        <f t="shared" si="127"/>
        <v>2959.0216912860424</v>
      </c>
      <c r="N177" s="1">
        <f t="shared" si="128"/>
        <v>5799.6825149206434</v>
      </c>
      <c r="O177" s="24">
        <f t="shared" si="121"/>
        <v>9768.3550806147941</v>
      </c>
      <c r="P177" s="1">
        <f t="shared" si="118"/>
        <v>8755809.3695013113</v>
      </c>
      <c r="Q177">
        <f t="shared" si="119"/>
        <v>2959.0216912860424</v>
      </c>
      <c r="R177" s="1">
        <f t="shared" si="120"/>
        <v>5799.6825149206434</v>
      </c>
    </row>
    <row r="178" spans="1:18" hidden="1" x14ac:dyDescent="0.3">
      <c r="A178" t="s">
        <v>81</v>
      </c>
      <c r="B178">
        <v>1999</v>
      </c>
      <c r="C178" t="s">
        <v>51</v>
      </c>
      <c r="D178" s="13">
        <v>4514</v>
      </c>
      <c r="E178" s="1"/>
      <c r="F178" s="1"/>
      <c r="G178" s="1"/>
      <c r="H178" s="1"/>
      <c r="I178" s="21">
        <v>0.28117596290133401</v>
      </c>
      <c r="J178" s="21">
        <v>3.7484781746451919E-3</v>
      </c>
      <c r="K178" s="13">
        <f t="shared" si="117"/>
        <v>16054.003882202349</v>
      </c>
      <c r="L178" s="1">
        <f t="shared" si="146"/>
        <v>12219834.714956973</v>
      </c>
      <c r="M178">
        <f t="shared" si="127"/>
        <v>3495.688017394712</v>
      </c>
      <c r="N178" s="1">
        <f t="shared" si="128"/>
        <v>6851.5485140936353</v>
      </c>
      <c r="O178" s="24">
        <f t="shared" si="121"/>
        <v>11540.003882202349</v>
      </c>
      <c r="P178" s="1">
        <f t="shared" si="118"/>
        <v>12219834.714956973</v>
      </c>
      <c r="Q178">
        <f t="shared" si="119"/>
        <v>3495.688017394712</v>
      </c>
      <c r="R178" s="1">
        <f t="shared" si="120"/>
        <v>6851.5485140936353</v>
      </c>
    </row>
    <row r="179" spans="1:18" hidden="1" x14ac:dyDescent="0.3">
      <c r="A179" t="s">
        <v>81</v>
      </c>
      <c r="B179">
        <v>2000</v>
      </c>
      <c r="C179" t="s">
        <v>51</v>
      </c>
      <c r="D179" s="13">
        <v>6011</v>
      </c>
      <c r="E179" s="1"/>
      <c r="F179" s="1"/>
      <c r="G179" s="1"/>
      <c r="H179" s="1"/>
      <c r="I179" s="21">
        <v>0.28117596290133401</v>
      </c>
      <c r="J179" s="21">
        <v>3.7484781746451919E-3</v>
      </c>
      <c r="K179" s="13">
        <f t="shared" si="117"/>
        <v>21378.072072644733</v>
      </c>
      <c r="L179" s="1">
        <f t="shared" si="146"/>
        <v>21668840.765019432</v>
      </c>
      <c r="M179">
        <f t="shared" si="127"/>
        <v>4654.9802110233968</v>
      </c>
      <c r="N179" s="1">
        <f t="shared" si="128"/>
        <v>9123.7612136058578</v>
      </c>
      <c r="O179" s="24">
        <f t="shared" si="121"/>
        <v>15367.072072644733</v>
      </c>
      <c r="P179" s="1">
        <f t="shared" si="118"/>
        <v>21668840.765019432</v>
      </c>
      <c r="Q179">
        <f t="shared" si="119"/>
        <v>4654.9802110233968</v>
      </c>
      <c r="R179" s="1">
        <f t="shared" si="120"/>
        <v>9123.7612136058578</v>
      </c>
    </row>
    <row r="180" spans="1:18" hidden="1" x14ac:dyDescent="0.3">
      <c r="A180" t="s">
        <v>81</v>
      </c>
      <c r="B180">
        <v>2001</v>
      </c>
      <c r="C180" t="s">
        <v>51</v>
      </c>
      <c r="D180" s="13">
        <v>7036</v>
      </c>
      <c r="E180" s="1"/>
      <c r="F180" s="1"/>
      <c r="G180" s="1"/>
      <c r="H180" s="1"/>
      <c r="I180" s="21">
        <v>0.28117596290133401</v>
      </c>
      <c r="J180" s="21">
        <v>3.7484781746451919E-3</v>
      </c>
      <c r="K180" s="13">
        <f t="shared" si="117"/>
        <v>25023.476144256918</v>
      </c>
      <c r="L180" s="1">
        <f t="shared" si="146"/>
        <v>29688884.747428846</v>
      </c>
      <c r="M180">
        <f t="shared" si="127"/>
        <v>5448.7507510831183</v>
      </c>
      <c r="N180" s="1">
        <f t="shared" si="128"/>
        <v>10679.551472122912</v>
      </c>
      <c r="O180" s="24">
        <f t="shared" si="121"/>
        <v>17987.476144256918</v>
      </c>
      <c r="P180" s="1">
        <f t="shared" si="118"/>
        <v>29688884.747428846</v>
      </c>
      <c r="Q180">
        <f t="shared" si="119"/>
        <v>5448.7507510831183</v>
      </c>
      <c r="R180" s="1">
        <f t="shared" si="120"/>
        <v>10679.551472122912</v>
      </c>
    </row>
    <row r="181" spans="1:18" hidden="1" x14ac:dyDescent="0.3">
      <c r="A181" t="s">
        <v>81</v>
      </c>
      <c r="B181">
        <v>2002</v>
      </c>
      <c r="C181" t="s">
        <v>51</v>
      </c>
      <c r="D181" s="13">
        <v>7398</v>
      </c>
      <c r="E181" s="1"/>
      <c r="F181" s="1"/>
      <c r="G181" s="1"/>
      <c r="H181" s="1"/>
      <c r="I181" s="21">
        <v>0.28117596290133401</v>
      </c>
      <c r="J181" s="21">
        <v>3.7484781746451919E-3</v>
      </c>
      <c r="K181" s="13">
        <f t="shared" ref="K181:K223" si="164">D181/I181</f>
        <v>26310.926167597027</v>
      </c>
      <c r="L181" s="1">
        <f t="shared" si="146"/>
        <v>32822440.987651471</v>
      </c>
      <c r="M181">
        <f t="shared" si="127"/>
        <v>5729.0872735237217</v>
      </c>
      <c r="N181" s="1">
        <f t="shared" si="128"/>
        <v>11229.011056106494</v>
      </c>
      <c r="O181" s="24">
        <f t="shared" si="121"/>
        <v>18912.926167597027</v>
      </c>
      <c r="P181" s="1">
        <f t="shared" ref="P181:P222" si="165">L181</f>
        <v>32822440.987651471</v>
      </c>
      <c r="Q181">
        <f t="shared" ref="Q181:Q222" si="166">SQRT(P181)</f>
        <v>5729.0872735237217</v>
      </c>
      <c r="R181" s="1">
        <f t="shared" ref="R181:R222" si="167">(1.96*Q181)</f>
        <v>11229.011056106494</v>
      </c>
    </row>
    <row r="182" spans="1:18" hidden="1" x14ac:dyDescent="0.3">
      <c r="A182" t="s">
        <v>81</v>
      </c>
      <c r="B182">
        <v>2003</v>
      </c>
      <c r="C182" t="s">
        <v>51</v>
      </c>
      <c r="D182" s="13">
        <v>11932</v>
      </c>
      <c r="E182" s="1"/>
      <c r="F182" s="1"/>
      <c r="G182" s="1"/>
      <c r="H182" s="1"/>
      <c r="I182" s="21">
        <v>0.28117596290133401</v>
      </c>
      <c r="J182" s="21">
        <v>3.7484781746451919E-3</v>
      </c>
      <c r="K182" s="13">
        <f t="shared" si="164"/>
        <v>42436.059885343027</v>
      </c>
      <c r="L182" s="1">
        <f t="shared" si="146"/>
        <v>85382469.486194402</v>
      </c>
      <c r="M182">
        <f t="shared" si="127"/>
        <v>9240.2634965781363</v>
      </c>
      <c r="N182" s="1">
        <f t="shared" si="128"/>
        <v>18110.916453293146</v>
      </c>
      <c r="O182" s="24">
        <f t="shared" si="121"/>
        <v>30504.059885343027</v>
      </c>
      <c r="P182" s="1">
        <f t="shared" si="165"/>
        <v>85382469.486194402</v>
      </c>
      <c r="Q182">
        <f t="shared" si="166"/>
        <v>9240.2634965781363</v>
      </c>
      <c r="R182" s="1">
        <f t="shared" si="167"/>
        <v>18110.916453293146</v>
      </c>
    </row>
    <row r="183" spans="1:18" hidden="1" x14ac:dyDescent="0.3">
      <c r="A183" t="s">
        <v>81</v>
      </c>
      <c r="B183">
        <v>2004</v>
      </c>
      <c r="C183" t="s">
        <v>51</v>
      </c>
      <c r="D183" s="13">
        <v>10310</v>
      </c>
      <c r="E183" s="1"/>
      <c r="F183" s="1"/>
      <c r="G183" s="1"/>
      <c r="H183" s="1"/>
      <c r="I183" s="21">
        <v>0.28117596290133401</v>
      </c>
      <c r="J183" s="21">
        <v>3.7484781746451919E-3</v>
      </c>
      <c r="K183" s="13">
        <f t="shared" si="164"/>
        <v>36667.430222752817</v>
      </c>
      <c r="L183" s="1">
        <f t="shared" si="146"/>
        <v>63746970.869564563</v>
      </c>
      <c r="M183">
        <f t="shared" si="127"/>
        <v>7984.1700175763144</v>
      </c>
      <c r="N183" s="1">
        <f t="shared" si="128"/>
        <v>15648.973234449575</v>
      </c>
      <c r="O183" s="24">
        <f t="shared" si="121"/>
        <v>26357.430222752817</v>
      </c>
      <c r="P183" s="1">
        <f t="shared" si="165"/>
        <v>63746970.869564563</v>
      </c>
      <c r="Q183">
        <f t="shared" si="166"/>
        <v>7984.1700175763144</v>
      </c>
      <c r="R183" s="1">
        <f t="shared" si="167"/>
        <v>15648.973234449575</v>
      </c>
    </row>
    <row r="184" spans="1:18" hidden="1" x14ac:dyDescent="0.3">
      <c r="A184" t="s">
        <v>81</v>
      </c>
      <c r="B184">
        <v>2005</v>
      </c>
      <c r="C184" t="s">
        <v>51</v>
      </c>
      <c r="D184" s="13">
        <v>10930</v>
      </c>
      <c r="E184" s="1"/>
      <c r="F184" s="1"/>
      <c r="G184" s="1"/>
      <c r="H184" s="1"/>
      <c r="I184" s="21">
        <v>0.28117596290133401</v>
      </c>
      <c r="J184" s="21">
        <v>3.7484781746451919E-3</v>
      </c>
      <c r="K184" s="13">
        <f t="shared" si="164"/>
        <v>38872.455124606044</v>
      </c>
      <c r="L184" s="1">
        <f t="shared" si="146"/>
        <v>71644448.857817397</v>
      </c>
      <c r="M184">
        <f t="shared" si="127"/>
        <v>8464.3043930270724</v>
      </c>
      <c r="N184" s="1">
        <f t="shared" si="128"/>
        <v>16590.03661033306</v>
      </c>
      <c r="O184" s="24">
        <f t="shared" si="121"/>
        <v>27942.455124606044</v>
      </c>
      <c r="P184" s="1">
        <f t="shared" si="165"/>
        <v>71644448.857817397</v>
      </c>
      <c r="Q184">
        <f t="shared" si="166"/>
        <v>8464.3043930270724</v>
      </c>
      <c r="R184" s="1">
        <f t="shared" si="167"/>
        <v>16590.03661033306</v>
      </c>
    </row>
    <row r="185" spans="1:18" hidden="1" x14ac:dyDescent="0.3">
      <c r="A185" t="s">
        <v>81</v>
      </c>
      <c r="B185">
        <v>2006</v>
      </c>
      <c r="C185" t="s">
        <v>51</v>
      </c>
      <c r="D185" s="13">
        <v>7578</v>
      </c>
      <c r="E185" s="1"/>
      <c r="F185" s="1"/>
      <c r="G185" s="1"/>
      <c r="H185" s="1"/>
      <c r="I185" s="21">
        <v>0.28117596290133401</v>
      </c>
      <c r="J185" s="21">
        <v>3.7484781746451919E-3</v>
      </c>
      <c r="K185" s="13">
        <f t="shared" si="164"/>
        <v>26951.094687489898</v>
      </c>
      <c r="L185" s="1">
        <f t="shared" si="146"/>
        <v>34439070.708155498</v>
      </c>
      <c r="M185">
        <f t="shared" si="127"/>
        <v>5868.4811244610391</v>
      </c>
      <c r="N185" s="1">
        <f t="shared" si="128"/>
        <v>11502.223003943636</v>
      </c>
      <c r="O185" s="24">
        <f t="shared" si="121"/>
        <v>19373.094687489898</v>
      </c>
      <c r="P185" s="1">
        <f t="shared" si="165"/>
        <v>34439070.708155498</v>
      </c>
      <c r="Q185">
        <f t="shared" si="166"/>
        <v>5868.4811244610391</v>
      </c>
      <c r="R185" s="1">
        <f t="shared" si="167"/>
        <v>11502.223003943636</v>
      </c>
    </row>
    <row r="186" spans="1:18" hidden="1" x14ac:dyDescent="0.3">
      <c r="A186" t="s">
        <v>81</v>
      </c>
      <c r="B186">
        <v>2007</v>
      </c>
      <c r="C186" t="s">
        <v>51</v>
      </c>
      <c r="D186" s="13">
        <v>12404</v>
      </c>
      <c r="E186" s="1"/>
      <c r="F186" s="1"/>
      <c r="G186" s="1"/>
      <c r="H186" s="1"/>
      <c r="I186" s="21">
        <v>0.28117596290133401</v>
      </c>
      <c r="J186" s="21">
        <v>3.7484781746451919E-3</v>
      </c>
      <c r="K186" s="13">
        <f t="shared" si="164"/>
        <v>44114.724004173229</v>
      </c>
      <c r="L186" s="1">
        <f t="shared" si="146"/>
        <v>92271108.350786552</v>
      </c>
      <c r="M186">
        <f t="shared" si="127"/>
        <v>9605.7851501470996</v>
      </c>
      <c r="N186" s="1">
        <f t="shared" si="128"/>
        <v>18827.338894288314</v>
      </c>
      <c r="O186" s="24">
        <f t="shared" si="121"/>
        <v>31710.724004173229</v>
      </c>
      <c r="P186" s="1">
        <f t="shared" si="165"/>
        <v>92271108.350786552</v>
      </c>
      <c r="Q186">
        <f t="shared" si="166"/>
        <v>9605.7851501470996</v>
      </c>
      <c r="R186" s="1">
        <f t="shared" si="167"/>
        <v>18827.338894288314</v>
      </c>
    </row>
    <row r="187" spans="1:18" hidden="1" x14ac:dyDescent="0.3">
      <c r="A187" t="s">
        <v>81</v>
      </c>
      <c r="B187">
        <v>2008</v>
      </c>
      <c r="C187" t="s">
        <v>51</v>
      </c>
      <c r="D187" s="13">
        <v>9522</v>
      </c>
      <c r="E187" s="1"/>
      <c r="F187" s="1"/>
      <c r="G187" s="1"/>
      <c r="H187" s="1"/>
      <c r="I187" s="21">
        <v>0.28117596290133401</v>
      </c>
      <c r="J187" s="21">
        <v>3.7484781746451919E-3</v>
      </c>
      <c r="K187" s="13">
        <f t="shared" si="164"/>
        <v>33864.914702332913</v>
      </c>
      <c r="L187" s="1">
        <f t="shared" si="146"/>
        <v>54374913.17494791</v>
      </c>
      <c r="M187">
        <f t="shared" si="127"/>
        <v>7373.9347145840602</v>
      </c>
      <c r="N187" s="1">
        <f t="shared" si="128"/>
        <v>14452.912040584757</v>
      </c>
      <c r="O187" s="24">
        <f t="shared" si="121"/>
        <v>24342.914702332913</v>
      </c>
      <c r="P187" s="1">
        <f t="shared" si="165"/>
        <v>54374913.17494791</v>
      </c>
      <c r="Q187">
        <f t="shared" si="166"/>
        <v>7373.9347145840602</v>
      </c>
      <c r="R187" s="1">
        <f t="shared" si="167"/>
        <v>14452.912040584757</v>
      </c>
    </row>
    <row r="188" spans="1:18" hidden="1" x14ac:dyDescent="0.3">
      <c r="A188" t="s">
        <v>81</v>
      </c>
      <c r="B188">
        <v>2009</v>
      </c>
      <c r="C188" t="s">
        <v>51</v>
      </c>
      <c r="D188" s="13">
        <v>8197</v>
      </c>
      <c r="E188" s="1"/>
      <c r="F188" s="1"/>
      <c r="G188" s="1"/>
      <c r="H188" s="1"/>
      <c r="I188" s="21">
        <v>0.28117596290133401</v>
      </c>
      <c r="J188" s="21">
        <v>3.7484781746451919E-3</v>
      </c>
      <c r="K188" s="13">
        <f t="shared" si="164"/>
        <v>29152.563097565941</v>
      </c>
      <c r="L188" s="1">
        <f t="shared" si="146"/>
        <v>40295086.4991799</v>
      </c>
      <c r="M188">
        <f t="shared" si="127"/>
        <v>6347.8410896288115</v>
      </c>
      <c r="N188" s="1">
        <f t="shared" si="128"/>
        <v>12441.768535672471</v>
      </c>
      <c r="O188" s="24">
        <f t="shared" si="121"/>
        <v>20955.563097565941</v>
      </c>
      <c r="P188" s="1">
        <f t="shared" si="165"/>
        <v>40295086.4991799</v>
      </c>
      <c r="Q188">
        <f t="shared" si="166"/>
        <v>6347.8410896288115</v>
      </c>
      <c r="R188" s="1">
        <f t="shared" si="167"/>
        <v>12441.768535672471</v>
      </c>
    </row>
    <row r="189" spans="1:18" hidden="1" x14ac:dyDescent="0.3">
      <c r="A189" t="s">
        <v>81</v>
      </c>
      <c r="B189">
        <v>2010</v>
      </c>
      <c r="C189" t="s">
        <v>51</v>
      </c>
      <c r="D189" s="13">
        <v>11909</v>
      </c>
      <c r="E189" s="1"/>
      <c r="F189" s="1"/>
      <c r="G189" s="1"/>
      <c r="H189" s="1"/>
      <c r="I189" s="21">
        <v>0.28117596290133401</v>
      </c>
      <c r="J189" s="21">
        <v>3.7484781746451919E-3</v>
      </c>
      <c r="K189" s="13">
        <f t="shared" si="164"/>
        <v>42354.260574467829</v>
      </c>
      <c r="L189" s="1">
        <f t="shared" si="146"/>
        <v>85053622.000279784</v>
      </c>
      <c r="M189">
        <f t="shared" si="127"/>
        <v>9222.4520600694796</v>
      </c>
      <c r="N189" s="1">
        <f t="shared" si="128"/>
        <v>18076.006037736181</v>
      </c>
      <c r="O189" s="24">
        <f t="shared" si="121"/>
        <v>30445.260574467829</v>
      </c>
      <c r="P189" s="1">
        <f t="shared" si="165"/>
        <v>85053622.000279784</v>
      </c>
      <c r="Q189">
        <f t="shared" si="166"/>
        <v>9222.4520600694796</v>
      </c>
      <c r="R189" s="1">
        <f t="shared" si="167"/>
        <v>18076.006037736181</v>
      </c>
    </row>
    <row r="190" spans="1:18" hidden="1" x14ac:dyDescent="0.3">
      <c r="A190" t="s">
        <v>81</v>
      </c>
      <c r="B190">
        <v>2011</v>
      </c>
      <c r="C190" t="s">
        <v>51</v>
      </c>
      <c r="D190" s="13">
        <v>11367</v>
      </c>
      <c r="E190" s="1">
        <v>3774</v>
      </c>
      <c r="F190" s="1">
        <v>242434.32982982989</v>
      </c>
      <c r="G190" s="1">
        <v>19456</v>
      </c>
      <c r="H190" s="1">
        <v>4587452.5342102023</v>
      </c>
      <c r="I190">
        <f>E190/(E190+G190)</f>
        <v>0.16246233318984071</v>
      </c>
      <c r="J190">
        <f t="shared" ref="J190:J223" si="168">((((E190)^2*H190)+((G190)^2*F190))/(E190+G190)^4)</f>
        <v>5.3951772928738536E-4</v>
      </c>
      <c r="K190" s="13">
        <f>D190/I190</f>
        <v>69966.987281399051</v>
      </c>
      <c r="L190" s="1">
        <f t="shared" ref="L190:L214" si="169">(D190^2)*J190*(1/(I190^4))</f>
        <v>100066036.13433234</v>
      </c>
      <c r="M190">
        <f t="shared" ref="M190:M239" si="170">SQRT(L190)</f>
        <v>10003.301261800143</v>
      </c>
      <c r="N190" s="1">
        <f t="shared" ref="N190:N239" si="171">(1.96*M190)</f>
        <v>19606.47047312828</v>
      </c>
      <c r="O190" s="24">
        <f t="shared" si="121"/>
        <v>58599.987281399051</v>
      </c>
      <c r="P190" s="1">
        <f t="shared" si="165"/>
        <v>100066036.13433234</v>
      </c>
      <c r="Q190">
        <f t="shared" si="166"/>
        <v>10003.301261800143</v>
      </c>
      <c r="R190" s="1">
        <f t="shared" si="167"/>
        <v>19606.47047312828</v>
      </c>
    </row>
    <row r="191" spans="1:18" hidden="1" x14ac:dyDescent="0.3">
      <c r="A191" t="s">
        <v>81</v>
      </c>
      <c r="B191">
        <v>2012</v>
      </c>
      <c r="C191" t="s">
        <v>51</v>
      </c>
      <c r="D191" s="13">
        <v>13580</v>
      </c>
      <c r="E191" s="1">
        <v>6613</v>
      </c>
      <c r="F191" s="1">
        <v>843123.71126226336</v>
      </c>
      <c r="G191" s="1">
        <v>15153</v>
      </c>
      <c r="H191" s="1">
        <v>2548094.4886646816</v>
      </c>
      <c r="I191">
        <f t="shared" ref="I191:I223" si="172">E191/(E191+G191)</f>
        <v>0.30382247542038043</v>
      </c>
      <c r="J191">
        <f t="shared" si="168"/>
        <v>1.3590054729676565E-3</v>
      </c>
      <c r="K191" s="13">
        <f t="shared" si="164"/>
        <v>44697.154090427939</v>
      </c>
      <c r="L191" s="1">
        <f t="shared" si="169"/>
        <v>29413124.019685954</v>
      </c>
      <c r="M191">
        <f t="shared" si="170"/>
        <v>5423.3867665588768</v>
      </c>
      <c r="N191" s="1">
        <f t="shared" si="171"/>
        <v>10629.838062455399</v>
      </c>
      <c r="O191" s="24">
        <f t="shared" si="121"/>
        <v>31117.154090427939</v>
      </c>
      <c r="P191" s="1">
        <f t="shared" si="165"/>
        <v>29413124.019685954</v>
      </c>
      <c r="Q191">
        <f t="shared" si="166"/>
        <v>5423.3867665588768</v>
      </c>
      <c r="R191" s="1">
        <f t="shared" si="167"/>
        <v>10629.838062455399</v>
      </c>
    </row>
    <row r="192" spans="1:18" hidden="1" x14ac:dyDescent="0.3">
      <c r="A192" t="s">
        <v>81</v>
      </c>
      <c r="B192">
        <v>2013</v>
      </c>
      <c r="C192" t="s">
        <v>51</v>
      </c>
      <c r="D192" s="13">
        <v>14209</v>
      </c>
      <c r="E192" s="1">
        <v>6102</v>
      </c>
      <c r="F192" s="1">
        <v>488966.8653613613</v>
      </c>
      <c r="G192" s="1">
        <v>19861</v>
      </c>
      <c r="H192" s="1">
        <v>3967586.0219579455</v>
      </c>
      <c r="I192">
        <f t="shared" si="172"/>
        <v>0.2350267688633825</v>
      </c>
      <c r="J192">
        <f t="shared" si="168"/>
        <v>7.4961048927422666E-4</v>
      </c>
      <c r="K192" s="13">
        <f t="shared" si="164"/>
        <v>60456.943133398883</v>
      </c>
      <c r="L192" s="1">
        <f t="shared" si="169"/>
        <v>49601334.787597425</v>
      </c>
      <c r="M192">
        <f t="shared" si="170"/>
        <v>7042.8215075775861</v>
      </c>
      <c r="N192" s="1">
        <f t="shared" si="171"/>
        <v>13803.930154852069</v>
      </c>
      <c r="O192" s="24">
        <f t="shared" si="121"/>
        <v>46247.943133398883</v>
      </c>
      <c r="P192" s="1">
        <f t="shared" si="165"/>
        <v>49601334.787597425</v>
      </c>
      <c r="Q192">
        <f t="shared" si="166"/>
        <v>7042.8215075775861</v>
      </c>
      <c r="R192" s="1">
        <f t="shared" si="167"/>
        <v>13803.930154852069</v>
      </c>
    </row>
    <row r="193" spans="1:18" ht="17.25" hidden="1" customHeight="1" x14ac:dyDescent="0.3">
      <c r="A193" t="s">
        <v>81</v>
      </c>
      <c r="B193">
        <v>2014</v>
      </c>
      <c r="C193" t="s">
        <v>51</v>
      </c>
      <c r="D193" s="13">
        <v>14913</v>
      </c>
      <c r="E193" s="1">
        <v>9046</v>
      </c>
      <c r="F193" s="1">
        <v>1666839.6055055037</v>
      </c>
      <c r="G193" s="1">
        <v>23022</v>
      </c>
      <c r="H193" s="1">
        <v>6533179.0830580359</v>
      </c>
      <c r="I193">
        <f t="shared" si="172"/>
        <v>0.28208806286640886</v>
      </c>
      <c r="J193">
        <f t="shared" si="168"/>
        <v>1.3409298742526547E-3</v>
      </c>
      <c r="K193" s="13">
        <f t="shared" si="164"/>
        <v>52866.469599823133</v>
      </c>
      <c r="L193" s="1">
        <f t="shared" si="169"/>
        <v>47097436.38695576</v>
      </c>
      <c r="M193">
        <f t="shared" si="170"/>
        <v>6862.7572000585715</v>
      </c>
      <c r="N193" s="1">
        <f t="shared" si="171"/>
        <v>13451.004112114801</v>
      </c>
      <c r="O193" s="24">
        <f t="shared" si="121"/>
        <v>37953.469599823133</v>
      </c>
      <c r="P193" s="1">
        <f t="shared" si="165"/>
        <v>47097436.38695576</v>
      </c>
      <c r="Q193">
        <f t="shared" si="166"/>
        <v>6862.7572000585715</v>
      </c>
      <c r="R193" s="1">
        <f t="shared" si="167"/>
        <v>13451.004112114801</v>
      </c>
    </row>
    <row r="194" spans="1:18" hidden="1" x14ac:dyDescent="0.3">
      <c r="A194" t="s">
        <v>81</v>
      </c>
      <c r="B194">
        <v>2015</v>
      </c>
      <c r="C194" t="s">
        <v>51</v>
      </c>
      <c r="D194" s="13">
        <v>20073</v>
      </c>
      <c r="E194" s="1">
        <v>8996</v>
      </c>
      <c r="F194" s="1">
        <v>892984.73656756792</v>
      </c>
      <c r="G194" s="1">
        <v>23363</v>
      </c>
      <c r="H194" s="1">
        <v>5991962.1945785834</v>
      </c>
      <c r="I194">
        <f t="shared" si="172"/>
        <v>0.27800611885410548</v>
      </c>
      <c r="J194">
        <f t="shared" si="168"/>
        <v>8.8682038814212507E-4</v>
      </c>
      <c r="K194" s="13">
        <f t="shared" si="164"/>
        <v>72203.446754112942</v>
      </c>
      <c r="L194" s="1">
        <f t="shared" si="169"/>
        <v>59819505.590102598</v>
      </c>
      <c r="M194">
        <f t="shared" si="170"/>
        <v>7734.3070530011028</v>
      </c>
      <c r="N194" s="1">
        <f t="shared" si="171"/>
        <v>15159.241823882161</v>
      </c>
      <c r="O194" s="24">
        <f t="shared" si="121"/>
        <v>52130.446754112942</v>
      </c>
      <c r="P194" s="1">
        <f t="shared" si="165"/>
        <v>59819505.590102598</v>
      </c>
      <c r="Q194">
        <f t="shared" si="166"/>
        <v>7734.3070530011028</v>
      </c>
      <c r="R194" s="1">
        <f t="shared" si="167"/>
        <v>15159.241823882161</v>
      </c>
    </row>
    <row r="195" spans="1:18" hidden="1" x14ac:dyDescent="0.3">
      <c r="A195" t="s">
        <v>81</v>
      </c>
      <c r="B195">
        <v>2016</v>
      </c>
      <c r="C195" t="s">
        <v>51</v>
      </c>
      <c r="D195" s="13">
        <v>28893</v>
      </c>
      <c r="E195" s="1">
        <v>10302</v>
      </c>
      <c r="F195" s="1">
        <v>1365515.0305345249</v>
      </c>
      <c r="G195" s="1">
        <v>23114</v>
      </c>
      <c r="H195" s="1">
        <v>7650453.4078238215</v>
      </c>
      <c r="I195">
        <f t="shared" si="172"/>
        <v>0.30829542734019633</v>
      </c>
      <c r="J195">
        <f t="shared" si="168"/>
        <v>1.2362953617843812E-3</v>
      </c>
      <c r="K195" s="13">
        <f t="shared" si="164"/>
        <v>93718.548631333717</v>
      </c>
      <c r="L195" s="1">
        <f t="shared" si="169"/>
        <v>114245520.83381788</v>
      </c>
      <c r="M195">
        <f t="shared" si="170"/>
        <v>10688.569634605834</v>
      </c>
      <c r="N195" s="1">
        <f t="shared" si="171"/>
        <v>20949.596483827434</v>
      </c>
      <c r="O195" s="24">
        <f t="shared" si="121"/>
        <v>64825.548631333717</v>
      </c>
      <c r="P195" s="1">
        <f t="shared" si="165"/>
        <v>114245520.83381788</v>
      </c>
      <c r="Q195">
        <f t="shared" si="166"/>
        <v>10688.569634605834</v>
      </c>
      <c r="R195" s="1">
        <f t="shared" si="167"/>
        <v>20949.596483827434</v>
      </c>
    </row>
    <row r="196" spans="1:18" hidden="1" x14ac:dyDescent="0.3">
      <c r="A196" t="s">
        <v>81</v>
      </c>
      <c r="B196">
        <v>2017</v>
      </c>
      <c r="C196" t="s">
        <v>51</v>
      </c>
      <c r="D196" s="13">
        <v>16300</v>
      </c>
      <c r="E196" s="1">
        <v>8241</v>
      </c>
      <c r="F196" s="1">
        <v>868708.97628728708</v>
      </c>
      <c r="G196" s="1">
        <v>16945</v>
      </c>
      <c r="H196" s="1">
        <v>3824778.5271311314</v>
      </c>
      <c r="I196">
        <f t="shared" si="172"/>
        <v>0.32720559040736918</v>
      </c>
      <c r="J196">
        <f t="shared" si="168"/>
        <v>1.2654477718482876E-3</v>
      </c>
      <c r="K196" s="13">
        <f t="shared" si="164"/>
        <v>49815.774784613517</v>
      </c>
      <c r="L196" s="1">
        <f t="shared" si="169"/>
        <v>29331655.3806163</v>
      </c>
      <c r="M196">
        <f t="shared" si="170"/>
        <v>5415.8706945990043</v>
      </c>
      <c r="N196" s="1">
        <f t="shared" si="171"/>
        <v>10615.106561414048</v>
      </c>
      <c r="O196" s="24">
        <f t="shared" si="121"/>
        <v>33515.774784613517</v>
      </c>
      <c r="P196" s="1">
        <f t="shared" si="165"/>
        <v>29331655.3806163</v>
      </c>
      <c r="Q196">
        <f t="shared" si="166"/>
        <v>5415.8706945990043</v>
      </c>
      <c r="R196" s="1">
        <f t="shared" si="167"/>
        <v>10615.106561414048</v>
      </c>
    </row>
    <row r="197" spans="1:18" hidden="1" x14ac:dyDescent="0.3">
      <c r="A197" t="s">
        <v>81</v>
      </c>
      <c r="B197">
        <v>2018</v>
      </c>
      <c r="C197" t="s">
        <v>51</v>
      </c>
      <c r="D197" s="13">
        <v>12107</v>
      </c>
      <c r="E197" s="1">
        <v>9514</v>
      </c>
      <c r="F197" s="1">
        <v>1343205.7000110077</v>
      </c>
      <c r="G197" s="1">
        <v>17476</v>
      </c>
      <c r="H197" s="1">
        <v>6845122.7581942203</v>
      </c>
      <c r="I197">
        <f t="shared" si="172"/>
        <v>0.35250092626898849</v>
      </c>
      <c r="J197">
        <f t="shared" si="168"/>
        <v>1.9406684433297616E-3</v>
      </c>
      <c r="K197" s="13">
        <f t="shared" si="164"/>
        <v>34346.009039310491</v>
      </c>
      <c r="L197" s="1">
        <f t="shared" si="169"/>
        <v>18423976.825865198</v>
      </c>
      <c r="M197">
        <f t="shared" si="170"/>
        <v>4292.3160212017474</v>
      </c>
      <c r="N197" s="1">
        <f t="shared" si="171"/>
        <v>8412.9394015554244</v>
      </c>
      <c r="O197" s="24">
        <f t="shared" si="121"/>
        <v>22239.009039310491</v>
      </c>
      <c r="P197" s="1">
        <f t="shared" si="165"/>
        <v>18423976.825865198</v>
      </c>
      <c r="Q197">
        <f t="shared" si="166"/>
        <v>4292.3160212017474</v>
      </c>
      <c r="R197" s="1">
        <f t="shared" si="167"/>
        <v>8412.9394015554244</v>
      </c>
    </row>
    <row r="198" spans="1:18" hidden="1" x14ac:dyDescent="0.3">
      <c r="A198" t="s">
        <v>81</v>
      </c>
      <c r="B198">
        <v>2019</v>
      </c>
      <c r="C198" t="s">
        <v>51</v>
      </c>
      <c r="D198" s="13">
        <v>15083</v>
      </c>
      <c r="E198" s="1">
        <v>13138</v>
      </c>
      <c r="F198" s="1">
        <v>1542503.0820410531</v>
      </c>
      <c r="G198" s="1">
        <v>27875</v>
      </c>
      <c r="H198" s="1">
        <v>12795556.546737736</v>
      </c>
      <c r="I198">
        <f t="shared" si="172"/>
        <v>0.32033745397800695</v>
      </c>
      <c r="J198">
        <f t="shared" si="168"/>
        <v>1.2042187379813071E-3</v>
      </c>
      <c r="K198" s="13">
        <f t="shared" si="164"/>
        <v>47084.722103820983</v>
      </c>
      <c r="L198" s="1">
        <f>(D198^2)*J198*(1/(I198^4))</f>
        <v>26016565.548853625</v>
      </c>
      <c r="M198">
        <f>SQRT(L198)</f>
        <v>5100.6436406451321</v>
      </c>
      <c r="N198" s="1">
        <f>(1.96*M198)</f>
        <v>9997.2615356644583</v>
      </c>
      <c r="O198" s="24">
        <f t="shared" si="121"/>
        <v>32001.722103820983</v>
      </c>
      <c r="P198" s="1">
        <f>L198</f>
        <v>26016565.548853625</v>
      </c>
      <c r="Q198">
        <f>SQRT(P198)</f>
        <v>5100.6436406451321</v>
      </c>
      <c r="R198" s="1">
        <f>(1.96*Q198)</f>
        <v>9997.2615356644583</v>
      </c>
    </row>
    <row r="199" spans="1:18" hidden="1" x14ac:dyDescent="0.3">
      <c r="A199" t="s">
        <v>81</v>
      </c>
      <c r="B199">
        <v>2020</v>
      </c>
      <c r="C199" t="s">
        <v>51</v>
      </c>
      <c r="D199" s="13">
        <v>9001</v>
      </c>
      <c r="E199" s="1">
        <v>8645</v>
      </c>
      <c r="F199" s="1">
        <v>908092.66942042112</v>
      </c>
      <c r="G199" s="1">
        <v>17870</v>
      </c>
      <c r="H199" s="1">
        <v>5220519.0429619784</v>
      </c>
      <c r="I199">
        <f t="shared" ref="I199:I201" si="173">E199/(E199+G199)</f>
        <v>0.32604186309636057</v>
      </c>
      <c r="J199">
        <f t="shared" ref="J199:J200" si="174">((((E199)^2*H199)+((G199)^2*F199))/(E199+G199)^4)</f>
        <v>1.3760591941410019E-3</v>
      </c>
      <c r="K199" s="13">
        <f t="shared" ref="K199:K200" si="175">D199/I199</f>
        <v>27606.884326200114</v>
      </c>
      <c r="L199" s="1">
        <f t="shared" ref="L199:L200" si="176">(D199^2)*J199*(1/(I199^4))</f>
        <v>9865637.9851696268</v>
      </c>
      <c r="M199">
        <f t="shared" ref="M199:M200" si="177">SQRT(L199)</f>
        <v>3140.9613154525841</v>
      </c>
      <c r="N199" s="1">
        <f t="shared" ref="N199:N200" si="178">(1.96*M199)</f>
        <v>6156.2841782870646</v>
      </c>
      <c r="O199" s="24">
        <f t="shared" ref="O199:O200" si="179">K199-D199</f>
        <v>18605.884326200114</v>
      </c>
      <c r="P199" s="1">
        <f t="shared" ref="P199:P200" si="180">L199</f>
        <v>9865637.9851696268</v>
      </c>
      <c r="Q199">
        <f t="shared" ref="Q199:Q200" si="181">SQRT(P199)</f>
        <v>3140.9613154525841</v>
      </c>
      <c r="R199" s="1">
        <f t="shared" ref="R199:R200" si="182">(1.96*Q199)</f>
        <v>6156.2841782870646</v>
      </c>
    </row>
    <row r="200" spans="1:18" hidden="1" x14ac:dyDescent="0.3">
      <c r="A200" t="s">
        <v>81</v>
      </c>
      <c r="B200">
        <v>2021</v>
      </c>
      <c r="C200" t="s">
        <v>51</v>
      </c>
      <c r="D200" s="13">
        <v>16848</v>
      </c>
      <c r="E200" s="1">
        <v>13179</v>
      </c>
      <c r="F200" s="1">
        <v>2669707.3398508485</v>
      </c>
      <c r="G200" s="1">
        <v>20895</v>
      </c>
      <c r="H200" s="1">
        <v>6627670.60938437</v>
      </c>
      <c r="I200">
        <f t="shared" si="173"/>
        <v>0.38677584081704525</v>
      </c>
      <c r="J200">
        <f t="shared" si="174"/>
        <v>1.7186328231655198E-3</v>
      </c>
      <c r="K200" s="13">
        <f t="shared" si="175"/>
        <v>43560.114727976325</v>
      </c>
      <c r="L200" s="1">
        <f t="shared" si="176"/>
        <v>21799295.268585149</v>
      </c>
      <c r="M200">
        <f t="shared" si="177"/>
        <v>4668.9715429187563</v>
      </c>
      <c r="N200" s="1">
        <f t="shared" si="178"/>
        <v>9151.1842241207614</v>
      </c>
      <c r="O200" s="24">
        <f t="shared" si="179"/>
        <v>26712.114727976325</v>
      </c>
      <c r="P200" s="1">
        <f t="shared" si="180"/>
        <v>21799295.268585149</v>
      </c>
      <c r="Q200">
        <f t="shared" si="181"/>
        <v>4668.9715429187563</v>
      </c>
      <c r="R200" s="1">
        <f t="shared" si="182"/>
        <v>9151.1842241207614</v>
      </c>
    </row>
    <row r="201" spans="1:18" s="51" customFormat="1" hidden="1" x14ac:dyDescent="0.3">
      <c r="A201" s="51" t="s">
        <v>81</v>
      </c>
      <c r="B201" s="51">
        <v>2022</v>
      </c>
      <c r="C201" s="51" t="s">
        <v>51</v>
      </c>
      <c r="D201" s="71">
        <v>21685</v>
      </c>
      <c r="E201" s="72">
        <v>14868</v>
      </c>
      <c r="F201" s="72">
        <f>1488^2</f>
        <v>2214144</v>
      </c>
      <c r="G201" s="72">
        <v>17221</v>
      </c>
      <c r="H201" s="72">
        <f>2049^2</f>
        <v>4198401</v>
      </c>
      <c r="I201" s="51">
        <f t="shared" si="173"/>
        <v>0.46333634578827637</v>
      </c>
      <c r="J201">
        <f t="shared" ref="J201" si="183">((((E201)^2*H201)+((G201)^2*F201))/(E201+G201)^4)</f>
        <v>1.4946102467314221E-3</v>
      </c>
      <c r="K201" s="13">
        <f t="shared" ref="K201" si="184">D201/I201</f>
        <v>46801.853981705674</v>
      </c>
      <c r="L201" s="1">
        <f t="shared" ref="L201" si="185">(D201^2)*J201*(1/(I201^4))</f>
        <v>15249701.106684575</v>
      </c>
      <c r="M201">
        <f t="shared" ref="M201" si="186">SQRT(L201)</f>
        <v>3905.0865683982697</v>
      </c>
      <c r="N201" s="1">
        <f t="shared" ref="N201" si="187">(1.96*M201)</f>
        <v>7653.9696740606087</v>
      </c>
      <c r="O201" s="24">
        <f t="shared" ref="O201" si="188">K201-D201</f>
        <v>25116.853981705674</v>
      </c>
      <c r="P201" s="1">
        <f t="shared" ref="P201" si="189">L201</f>
        <v>15249701.106684575</v>
      </c>
      <c r="Q201">
        <f t="shared" ref="Q201" si="190">SQRT(P201)</f>
        <v>3905.0865683982697</v>
      </c>
      <c r="R201" s="1">
        <f t="shared" ref="R201" si="191">(1.96*Q201)</f>
        <v>7653.9696740606087</v>
      </c>
    </row>
    <row r="202" spans="1:18" hidden="1" x14ac:dyDescent="0.3">
      <c r="A202" t="s">
        <v>81</v>
      </c>
      <c r="B202">
        <v>1998</v>
      </c>
      <c r="C202" t="s">
        <v>52</v>
      </c>
      <c r="D202" s="13">
        <v>7091</v>
      </c>
      <c r="E202" s="1"/>
      <c r="F202" s="1"/>
      <c r="G202" s="1"/>
      <c r="H202" s="1"/>
      <c r="I202" s="21">
        <f>AVERAGE(I215:I222)</f>
        <v>0.82817461499598577</v>
      </c>
      <c r="J202" s="21">
        <v>4.6231267472161067E-3</v>
      </c>
      <c r="K202" s="13">
        <f t="shared" si="164"/>
        <v>8562.2039985303945</v>
      </c>
      <c r="L202" s="1">
        <f t="shared" si="169"/>
        <v>494154.9077878145</v>
      </c>
      <c r="M202">
        <f t="shared" si="170"/>
        <v>702.96152653457114</v>
      </c>
      <c r="N202" s="1">
        <f t="shared" si="171"/>
        <v>1377.8045920077593</v>
      </c>
      <c r="O202" s="24">
        <f t="shared" si="121"/>
        <v>1471.2039985303945</v>
      </c>
      <c r="P202" s="1">
        <f t="shared" si="165"/>
        <v>494154.9077878145</v>
      </c>
      <c r="Q202">
        <f t="shared" si="166"/>
        <v>702.96152653457114</v>
      </c>
      <c r="R202" s="1">
        <f t="shared" si="167"/>
        <v>1377.8045920077593</v>
      </c>
    </row>
    <row r="203" spans="1:18" hidden="1" x14ac:dyDescent="0.3">
      <c r="A203" t="s">
        <v>81</v>
      </c>
      <c r="B203">
        <v>1999</v>
      </c>
      <c r="C203" t="s">
        <v>52</v>
      </c>
      <c r="D203" s="13">
        <v>4594</v>
      </c>
      <c r="E203" s="1"/>
      <c r="F203" s="1"/>
      <c r="G203" s="1"/>
      <c r="H203" s="1"/>
      <c r="I203" s="21">
        <v>0.82817461499598577</v>
      </c>
      <c r="J203" s="21">
        <v>4.6231267472161067E-3</v>
      </c>
      <c r="K203" s="13">
        <f t="shared" si="164"/>
        <v>5547.1393554151227</v>
      </c>
      <c r="L203" s="1">
        <f t="shared" si="169"/>
        <v>207410.20653889881</v>
      </c>
      <c r="M203">
        <f t="shared" si="170"/>
        <v>455.42310716398526</v>
      </c>
      <c r="N203" s="1">
        <f t="shared" si="171"/>
        <v>892.62929004141108</v>
      </c>
      <c r="O203" s="24">
        <f t="shared" si="121"/>
        <v>953.13935541512274</v>
      </c>
      <c r="P203" s="1">
        <f t="shared" si="165"/>
        <v>207410.20653889881</v>
      </c>
      <c r="Q203">
        <f t="shared" si="166"/>
        <v>455.42310716398526</v>
      </c>
      <c r="R203" s="1">
        <f t="shared" si="167"/>
        <v>892.62929004141108</v>
      </c>
    </row>
    <row r="204" spans="1:18" hidden="1" x14ac:dyDescent="0.3">
      <c r="A204" t="s">
        <v>81</v>
      </c>
      <c r="B204">
        <v>2000</v>
      </c>
      <c r="C204" t="s">
        <v>52</v>
      </c>
      <c r="D204" s="13">
        <v>9244</v>
      </c>
      <c r="E204" s="1"/>
      <c r="F204" s="1"/>
      <c r="G204" s="1"/>
      <c r="H204" s="1"/>
      <c r="I204" s="21">
        <v>0.82817461499598577</v>
      </c>
      <c r="J204" s="21">
        <v>4.6231267472161067E-3</v>
      </c>
      <c r="K204" s="13">
        <f t="shared" si="164"/>
        <v>11161.897301144405</v>
      </c>
      <c r="L204" s="1">
        <f t="shared" si="169"/>
        <v>839784.81191828009</v>
      </c>
      <c r="M204">
        <f t="shared" si="170"/>
        <v>916.39773674877665</v>
      </c>
      <c r="N204" s="1">
        <f t="shared" si="171"/>
        <v>1796.1395640276021</v>
      </c>
      <c r="O204" s="24">
        <f t="shared" si="121"/>
        <v>1917.897301144405</v>
      </c>
      <c r="P204" s="1">
        <f t="shared" si="165"/>
        <v>839784.81191828009</v>
      </c>
      <c r="Q204">
        <f t="shared" si="166"/>
        <v>916.39773674877665</v>
      </c>
      <c r="R204" s="1">
        <f t="shared" si="167"/>
        <v>1796.1395640276021</v>
      </c>
    </row>
    <row r="205" spans="1:18" hidden="1" x14ac:dyDescent="0.3">
      <c r="A205" t="s">
        <v>81</v>
      </c>
      <c r="B205">
        <v>2001</v>
      </c>
      <c r="C205" t="s">
        <v>52</v>
      </c>
      <c r="D205" s="13">
        <v>11235</v>
      </c>
      <c r="E205" s="1"/>
      <c r="F205" s="1"/>
      <c r="G205" s="1"/>
      <c r="H205" s="1"/>
      <c r="I205" s="21">
        <v>0.82817461499598577</v>
      </c>
      <c r="J205" s="21">
        <v>4.6231267472161067E-3</v>
      </c>
      <c r="K205" s="13">
        <f t="shared" si="164"/>
        <v>13565.979681778168</v>
      </c>
      <c r="L205" s="1">
        <f t="shared" si="169"/>
        <v>1240492.9366742759</v>
      </c>
      <c r="M205">
        <f t="shared" si="170"/>
        <v>1113.7741856742218</v>
      </c>
      <c r="N205" s="1">
        <f t="shared" si="171"/>
        <v>2182.9974039214749</v>
      </c>
      <c r="O205" s="24">
        <f t="shared" ref="O205:O280" si="192">K205-D205</f>
        <v>2330.979681778168</v>
      </c>
      <c r="P205" s="1">
        <f t="shared" si="165"/>
        <v>1240492.9366742759</v>
      </c>
      <c r="Q205">
        <f t="shared" si="166"/>
        <v>1113.7741856742218</v>
      </c>
      <c r="R205" s="1">
        <f t="shared" si="167"/>
        <v>2182.9974039214749</v>
      </c>
    </row>
    <row r="206" spans="1:18" hidden="1" x14ac:dyDescent="0.3">
      <c r="A206" t="s">
        <v>81</v>
      </c>
      <c r="B206">
        <v>2002</v>
      </c>
      <c r="C206" t="s">
        <v>52</v>
      </c>
      <c r="D206" s="13">
        <v>9018</v>
      </c>
      <c r="E206" s="1"/>
      <c r="F206" s="1"/>
      <c r="G206" s="1"/>
      <c r="H206" s="1"/>
      <c r="I206" s="21">
        <v>0.82817461499598577</v>
      </c>
      <c r="J206" s="21">
        <v>4.6231267472161067E-3</v>
      </c>
      <c r="K206" s="13">
        <f t="shared" si="164"/>
        <v>10889.007990233691</v>
      </c>
      <c r="L206" s="1">
        <f t="shared" si="169"/>
        <v>799224.16063675296</v>
      </c>
      <c r="M206">
        <f t="shared" si="170"/>
        <v>893.99337840766634</v>
      </c>
      <c r="N206" s="1">
        <f t="shared" si="171"/>
        <v>1752.2270216790259</v>
      </c>
      <c r="O206" s="24">
        <f t="shared" si="192"/>
        <v>1871.0079902336911</v>
      </c>
      <c r="P206" s="1">
        <f t="shared" si="165"/>
        <v>799224.16063675296</v>
      </c>
      <c r="Q206">
        <f t="shared" si="166"/>
        <v>893.99337840766634</v>
      </c>
      <c r="R206" s="1">
        <f t="shared" si="167"/>
        <v>1752.2270216790259</v>
      </c>
    </row>
    <row r="207" spans="1:18" hidden="1" x14ac:dyDescent="0.3">
      <c r="A207" t="s">
        <v>81</v>
      </c>
      <c r="B207">
        <v>2003</v>
      </c>
      <c r="C207" t="s">
        <v>52</v>
      </c>
      <c r="D207" s="13">
        <v>9696</v>
      </c>
      <c r="E207" s="1"/>
      <c r="F207" s="1"/>
      <c r="G207" s="1"/>
      <c r="H207" s="1"/>
      <c r="I207" s="21">
        <v>0.82817461499598577</v>
      </c>
      <c r="J207" s="21">
        <v>4.6231267472161067E-3</v>
      </c>
      <c r="K207" s="13">
        <f t="shared" si="164"/>
        <v>11707.675922965831</v>
      </c>
      <c r="L207" s="1">
        <f t="shared" si="169"/>
        <v>923917.84611739591</v>
      </c>
      <c r="M207">
        <f t="shared" si="170"/>
        <v>961.20645343099727</v>
      </c>
      <c r="N207" s="1">
        <f t="shared" si="171"/>
        <v>1883.9646487247546</v>
      </c>
      <c r="O207" s="24">
        <f t="shared" si="192"/>
        <v>2011.675922965831</v>
      </c>
      <c r="P207" s="1">
        <f t="shared" si="165"/>
        <v>923917.84611739591</v>
      </c>
      <c r="Q207">
        <f t="shared" si="166"/>
        <v>961.20645343099727</v>
      </c>
      <c r="R207" s="1">
        <f t="shared" si="167"/>
        <v>1883.9646487247546</v>
      </c>
    </row>
    <row r="208" spans="1:18" hidden="1" x14ac:dyDescent="0.3">
      <c r="A208" t="s">
        <v>81</v>
      </c>
      <c r="B208">
        <v>2004</v>
      </c>
      <c r="C208" t="s">
        <v>52</v>
      </c>
      <c r="D208" s="13">
        <v>12216</v>
      </c>
      <c r="E208" s="1"/>
      <c r="F208" s="1"/>
      <c r="G208" s="1"/>
      <c r="H208" s="1"/>
      <c r="I208" s="21">
        <v>0.82817461499598577</v>
      </c>
      <c r="J208" s="21">
        <v>4.6231267472161067E-3</v>
      </c>
      <c r="K208" s="13">
        <f t="shared" si="164"/>
        <v>14750.512487102991</v>
      </c>
      <c r="L208" s="1">
        <f t="shared" si="169"/>
        <v>1466581.4594766509</v>
      </c>
      <c r="M208">
        <f t="shared" si="170"/>
        <v>1211.0249623672714</v>
      </c>
      <c r="N208" s="1">
        <f t="shared" si="171"/>
        <v>2373.6089262398518</v>
      </c>
      <c r="O208" s="24">
        <f t="shared" si="192"/>
        <v>2534.5124871029911</v>
      </c>
      <c r="P208" s="1">
        <f t="shared" si="165"/>
        <v>1466581.4594766509</v>
      </c>
      <c r="Q208">
        <f t="shared" si="166"/>
        <v>1211.0249623672714</v>
      </c>
      <c r="R208" s="1">
        <f t="shared" si="167"/>
        <v>2373.6089262398518</v>
      </c>
    </row>
    <row r="209" spans="1:18" hidden="1" x14ac:dyDescent="0.3">
      <c r="A209" t="s">
        <v>81</v>
      </c>
      <c r="B209">
        <v>2005</v>
      </c>
      <c r="C209" t="s">
        <v>52</v>
      </c>
      <c r="D209" s="13">
        <v>9664</v>
      </c>
      <c r="E209" s="1"/>
      <c r="F209" s="1"/>
      <c r="G209" s="1"/>
      <c r="H209" s="1"/>
      <c r="I209" s="21">
        <v>0.82817461499598577</v>
      </c>
      <c r="J209" s="21">
        <v>4.6231267472161067E-3</v>
      </c>
      <c r="K209" s="13">
        <f t="shared" si="164"/>
        <v>11669.036728500598</v>
      </c>
      <c r="L209" s="1">
        <f t="shared" si="169"/>
        <v>917829.44196419709</v>
      </c>
      <c r="M209">
        <f t="shared" si="170"/>
        <v>958.03415490482234</v>
      </c>
      <c r="N209" s="1">
        <f t="shared" si="171"/>
        <v>1877.7469436134518</v>
      </c>
      <c r="O209" s="24">
        <f t="shared" si="192"/>
        <v>2005.0367285005977</v>
      </c>
      <c r="P209" s="1">
        <f t="shared" si="165"/>
        <v>917829.44196419709</v>
      </c>
      <c r="Q209">
        <f t="shared" si="166"/>
        <v>958.03415490482234</v>
      </c>
      <c r="R209" s="1">
        <f t="shared" si="167"/>
        <v>1877.7469436134518</v>
      </c>
    </row>
    <row r="210" spans="1:18" hidden="1" x14ac:dyDescent="0.3">
      <c r="A210" t="s">
        <v>81</v>
      </c>
      <c r="B210">
        <v>2006</v>
      </c>
      <c r="C210" t="s">
        <v>52</v>
      </c>
      <c r="D210" s="13">
        <v>9129</v>
      </c>
      <c r="E210" s="1"/>
      <c r="F210" s="1"/>
      <c r="G210" s="1"/>
      <c r="H210" s="1"/>
      <c r="I210" s="21">
        <v>0.82817461499598577</v>
      </c>
      <c r="J210" s="21">
        <v>4.6231267472161067E-3</v>
      </c>
      <c r="K210" s="13">
        <f t="shared" si="164"/>
        <v>11023.037696034971</v>
      </c>
      <c r="L210" s="1">
        <f t="shared" si="169"/>
        <v>819020.09295315738</v>
      </c>
      <c r="M210">
        <f t="shared" si="170"/>
        <v>904.99728892033556</v>
      </c>
      <c r="N210" s="1">
        <f t="shared" si="171"/>
        <v>1773.7946862838576</v>
      </c>
      <c r="O210" s="24">
        <f t="shared" si="192"/>
        <v>1894.0376960349713</v>
      </c>
      <c r="P210" s="1">
        <f t="shared" si="165"/>
        <v>819020.09295315738</v>
      </c>
      <c r="Q210">
        <f t="shared" si="166"/>
        <v>904.99728892033556</v>
      </c>
      <c r="R210" s="1">
        <f t="shared" si="167"/>
        <v>1773.7946862838576</v>
      </c>
    </row>
    <row r="211" spans="1:18" hidden="1" x14ac:dyDescent="0.3">
      <c r="A211" t="s">
        <v>81</v>
      </c>
      <c r="B211">
        <v>2007</v>
      </c>
      <c r="C211" t="s">
        <v>52</v>
      </c>
      <c r="D211" s="13">
        <v>12198</v>
      </c>
      <c r="E211" s="1"/>
      <c r="F211" s="1"/>
      <c r="G211" s="1"/>
      <c r="H211" s="1"/>
      <c r="I211" s="21">
        <v>0.82817461499598577</v>
      </c>
      <c r="J211" s="21">
        <v>4.6231267472161067E-3</v>
      </c>
      <c r="K211" s="13">
        <f t="shared" si="164"/>
        <v>14728.777940216298</v>
      </c>
      <c r="L211" s="1">
        <f t="shared" si="169"/>
        <v>1462262.6943327789</v>
      </c>
      <c r="M211">
        <f t="shared" si="170"/>
        <v>1209.2405444462979</v>
      </c>
      <c r="N211" s="1">
        <f t="shared" si="171"/>
        <v>2370.1114671147438</v>
      </c>
      <c r="O211" s="24">
        <f t="shared" si="192"/>
        <v>2530.7779402162978</v>
      </c>
      <c r="P211" s="1">
        <f t="shared" si="165"/>
        <v>1462262.6943327789</v>
      </c>
      <c r="Q211">
        <f t="shared" si="166"/>
        <v>1209.2405444462979</v>
      </c>
      <c r="R211" s="1">
        <f t="shared" si="167"/>
        <v>2370.1114671147438</v>
      </c>
    </row>
    <row r="212" spans="1:18" hidden="1" x14ac:dyDescent="0.3">
      <c r="A212" t="s">
        <v>81</v>
      </c>
      <c r="B212">
        <v>2008</v>
      </c>
      <c r="C212" t="s">
        <v>52</v>
      </c>
      <c r="D212" s="13">
        <v>13387</v>
      </c>
      <c r="E212" s="1"/>
      <c r="F212" s="1"/>
      <c r="G212" s="1"/>
      <c r="H212" s="1"/>
      <c r="I212" s="21">
        <v>0.82817461499598577</v>
      </c>
      <c r="J212" s="21">
        <v>4.6231267472161067E-3</v>
      </c>
      <c r="K212" s="13">
        <f t="shared" si="164"/>
        <v>16164.46550956514</v>
      </c>
      <c r="L212" s="1">
        <f t="shared" si="169"/>
        <v>1761224.3005580062</v>
      </c>
      <c r="M212">
        <f t="shared" si="170"/>
        <v>1327.1112615594843</v>
      </c>
      <c r="N212" s="1">
        <f t="shared" si="171"/>
        <v>2601.1380726565894</v>
      </c>
      <c r="O212" s="24">
        <f t="shared" si="192"/>
        <v>2777.4655095651397</v>
      </c>
      <c r="P212" s="1">
        <f t="shared" si="165"/>
        <v>1761224.3005580062</v>
      </c>
      <c r="Q212">
        <f t="shared" si="166"/>
        <v>1327.1112615594843</v>
      </c>
      <c r="R212" s="1">
        <f t="shared" si="167"/>
        <v>2601.1380726565894</v>
      </c>
    </row>
    <row r="213" spans="1:18" hidden="1" x14ac:dyDescent="0.3">
      <c r="A213" t="s">
        <v>81</v>
      </c>
      <c r="B213">
        <v>2009</v>
      </c>
      <c r="C213" t="s">
        <v>52</v>
      </c>
      <c r="D213" s="13">
        <v>13724</v>
      </c>
      <c r="E213" s="1"/>
      <c r="F213" s="1"/>
      <c r="G213" s="1"/>
      <c r="H213" s="1"/>
      <c r="I213" s="21">
        <v>0.82817461499598577</v>
      </c>
      <c r="J213" s="21">
        <v>4.6231267472161067E-3</v>
      </c>
      <c r="K213" s="13">
        <f t="shared" si="164"/>
        <v>16571.384526277132</v>
      </c>
      <c r="L213" s="1">
        <f t="shared" si="169"/>
        <v>1851013.392635928</v>
      </c>
      <c r="M213">
        <f t="shared" si="170"/>
        <v>1360.519530413264</v>
      </c>
      <c r="N213" s="1">
        <f t="shared" si="171"/>
        <v>2666.6182796099974</v>
      </c>
      <c r="O213" s="24">
        <f t="shared" si="192"/>
        <v>2847.384526277132</v>
      </c>
      <c r="P213" s="1">
        <f t="shared" si="165"/>
        <v>1851013.392635928</v>
      </c>
      <c r="Q213">
        <f t="shared" si="166"/>
        <v>1360.519530413264</v>
      </c>
      <c r="R213" s="1">
        <f t="shared" si="167"/>
        <v>2666.6182796099974</v>
      </c>
    </row>
    <row r="214" spans="1:18" hidden="1" x14ac:dyDescent="0.3">
      <c r="A214" t="s">
        <v>81</v>
      </c>
      <c r="B214">
        <v>2010</v>
      </c>
      <c r="C214" t="s">
        <v>52</v>
      </c>
      <c r="D214" s="13">
        <v>13038</v>
      </c>
      <c r="E214" s="1"/>
      <c r="F214" s="1"/>
      <c r="G214" s="1"/>
      <c r="H214" s="1"/>
      <c r="I214" s="21">
        <v>0.82817461499598577</v>
      </c>
      <c r="J214" s="21">
        <v>4.6231267472161067E-3</v>
      </c>
      <c r="K214" s="13">
        <f t="shared" si="164"/>
        <v>15743.056794928683</v>
      </c>
      <c r="L214" s="1">
        <f t="shared" si="169"/>
        <v>1670590.8394394808</v>
      </c>
      <c r="M214">
        <f t="shared" si="170"/>
        <v>1292.5133807583893</v>
      </c>
      <c r="N214" s="1">
        <f t="shared" si="171"/>
        <v>2533.3262262864428</v>
      </c>
      <c r="O214" s="24">
        <f t="shared" si="192"/>
        <v>2705.0567949286833</v>
      </c>
      <c r="P214" s="1">
        <f t="shared" si="165"/>
        <v>1670590.8394394808</v>
      </c>
      <c r="Q214">
        <f t="shared" si="166"/>
        <v>1292.5133807583893</v>
      </c>
      <c r="R214" s="1">
        <f t="shared" si="167"/>
        <v>2533.3262262864428</v>
      </c>
    </row>
    <row r="215" spans="1:18" hidden="1" x14ac:dyDescent="0.3">
      <c r="A215" t="s">
        <v>81</v>
      </c>
      <c r="B215">
        <v>2011</v>
      </c>
      <c r="C215" t="s">
        <v>52</v>
      </c>
      <c r="D215" s="13">
        <v>15590</v>
      </c>
      <c r="E215" s="1">
        <v>9523</v>
      </c>
      <c r="F215" s="1">
        <v>1000086.8635795786</v>
      </c>
      <c r="G215" s="1">
        <v>2256</v>
      </c>
      <c r="H215" s="1">
        <v>444672.7509749746</v>
      </c>
      <c r="I215">
        <f t="shared" si="172"/>
        <v>0.80847270566261986</v>
      </c>
      <c r="J215">
        <f t="shared" si="168"/>
        <v>2.3592697276234669E-3</v>
      </c>
      <c r="K215" s="13">
        <f t="shared" si="164"/>
        <v>19283.2731282159</v>
      </c>
      <c r="L215" s="1">
        <f t="shared" ref="L215:L239" si="193">(D215^2)*J215*(1/(I215^4))</f>
        <v>1342172.6209808656</v>
      </c>
      <c r="M215">
        <f t="shared" si="170"/>
        <v>1158.5217395374441</v>
      </c>
      <c r="N215" s="1">
        <f t="shared" si="171"/>
        <v>2270.7026094933904</v>
      </c>
      <c r="O215" s="24">
        <f t="shared" si="192"/>
        <v>3693.2731282159002</v>
      </c>
      <c r="P215" s="1">
        <f t="shared" si="165"/>
        <v>1342172.6209808656</v>
      </c>
      <c r="Q215">
        <f t="shared" si="166"/>
        <v>1158.5217395374441</v>
      </c>
      <c r="R215" s="1">
        <f t="shared" si="167"/>
        <v>2270.7026094933904</v>
      </c>
    </row>
    <row r="216" spans="1:18" hidden="1" x14ac:dyDescent="0.3">
      <c r="A216" t="s">
        <v>81</v>
      </c>
      <c r="B216">
        <v>2012</v>
      </c>
      <c r="C216" t="s">
        <v>52</v>
      </c>
      <c r="D216" s="13">
        <v>16566</v>
      </c>
      <c r="E216" s="1">
        <v>11672</v>
      </c>
      <c r="F216" s="1">
        <v>1684349.2401111166</v>
      </c>
      <c r="G216" s="1">
        <v>1412</v>
      </c>
      <c r="H216" s="1">
        <v>161801.5242432433</v>
      </c>
      <c r="I216">
        <f t="shared" si="172"/>
        <v>0.89208193213084686</v>
      </c>
      <c r="J216">
        <f t="shared" si="168"/>
        <v>8.6674943721456565E-4</v>
      </c>
      <c r="K216" s="13">
        <f t="shared" si="164"/>
        <v>18570.043180260451</v>
      </c>
      <c r="L216" s="1">
        <f t="shared" si="193"/>
        <v>375586.44375818601</v>
      </c>
      <c r="M216">
        <f t="shared" si="170"/>
        <v>612.85107796118461</v>
      </c>
      <c r="N216" s="1">
        <f t="shared" si="171"/>
        <v>1201.1881128039217</v>
      </c>
      <c r="O216" s="24">
        <f t="shared" si="192"/>
        <v>2004.0431802604508</v>
      </c>
      <c r="P216" s="1">
        <f t="shared" si="165"/>
        <v>375586.44375818601</v>
      </c>
      <c r="Q216">
        <f t="shared" si="166"/>
        <v>612.85107796118461</v>
      </c>
      <c r="R216" s="1">
        <f t="shared" si="167"/>
        <v>1201.1881128039217</v>
      </c>
    </row>
    <row r="217" spans="1:18" hidden="1" x14ac:dyDescent="0.3">
      <c r="A217" t="s">
        <v>81</v>
      </c>
      <c r="B217">
        <v>2013</v>
      </c>
      <c r="C217" t="s">
        <v>52</v>
      </c>
      <c r="D217" s="13">
        <v>19818</v>
      </c>
      <c r="E217" s="1">
        <v>12255</v>
      </c>
      <c r="F217" s="1">
        <v>1635681.2696055952</v>
      </c>
      <c r="G217" s="1">
        <v>4258</v>
      </c>
      <c r="H217" s="1">
        <v>1463400.9114704733</v>
      </c>
      <c r="I217">
        <f t="shared" si="172"/>
        <v>0.74214255435111731</v>
      </c>
      <c r="J217">
        <f t="shared" si="168"/>
        <v>3.3547215201438622E-3</v>
      </c>
      <c r="K217" s="13">
        <f t="shared" si="164"/>
        <v>26703.764504283965</v>
      </c>
      <c r="L217" s="1">
        <f t="shared" si="193"/>
        <v>4343369.567205376</v>
      </c>
      <c r="M217">
        <f t="shared" si="170"/>
        <v>2084.0752306971494</v>
      </c>
      <c r="N217" s="1">
        <f t="shared" si="171"/>
        <v>4084.787452166413</v>
      </c>
      <c r="O217" s="24">
        <f t="shared" si="192"/>
        <v>6885.7645042839649</v>
      </c>
      <c r="P217" s="1">
        <f t="shared" si="165"/>
        <v>4343369.567205376</v>
      </c>
      <c r="Q217">
        <f t="shared" si="166"/>
        <v>2084.0752306971494</v>
      </c>
      <c r="R217" s="1">
        <f t="shared" si="167"/>
        <v>4084.787452166413</v>
      </c>
    </row>
    <row r="218" spans="1:18" hidden="1" x14ac:dyDescent="0.3">
      <c r="A218" t="s">
        <v>81</v>
      </c>
      <c r="B218">
        <v>2014</v>
      </c>
      <c r="C218" t="s">
        <v>52</v>
      </c>
      <c r="D218" s="13">
        <v>21309</v>
      </c>
      <c r="E218" s="1">
        <v>10778</v>
      </c>
      <c r="F218" s="1">
        <v>1179415.2438478486</v>
      </c>
      <c r="G218" s="1">
        <v>3721</v>
      </c>
      <c r="H218" s="1">
        <v>847689.06570470578</v>
      </c>
      <c r="I218">
        <f t="shared" si="172"/>
        <v>0.74336161114559629</v>
      </c>
      <c r="J218">
        <f t="shared" si="168"/>
        <v>2.5977502461180862E-3</v>
      </c>
      <c r="K218" s="13">
        <f t="shared" si="164"/>
        <v>28665.725644832062</v>
      </c>
      <c r="L218" s="1">
        <f t="shared" si="193"/>
        <v>3862984.9469756186</v>
      </c>
      <c r="M218">
        <f t="shared" si="170"/>
        <v>1965.4477726400207</v>
      </c>
      <c r="N218" s="1">
        <f t="shared" si="171"/>
        <v>3852.2776343744404</v>
      </c>
      <c r="O218" s="24">
        <f t="shared" si="192"/>
        <v>7356.7256448320622</v>
      </c>
      <c r="P218" s="1">
        <f t="shared" si="165"/>
        <v>3862984.9469756186</v>
      </c>
      <c r="Q218">
        <f t="shared" si="166"/>
        <v>1965.4477726400207</v>
      </c>
      <c r="R218" s="1">
        <f t="shared" si="167"/>
        <v>3852.2776343744404</v>
      </c>
    </row>
    <row r="219" spans="1:18" hidden="1" x14ac:dyDescent="0.3">
      <c r="A219" t="s">
        <v>81</v>
      </c>
      <c r="B219">
        <v>2015</v>
      </c>
      <c r="C219" t="s">
        <v>52</v>
      </c>
      <c r="D219" s="13">
        <v>24516</v>
      </c>
      <c r="E219" s="1">
        <v>14327</v>
      </c>
      <c r="F219" s="1">
        <v>2243009.0109109143</v>
      </c>
      <c r="G219" s="1">
        <v>1527</v>
      </c>
      <c r="H219" s="1">
        <v>145763.58553653696</v>
      </c>
      <c r="I219">
        <f t="shared" si="172"/>
        <v>0.9036836129683361</v>
      </c>
      <c r="J219">
        <f t="shared" si="168"/>
        <v>5.5637715833237872E-4</v>
      </c>
      <c r="K219" s="13">
        <f t="shared" si="164"/>
        <v>27128.963774691143</v>
      </c>
      <c r="L219" s="1">
        <f t="shared" si="193"/>
        <v>501421.42786728247</v>
      </c>
      <c r="M219">
        <f t="shared" si="170"/>
        <v>708.11116914456477</v>
      </c>
      <c r="N219" s="1">
        <f t="shared" si="171"/>
        <v>1387.897891523347</v>
      </c>
      <c r="O219" s="24">
        <f t="shared" si="192"/>
        <v>2612.963774691143</v>
      </c>
      <c r="P219" s="1">
        <f t="shared" si="165"/>
        <v>501421.42786728247</v>
      </c>
      <c r="Q219">
        <f t="shared" si="166"/>
        <v>708.11116914456477</v>
      </c>
      <c r="R219" s="1">
        <f t="shared" si="167"/>
        <v>1387.897891523347</v>
      </c>
    </row>
    <row r="220" spans="1:18" hidden="1" x14ac:dyDescent="0.3">
      <c r="A220" t="s">
        <v>81</v>
      </c>
      <c r="B220">
        <v>2016</v>
      </c>
      <c r="C220" t="s">
        <v>52</v>
      </c>
      <c r="D220" s="13">
        <v>29349</v>
      </c>
      <c r="E220" s="1">
        <v>19835</v>
      </c>
      <c r="F220" s="1">
        <v>2640694.0164164146</v>
      </c>
      <c r="G220" s="1">
        <v>2520</v>
      </c>
      <c r="H220" s="1">
        <v>272770.67811411433</v>
      </c>
      <c r="I220">
        <f t="shared" si="172"/>
        <v>0.88727354059494523</v>
      </c>
      <c r="J220">
        <f t="shared" si="168"/>
        <v>4.9684411267634739E-4</v>
      </c>
      <c r="K220" s="13">
        <f t="shared" si="164"/>
        <v>33077.736072598942</v>
      </c>
      <c r="L220" s="1">
        <f t="shared" si="193"/>
        <v>690520.60458105023</v>
      </c>
      <c r="M220">
        <f t="shared" si="170"/>
        <v>830.97569433831836</v>
      </c>
      <c r="N220" s="1">
        <f t="shared" si="171"/>
        <v>1628.7123609031039</v>
      </c>
      <c r="O220" s="24">
        <f t="shared" si="192"/>
        <v>3728.736072598942</v>
      </c>
      <c r="P220" s="1">
        <f t="shared" si="165"/>
        <v>690520.60458105023</v>
      </c>
      <c r="Q220">
        <f t="shared" si="166"/>
        <v>830.97569433831836</v>
      </c>
      <c r="R220" s="1">
        <f t="shared" si="167"/>
        <v>1628.7123609031039</v>
      </c>
    </row>
    <row r="221" spans="1:18" hidden="1" x14ac:dyDescent="0.3">
      <c r="A221" t="s">
        <v>81</v>
      </c>
      <c r="B221">
        <v>2017</v>
      </c>
      <c r="C221" t="s">
        <v>52</v>
      </c>
      <c r="D221" s="13">
        <v>28647</v>
      </c>
      <c r="E221" s="1">
        <v>10418</v>
      </c>
      <c r="F221" s="1">
        <v>1578689.6600600502</v>
      </c>
      <c r="G221" s="1">
        <v>2658</v>
      </c>
      <c r="H221" s="1">
        <v>682327.10357457597</v>
      </c>
      <c r="I221">
        <f t="shared" si="172"/>
        <v>0.79672682777607828</v>
      </c>
      <c r="J221">
        <f t="shared" si="168"/>
        <v>2.9146655203077854E-3</v>
      </c>
      <c r="K221" s="13">
        <f t="shared" si="164"/>
        <v>35955.862161643308</v>
      </c>
      <c r="L221" s="1">
        <f t="shared" si="193"/>
        <v>5936209.9806912215</v>
      </c>
      <c r="M221">
        <f t="shared" si="170"/>
        <v>2436.433865445812</v>
      </c>
      <c r="N221" s="1">
        <f t="shared" si="171"/>
        <v>4775.4103762737914</v>
      </c>
      <c r="O221" s="24">
        <f t="shared" si="192"/>
        <v>7308.8621616433084</v>
      </c>
      <c r="P221" s="1">
        <f t="shared" si="165"/>
        <v>5936209.9806912215</v>
      </c>
      <c r="Q221">
        <f t="shared" si="166"/>
        <v>2436.433865445812</v>
      </c>
      <c r="R221" s="1">
        <f t="shared" si="167"/>
        <v>4775.4103762737914</v>
      </c>
    </row>
    <row r="222" spans="1:18" hidden="1" x14ac:dyDescent="0.3">
      <c r="A222" t="s">
        <v>81</v>
      </c>
      <c r="B222">
        <v>2018</v>
      </c>
      <c r="C222" t="s">
        <v>52</v>
      </c>
      <c r="D222" s="13">
        <v>27142</v>
      </c>
      <c r="E222" s="1">
        <v>11327</v>
      </c>
      <c r="F222" s="1">
        <v>3278882.3630991206</v>
      </c>
      <c r="G222" s="1">
        <v>1973</v>
      </c>
      <c r="H222" s="1">
        <v>290158.27530630538</v>
      </c>
      <c r="I222">
        <f t="shared" si="172"/>
        <v>0.85165413533834589</v>
      </c>
      <c r="J222">
        <f t="shared" si="168"/>
        <v>1.5976753451220466E-3</v>
      </c>
      <c r="K222" s="13">
        <f t="shared" si="164"/>
        <v>31869.744857420323</v>
      </c>
      <c r="L222" s="1">
        <f t="shared" si="193"/>
        <v>2237274.0611776323</v>
      </c>
      <c r="M222">
        <f t="shared" si="170"/>
        <v>1495.752005239382</v>
      </c>
      <c r="N222" s="1">
        <f t="shared" si="171"/>
        <v>2931.6739302691885</v>
      </c>
      <c r="O222" s="24">
        <f t="shared" si="192"/>
        <v>4727.7448574203227</v>
      </c>
      <c r="P222" s="1">
        <f t="shared" si="165"/>
        <v>2237274.0611776323</v>
      </c>
      <c r="Q222">
        <f t="shared" si="166"/>
        <v>1495.752005239382</v>
      </c>
      <c r="R222" s="1">
        <f t="shared" si="167"/>
        <v>2931.6739302691885</v>
      </c>
    </row>
    <row r="223" spans="1:18" hidden="1" x14ac:dyDescent="0.3">
      <c r="A223" t="s">
        <v>81</v>
      </c>
      <c r="B223">
        <v>2019</v>
      </c>
      <c r="C223" t="s">
        <v>52</v>
      </c>
      <c r="D223" s="13">
        <v>33682</v>
      </c>
      <c r="E223" s="1">
        <v>9235</v>
      </c>
      <c r="F223" s="1">
        <v>1570889.8454044154</v>
      </c>
      <c r="G223" s="1">
        <v>1918</v>
      </c>
      <c r="H223" s="1">
        <v>332688.3136646644</v>
      </c>
      <c r="I223">
        <f t="shared" si="172"/>
        <v>0.82802833318389668</v>
      </c>
      <c r="J223">
        <f t="shared" si="168"/>
        <v>2.2072561687664395E-3</v>
      </c>
      <c r="K223" s="13">
        <f t="shared" si="164"/>
        <v>40677.352030319438</v>
      </c>
      <c r="L223" s="1">
        <f>(D223^2)*J223*(1/(I223^4))</f>
        <v>5326815.9562128652</v>
      </c>
      <c r="M223">
        <f>SQRT(L223)</f>
        <v>2307.9895918770658</v>
      </c>
      <c r="N223" s="1">
        <f>(1.96*M223)</f>
        <v>4523.6596000790487</v>
      </c>
      <c r="O223" s="24">
        <f t="shared" si="192"/>
        <v>6995.3520303194382</v>
      </c>
      <c r="P223" s="1">
        <f>L223</f>
        <v>5326815.9562128652</v>
      </c>
      <c r="Q223">
        <f>SQRT(P223)</f>
        <v>2307.9895918770658</v>
      </c>
      <c r="R223" s="1">
        <f>(1.96*Q223)</f>
        <v>4523.6596000790487</v>
      </c>
    </row>
    <row r="224" spans="1:18" hidden="1" x14ac:dyDescent="0.3">
      <c r="A224" t="s">
        <v>81</v>
      </c>
      <c r="B224">
        <v>2020</v>
      </c>
      <c r="C224" t="s">
        <v>52</v>
      </c>
      <c r="D224" s="13">
        <v>29279</v>
      </c>
      <c r="E224" s="1">
        <v>7465</v>
      </c>
      <c r="F224" s="1">
        <v>726238.58025125181</v>
      </c>
      <c r="G224" s="1">
        <v>1669</v>
      </c>
      <c r="H224" s="1">
        <v>159885.22441541558</v>
      </c>
      <c r="I224">
        <f t="shared" ref="I224:I226" si="194">E224/(E224+G224)</f>
        <v>0.81727611123275679</v>
      </c>
      <c r="J224">
        <f t="shared" ref="J224:J225" si="195">((((E224)^2*H224)+((G224)^2*F224))/(E224+G224)^4)</f>
        <v>1.570676165585678E-3</v>
      </c>
      <c r="K224" s="13">
        <f t="shared" ref="K224:K225" si="196">D224/I224</f>
        <v>35825.101942397858</v>
      </c>
      <c r="L224" s="1">
        <f t="shared" ref="L224:L225" si="197">(D224^2)*J224*(1/(I224^4))</f>
        <v>3018032.5104616564</v>
      </c>
      <c r="M224">
        <f t="shared" ref="M224:M225" si="198">SQRT(L224)</f>
        <v>1737.2485459661943</v>
      </c>
      <c r="N224" s="1">
        <f t="shared" ref="N224:N225" si="199">(1.96*M224)</f>
        <v>3405.0071500937411</v>
      </c>
      <c r="O224" s="24">
        <f t="shared" ref="O224:O225" si="200">K224-D224</f>
        <v>6546.1019423978578</v>
      </c>
      <c r="P224" s="1">
        <f t="shared" ref="P224:P225" si="201">L224</f>
        <v>3018032.5104616564</v>
      </c>
      <c r="Q224">
        <f t="shared" ref="Q224:Q225" si="202">SQRT(P224)</f>
        <v>1737.2485459661943</v>
      </c>
      <c r="R224" s="1">
        <f t="shared" ref="R224:R225" si="203">(1.96*Q224)</f>
        <v>3405.0071500937411</v>
      </c>
    </row>
    <row r="225" spans="1:20" hidden="1" x14ac:dyDescent="0.3">
      <c r="A225" t="s">
        <v>81</v>
      </c>
      <c r="B225">
        <v>2021</v>
      </c>
      <c r="C225" t="s">
        <v>52</v>
      </c>
      <c r="D225" s="13">
        <v>38638</v>
      </c>
      <c r="E225" s="1">
        <v>12079</v>
      </c>
      <c r="F225" s="1">
        <v>1555376.4304304256</v>
      </c>
      <c r="G225" s="1">
        <v>2545</v>
      </c>
      <c r="H225" s="1">
        <v>404616.90486886847</v>
      </c>
      <c r="I225">
        <f t="shared" si="194"/>
        <v>0.82597100656455147</v>
      </c>
      <c r="J225">
        <f t="shared" si="195"/>
        <v>1.5110128869114368E-3</v>
      </c>
      <c r="K225" s="13">
        <f t="shared" si="196"/>
        <v>46778.881695504591</v>
      </c>
      <c r="L225" s="1">
        <f t="shared" si="197"/>
        <v>4846611.7748930994</v>
      </c>
      <c r="M225">
        <f t="shared" si="198"/>
        <v>2201.5021632724097</v>
      </c>
      <c r="N225" s="1">
        <f t="shared" si="199"/>
        <v>4314.9442400139233</v>
      </c>
      <c r="O225" s="24">
        <f t="shared" si="200"/>
        <v>8140.8816955045913</v>
      </c>
      <c r="P225" s="1">
        <f t="shared" si="201"/>
        <v>4846611.7748930994</v>
      </c>
      <c r="Q225">
        <f t="shared" si="202"/>
        <v>2201.5021632724097</v>
      </c>
      <c r="R225" s="1">
        <f t="shared" si="203"/>
        <v>4314.9442400139233</v>
      </c>
    </row>
    <row r="226" spans="1:20" s="51" customFormat="1" hidden="1" x14ac:dyDescent="0.3">
      <c r="A226" s="51" t="s">
        <v>81</v>
      </c>
      <c r="B226" s="51">
        <v>2022</v>
      </c>
      <c r="C226" s="51" t="s">
        <v>52</v>
      </c>
      <c r="D226" s="71">
        <v>36656</v>
      </c>
      <c r="E226" s="72">
        <v>11206</v>
      </c>
      <c r="F226" s="72">
        <f>1396^2</f>
        <v>1948816</v>
      </c>
      <c r="G226" s="83">
        <v>4076</v>
      </c>
      <c r="H226" s="83">
        <f>1394^2</f>
        <v>1943236</v>
      </c>
      <c r="I226" s="51">
        <f t="shared" si="194"/>
        <v>0.73328098416437637</v>
      </c>
      <c r="J226">
        <f t="shared" ref="J226" si="204">((((E226)^2*H226)+((G226)^2*F226))/(E226+G226)^4)</f>
        <v>5.0677367585206905E-3</v>
      </c>
      <c r="K226" s="13">
        <f t="shared" ref="K226" si="205">D226/I226</f>
        <v>49989.02302338033</v>
      </c>
      <c r="L226" s="1">
        <f t="shared" ref="L226" si="206">(D226^2)*J226*(1/(I226^4))</f>
        <v>23551712.984039951</v>
      </c>
      <c r="M226">
        <f t="shared" ref="M226" si="207">SQRT(L226)</f>
        <v>4853.0107133654619</v>
      </c>
      <c r="N226" s="1">
        <f t="shared" ref="N226" si="208">(1.96*M226)</f>
        <v>9511.9009981963045</v>
      </c>
      <c r="O226" s="24">
        <f t="shared" ref="O226" si="209">K226-D226</f>
        <v>13333.02302338033</v>
      </c>
      <c r="P226" s="1">
        <f t="shared" ref="P226" si="210">L226</f>
        <v>23551712.984039951</v>
      </c>
      <c r="Q226">
        <f t="shared" ref="Q226" si="211">SQRT(P226)</f>
        <v>4853.0107133654619</v>
      </c>
      <c r="R226" s="1">
        <f t="shared" ref="R226" si="212">(1.96*Q226)</f>
        <v>9511.9009981963045</v>
      </c>
    </row>
    <row r="227" spans="1:20" x14ac:dyDescent="0.3">
      <c r="A227" t="s">
        <v>151</v>
      </c>
      <c r="B227">
        <v>1998</v>
      </c>
      <c r="C227" t="s">
        <v>42</v>
      </c>
      <c r="D227" s="13">
        <v>9366</v>
      </c>
      <c r="E227" s="1"/>
      <c r="F227" s="1"/>
      <c r="G227" s="1"/>
      <c r="H227" s="1"/>
      <c r="I227" s="21">
        <f>AVERAGE(I240:I247)</f>
        <v>0.86838355205906959</v>
      </c>
      <c r="J227" s="21">
        <v>1.4536667427749639E-3</v>
      </c>
      <c r="K227" s="13">
        <f t="shared" ref="K227:K232" si="213">D227/I227</f>
        <v>10785.556656147837</v>
      </c>
      <c r="L227" s="1">
        <f t="shared" si="193"/>
        <v>224247.08472663842</v>
      </c>
      <c r="M227">
        <f t="shared" si="170"/>
        <v>473.54734158966454</v>
      </c>
      <c r="N227" s="1">
        <f t="shared" si="171"/>
        <v>928.15278951574248</v>
      </c>
      <c r="O227" s="24">
        <f t="shared" si="192"/>
        <v>1419.5566561478372</v>
      </c>
      <c r="P227" s="1">
        <f t="shared" ref="P227:P232" si="214">L227</f>
        <v>224247.08472663842</v>
      </c>
      <c r="Q227">
        <f t="shared" ref="Q227:Q232" si="215">SQRT(P227)</f>
        <v>473.54734158966454</v>
      </c>
      <c r="R227" s="1">
        <f t="shared" ref="R227:R232" si="216">(1.96*Q227)</f>
        <v>928.15278951574248</v>
      </c>
    </row>
    <row r="228" spans="1:20" x14ac:dyDescent="0.3">
      <c r="A228" t="s">
        <v>151</v>
      </c>
      <c r="B228">
        <v>1999</v>
      </c>
      <c r="C228" t="s">
        <v>42</v>
      </c>
      <c r="D228" s="13">
        <v>9636</v>
      </c>
      <c r="E228" s="1"/>
      <c r="F228" s="1"/>
      <c r="G228" s="1"/>
      <c r="H228" s="1"/>
      <c r="I228" s="21">
        <v>0.86838355205906959</v>
      </c>
      <c r="J228" s="21">
        <v>1.4536667427749639E-3</v>
      </c>
      <c r="K228" s="13">
        <f t="shared" si="213"/>
        <v>11096.479173461516</v>
      </c>
      <c r="L228" s="1">
        <f t="shared" si="193"/>
        <v>237362.48582500662</v>
      </c>
      <c r="M228">
        <f t="shared" si="170"/>
        <v>487.19861024535635</v>
      </c>
      <c r="N228" s="1">
        <f t="shared" si="171"/>
        <v>954.90927608089839</v>
      </c>
      <c r="O228" s="24">
        <f t="shared" si="192"/>
        <v>1460.4791734615155</v>
      </c>
      <c r="P228" s="1">
        <f t="shared" si="214"/>
        <v>237362.48582500662</v>
      </c>
      <c r="Q228">
        <f t="shared" si="215"/>
        <v>487.19861024535635</v>
      </c>
      <c r="R228" s="1">
        <f t="shared" si="216"/>
        <v>954.90927608089839</v>
      </c>
    </row>
    <row r="229" spans="1:20" x14ac:dyDescent="0.3">
      <c r="A229" t="s">
        <v>151</v>
      </c>
      <c r="B229">
        <v>2000</v>
      </c>
      <c r="C229" t="s">
        <v>42</v>
      </c>
      <c r="D229" s="13">
        <v>16855</v>
      </c>
      <c r="E229" s="1"/>
      <c r="F229" s="1"/>
      <c r="G229" s="1"/>
      <c r="H229" s="1"/>
      <c r="I229" s="21">
        <v>0.86838355205906959</v>
      </c>
      <c r="J229" s="21">
        <v>1.4536667427749639E-3</v>
      </c>
      <c r="K229" s="13">
        <f t="shared" si="213"/>
        <v>19409.626034526136</v>
      </c>
      <c r="L229" s="1">
        <f t="shared" si="193"/>
        <v>726233.05564746587</v>
      </c>
      <c r="M229">
        <f t="shared" si="170"/>
        <v>852.19308589513082</v>
      </c>
      <c r="N229" s="1">
        <f t="shared" si="171"/>
        <v>1670.2984483544565</v>
      </c>
      <c r="O229" s="24">
        <f t="shared" si="192"/>
        <v>2554.6260345261362</v>
      </c>
      <c r="P229" s="1">
        <f t="shared" si="214"/>
        <v>726233.05564746587</v>
      </c>
      <c r="Q229">
        <f t="shared" si="215"/>
        <v>852.19308589513082</v>
      </c>
      <c r="R229" s="1">
        <f t="shared" si="216"/>
        <v>1670.2984483544565</v>
      </c>
    </row>
    <row r="230" spans="1:20" x14ac:dyDescent="0.3">
      <c r="A230" t="s">
        <v>151</v>
      </c>
      <c r="B230">
        <v>2001</v>
      </c>
      <c r="C230" t="s">
        <v>42</v>
      </c>
      <c r="D230" s="13">
        <v>15083</v>
      </c>
      <c r="E230" s="1"/>
      <c r="F230" s="1"/>
      <c r="G230" s="1"/>
      <c r="H230" s="1"/>
      <c r="I230" s="21">
        <v>0.86838355205906959</v>
      </c>
      <c r="J230" s="21">
        <v>1.4536667427749639E-3</v>
      </c>
      <c r="K230" s="13">
        <f t="shared" si="213"/>
        <v>17369.053069045251</v>
      </c>
      <c r="L230" s="1">
        <f t="shared" si="193"/>
        <v>581559.24091147329</v>
      </c>
      <c r="M230">
        <f t="shared" si="170"/>
        <v>762.60031531036839</v>
      </c>
      <c r="N230" s="1">
        <f t="shared" si="171"/>
        <v>1494.696618008322</v>
      </c>
      <c r="O230" s="24">
        <f t="shared" si="192"/>
        <v>2286.0530690452506</v>
      </c>
      <c r="P230" s="1">
        <f t="shared" si="214"/>
        <v>581559.24091147329</v>
      </c>
      <c r="Q230">
        <f t="shared" si="215"/>
        <v>762.60031531036839</v>
      </c>
      <c r="R230" s="1">
        <f t="shared" si="216"/>
        <v>1494.696618008322</v>
      </c>
    </row>
    <row r="231" spans="1:20" x14ac:dyDescent="0.3">
      <c r="A231" t="s">
        <v>151</v>
      </c>
      <c r="B231">
        <v>2002</v>
      </c>
      <c r="C231" t="s">
        <v>42</v>
      </c>
      <c r="D231" s="13">
        <v>14004</v>
      </c>
      <c r="E231" s="1"/>
      <c r="F231" s="1"/>
      <c r="G231" s="1"/>
      <c r="H231" s="1"/>
      <c r="I231" s="21">
        <v>0.86838355205906959</v>
      </c>
      <c r="J231" s="21">
        <v>1.4536667427749639E-3</v>
      </c>
      <c r="K231" s="13">
        <f t="shared" si="213"/>
        <v>16126.514564669476</v>
      </c>
      <c r="L231" s="1">
        <f t="shared" si="193"/>
        <v>501328.85623143055</v>
      </c>
      <c r="M231">
        <f t="shared" si="170"/>
        <v>708.04580094188157</v>
      </c>
      <c r="N231" s="1">
        <f t="shared" si="171"/>
        <v>1387.7697698460879</v>
      </c>
      <c r="O231" s="24">
        <f t="shared" si="192"/>
        <v>2122.5145646694764</v>
      </c>
      <c r="P231" s="1">
        <f t="shared" si="214"/>
        <v>501328.85623143055</v>
      </c>
      <c r="Q231">
        <f t="shared" si="215"/>
        <v>708.04580094188157</v>
      </c>
      <c r="R231" s="1">
        <f t="shared" si="216"/>
        <v>1387.7697698460879</v>
      </c>
    </row>
    <row r="232" spans="1:20" x14ac:dyDescent="0.3">
      <c r="A232" t="s">
        <v>151</v>
      </c>
      <c r="B232">
        <v>2003</v>
      </c>
      <c r="C232" t="s">
        <v>42</v>
      </c>
      <c r="D232" s="13">
        <v>15272</v>
      </c>
      <c r="E232" s="1"/>
      <c r="F232" s="1"/>
      <c r="G232" s="1"/>
      <c r="H232" s="1"/>
      <c r="I232" s="21">
        <v>0.86838355205906959</v>
      </c>
      <c r="J232" s="21">
        <v>1.4536667427749639E-3</v>
      </c>
      <c r="K232" s="13">
        <f t="shared" si="213"/>
        <v>17586.698831164827</v>
      </c>
      <c r="L232" s="1">
        <f t="shared" si="193"/>
        <v>596225.20240177307</v>
      </c>
      <c r="M232">
        <f t="shared" si="170"/>
        <v>772.15620336935262</v>
      </c>
      <c r="N232" s="1">
        <f t="shared" si="171"/>
        <v>1513.4261586039311</v>
      </c>
      <c r="O232" s="24">
        <f t="shared" si="192"/>
        <v>2314.6988311648274</v>
      </c>
      <c r="P232" s="1">
        <f t="shared" si="214"/>
        <v>596225.20240177307</v>
      </c>
      <c r="Q232">
        <f t="shared" si="215"/>
        <v>772.15620336935262</v>
      </c>
      <c r="R232" s="1">
        <f t="shared" si="216"/>
        <v>1513.4261586039311</v>
      </c>
    </row>
    <row r="233" spans="1:20" x14ac:dyDescent="0.3">
      <c r="A233" t="s">
        <v>151</v>
      </c>
      <c r="B233">
        <v>2004</v>
      </c>
      <c r="C233" t="s">
        <v>42</v>
      </c>
      <c r="D233" s="13">
        <v>21796</v>
      </c>
      <c r="E233" s="1"/>
      <c r="F233" s="1"/>
      <c r="G233" s="1"/>
      <c r="H233" s="1"/>
      <c r="I233" s="21">
        <v>0.86838355205906959</v>
      </c>
      <c r="J233" s="21">
        <v>1.4536667427749639E-3</v>
      </c>
      <c r="K233" s="13">
        <f t="shared" ref="K233:K283" si="217">D233/I233</f>
        <v>25099.50810136646</v>
      </c>
      <c r="L233" s="1">
        <f t="shared" si="193"/>
        <v>1214428.9103843591</v>
      </c>
      <c r="M233">
        <f t="shared" si="170"/>
        <v>1102.011302294291</v>
      </c>
      <c r="N233" s="1">
        <f t="shared" si="171"/>
        <v>2159.9421524968102</v>
      </c>
      <c r="O233" s="24">
        <f t="shared" si="192"/>
        <v>3303.5081013664603</v>
      </c>
      <c r="P233" s="1">
        <f t="shared" ref="P233:P283" si="218">L233</f>
        <v>1214428.9103843591</v>
      </c>
      <c r="Q233">
        <f t="shared" ref="Q233:Q283" si="219">SQRT(P233)</f>
        <v>1102.011302294291</v>
      </c>
      <c r="R233" s="1">
        <f t="shared" ref="R233:R283" si="220">(1.96*Q233)</f>
        <v>2159.9421524968102</v>
      </c>
    </row>
    <row r="234" spans="1:20" x14ac:dyDescent="0.3">
      <c r="A234" t="s">
        <v>151</v>
      </c>
      <c r="B234">
        <v>2005</v>
      </c>
      <c r="C234" t="s">
        <v>42</v>
      </c>
      <c r="D234" s="13">
        <v>27304</v>
      </c>
      <c r="E234" s="1"/>
      <c r="F234" s="1"/>
      <c r="G234" s="1"/>
      <c r="H234" s="1"/>
      <c r="I234" s="21">
        <v>0.86838355205906959</v>
      </c>
      <c r="J234" s="21">
        <v>1.4536667427749639E-3</v>
      </c>
      <c r="K234" s="13">
        <f t="shared" si="217"/>
        <v>31442.327454565508</v>
      </c>
      <c r="L234" s="1">
        <f t="shared" si="193"/>
        <v>1905772.4719131205</v>
      </c>
      <c r="M234">
        <f t="shared" si="170"/>
        <v>1380.4971828704035</v>
      </c>
      <c r="N234" s="1">
        <f t="shared" si="171"/>
        <v>2705.7744784259908</v>
      </c>
      <c r="O234" s="24">
        <f t="shared" si="192"/>
        <v>4138.3274545655077</v>
      </c>
      <c r="P234" s="1">
        <f t="shared" si="218"/>
        <v>1905772.4719131205</v>
      </c>
      <c r="Q234">
        <f t="shared" si="219"/>
        <v>1380.4971828704035</v>
      </c>
      <c r="R234" s="1">
        <f t="shared" si="220"/>
        <v>2705.7744784259908</v>
      </c>
    </row>
    <row r="235" spans="1:20" x14ac:dyDescent="0.3">
      <c r="A235" t="s">
        <v>151</v>
      </c>
      <c r="B235">
        <v>2006</v>
      </c>
      <c r="C235" t="s">
        <v>42</v>
      </c>
      <c r="D235" s="13">
        <v>33748</v>
      </c>
      <c r="E235" s="1"/>
      <c r="F235" s="1"/>
      <c r="G235" s="1"/>
      <c r="H235" s="1"/>
      <c r="I235" s="21">
        <v>0.86838355205906959</v>
      </c>
      <c r="J235" s="21">
        <v>1.4536667427749639E-3</v>
      </c>
      <c r="K235" s="13">
        <f t="shared" si="217"/>
        <v>38863.01153445198</v>
      </c>
      <c r="L235" s="1">
        <f t="shared" si="193"/>
        <v>2911485.1530098896</v>
      </c>
      <c r="M235">
        <f t="shared" si="170"/>
        <v>1706.3074614529146</v>
      </c>
      <c r="N235" s="1">
        <f t="shared" si="171"/>
        <v>3344.3626244477127</v>
      </c>
      <c r="O235" s="24">
        <f t="shared" si="192"/>
        <v>5115.01153445198</v>
      </c>
      <c r="P235" s="1">
        <f t="shared" si="218"/>
        <v>2911485.1530098896</v>
      </c>
      <c r="Q235">
        <f t="shared" si="219"/>
        <v>1706.3074614529146</v>
      </c>
      <c r="R235" s="1">
        <f t="shared" si="220"/>
        <v>3344.3626244477127</v>
      </c>
    </row>
    <row r="236" spans="1:20" x14ac:dyDescent="0.3">
      <c r="A236" t="s">
        <v>151</v>
      </c>
      <c r="B236">
        <v>2007</v>
      </c>
      <c r="C236" t="s">
        <v>42</v>
      </c>
      <c r="D236" s="13">
        <v>38443</v>
      </c>
      <c r="E236" s="1"/>
      <c r="F236" s="1"/>
      <c r="G236" s="1"/>
      <c r="H236" s="1"/>
      <c r="I236" s="21">
        <v>0.86838355205906959</v>
      </c>
      <c r="J236" s="21">
        <v>1.4536667427749639E-3</v>
      </c>
      <c r="K236" s="13">
        <f t="shared" si="217"/>
        <v>44269.608641073173</v>
      </c>
      <c r="L236" s="1">
        <f t="shared" si="193"/>
        <v>3777922.4788372577</v>
      </c>
      <c r="M236">
        <f t="shared" si="170"/>
        <v>1943.6878552991109</v>
      </c>
      <c r="N236" s="1">
        <f t="shared" si="171"/>
        <v>3809.6281963862571</v>
      </c>
      <c r="O236" s="24">
        <f t="shared" si="192"/>
        <v>5826.6086410731732</v>
      </c>
      <c r="P236" s="1">
        <f t="shared" si="218"/>
        <v>3777922.4788372577</v>
      </c>
      <c r="Q236">
        <f t="shared" si="219"/>
        <v>1943.6878552991109</v>
      </c>
      <c r="R236" s="1">
        <f t="shared" si="220"/>
        <v>3809.6281963862571</v>
      </c>
    </row>
    <row r="237" spans="1:20" x14ac:dyDescent="0.3">
      <c r="A237" t="s">
        <v>151</v>
      </c>
      <c r="B237">
        <v>2008</v>
      </c>
      <c r="C237" t="s">
        <v>42</v>
      </c>
      <c r="D237" s="13">
        <v>52901</v>
      </c>
      <c r="E237" s="1"/>
      <c r="F237" s="1"/>
      <c r="G237" s="1"/>
      <c r="H237" s="1"/>
      <c r="I237" s="21">
        <v>0.86838355205906959</v>
      </c>
      <c r="J237" s="21">
        <v>1.4536667427749639E-3</v>
      </c>
      <c r="K237" s="13">
        <f t="shared" si="217"/>
        <v>60918.9336607812</v>
      </c>
      <c r="L237" s="1">
        <f t="shared" si="193"/>
        <v>7153955.9598475369</v>
      </c>
      <c r="M237">
        <f t="shared" si="170"/>
        <v>2674.6880116842667</v>
      </c>
      <c r="N237" s="1">
        <f t="shared" si="171"/>
        <v>5242.3885029011626</v>
      </c>
      <c r="O237" s="24">
        <f t="shared" si="192"/>
        <v>8017.9336607812002</v>
      </c>
      <c r="P237" s="1">
        <f t="shared" si="218"/>
        <v>7153955.9598475369</v>
      </c>
      <c r="Q237">
        <f t="shared" si="219"/>
        <v>2674.6880116842667</v>
      </c>
      <c r="R237" s="1">
        <f t="shared" si="220"/>
        <v>5242.3885029011626</v>
      </c>
    </row>
    <row r="238" spans="1:20" x14ac:dyDescent="0.3">
      <c r="A238" t="s">
        <v>151</v>
      </c>
      <c r="B238">
        <v>2009</v>
      </c>
      <c r="C238" t="s">
        <v>42</v>
      </c>
      <c r="D238" s="13">
        <v>31717</v>
      </c>
      <c r="E238" s="1"/>
      <c r="F238" s="1"/>
      <c r="G238" s="1"/>
      <c r="H238" s="1"/>
      <c r="I238" s="21">
        <v>0.86838355205906959</v>
      </c>
      <c r="J238" s="21">
        <v>1.4536667427749639E-3</v>
      </c>
      <c r="K238" s="13">
        <f t="shared" si="217"/>
        <v>36524.183265325752</v>
      </c>
      <c r="L238" s="1">
        <f t="shared" si="193"/>
        <v>2571595.7734261826</v>
      </c>
      <c r="M238">
        <f t="shared" si="170"/>
        <v>1603.6195850095442</v>
      </c>
      <c r="N238" s="1">
        <f t="shared" si="171"/>
        <v>3143.0943866187063</v>
      </c>
      <c r="O238" s="24">
        <f t="shared" si="192"/>
        <v>4807.1832653257516</v>
      </c>
      <c r="P238" s="1">
        <f t="shared" si="218"/>
        <v>2571595.7734261826</v>
      </c>
      <c r="Q238">
        <f t="shared" si="219"/>
        <v>1603.6195850095442</v>
      </c>
      <c r="R238" s="1">
        <f t="shared" si="220"/>
        <v>3143.0943866187063</v>
      </c>
    </row>
    <row r="239" spans="1:20" x14ac:dyDescent="0.3">
      <c r="A239" t="s">
        <v>151</v>
      </c>
      <c r="B239">
        <v>2010</v>
      </c>
      <c r="C239" t="s">
        <v>42</v>
      </c>
      <c r="D239" s="13">
        <v>43813</v>
      </c>
      <c r="E239" s="1"/>
      <c r="F239" s="1"/>
      <c r="G239" s="1"/>
      <c r="H239" s="1"/>
      <c r="I239" s="21">
        <v>0.86838355205906959</v>
      </c>
      <c r="J239" s="21">
        <v>1.4536667427749639E-3</v>
      </c>
      <c r="K239" s="13">
        <f t="shared" si="217"/>
        <v>50453.51204097856</v>
      </c>
      <c r="L239" s="1">
        <f t="shared" si="193"/>
        <v>4907095.1826566225</v>
      </c>
      <c r="M239">
        <f t="shared" si="170"/>
        <v>2215.1964207845367</v>
      </c>
      <c r="N239" s="1">
        <f t="shared" si="171"/>
        <v>4341.784984737692</v>
      </c>
      <c r="O239" s="24">
        <f t="shared" si="192"/>
        <v>6640.5120409785595</v>
      </c>
      <c r="P239" s="1">
        <f t="shared" si="218"/>
        <v>4907095.1826566225</v>
      </c>
      <c r="Q239">
        <f t="shared" si="219"/>
        <v>2215.1964207845367</v>
      </c>
      <c r="R239" s="1">
        <f t="shared" si="220"/>
        <v>4341.784984737692</v>
      </c>
    </row>
    <row r="240" spans="1:20" x14ac:dyDescent="0.3">
      <c r="A240" t="s">
        <v>151</v>
      </c>
      <c r="B240">
        <v>2011</v>
      </c>
      <c r="C240" t="s">
        <v>42</v>
      </c>
      <c r="D240" s="13">
        <v>58843</v>
      </c>
      <c r="E240" s="1">
        <v>41675</v>
      </c>
      <c r="F240" s="1">
        <v>10242682.237273294</v>
      </c>
      <c r="G240" s="11">
        <v>6826</v>
      </c>
      <c r="H240" s="1">
        <v>3307428.1567007052</v>
      </c>
      <c r="I240">
        <f t="shared" ref="I240:I273" si="221">E240/(E240+G240)</f>
        <v>0.85926063380136497</v>
      </c>
      <c r="J240">
        <f t="shared" ref="J240:J273" si="222">((((E240)^2*H240)+((G240)^2*F240))/(E240+G240)^4)</f>
        <v>1.1243461189196558E-3</v>
      </c>
      <c r="K240" s="13">
        <f t="shared" si="217"/>
        <v>68480.968038392311</v>
      </c>
      <c r="L240" s="1">
        <f t="shared" ref="L240:L264" si="223">(D240^2)*J240*(1/(I240^4))</f>
        <v>7141508.8030922944</v>
      </c>
      <c r="M240">
        <f t="shared" ref="M240:M289" si="224">SQRT(L240)</f>
        <v>2672.3601559468543</v>
      </c>
      <c r="N240" s="1">
        <f t="shared" ref="N240:N289" si="225">(1.96*M240)</f>
        <v>5237.8259056558345</v>
      </c>
      <c r="O240" s="24">
        <f t="shared" si="192"/>
        <v>9637.9680383923114</v>
      </c>
      <c r="P240" s="1">
        <f t="shared" si="218"/>
        <v>7141508.8030922944</v>
      </c>
      <c r="Q240">
        <f t="shared" si="219"/>
        <v>2672.3601559468543</v>
      </c>
      <c r="R240" s="1">
        <f t="shared" si="220"/>
        <v>5237.8259056558345</v>
      </c>
      <c r="T240" s="2"/>
    </row>
    <row r="241" spans="1:20" x14ac:dyDescent="0.3">
      <c r="A241" t="s">
        <v>151</v>
      </c>
      <c r="B241">
        <v>2012</v>
      </c>
      <c r="C241" t="s">
        <v>42</v>
      </c>
      <c r="D241" s="13">
        <v>57675</v>
      </c>
      <c r="E241" s="1">
        <v>52345</v>
      </c>
      <c r="F241" s="1">
        <v>13685724.066841852</v>
      </c>
      <c r="G241" s="11">
        <v>5584</v>
      </c>
      <c r="H241" s="1">
        <v>690595.05465465412</v>
      </c>
      <c r="I241">
        <f t="shared" si="221"/>
        <v>0.90360613854891336</v>
      </c>
      <c r="J241">
        <f t="shared" si="222"/>
        <v>2.0592548018437935E-4</v>
      </c>
      <c r="K241" s="13">
        <f t="shared" si="217"/>
        <v>63827.587639698155</v>
      </c>
      <c r="L241" s="1">
        <f t="shared" si="223"/>
        <v>1027468.7062518544</v>
      </c>
      <c r="M241">
        <f t="shared" si="224"/>
        <v>1013.6413104505234</v>
      </c>
      <c r="N241" s="1">
        <f t="shared" si="225"/>
        <v>1986.7369684830257</v>
      </c>
      <c r="O241" s="24">
        <f t="shared" si="192"/>
        <v>6152.5876396981548</v>
      </c>
      <c r="P241" s="1">
        <f t="shared" si="218"/>
        <v>1027468.7062518544</v>
      </c>
      <c r="Q241">
        <f t="shared" si="219"/>
        <v>1013.6413104505234</v>
      </c>
      <c r="R241" s="1">
        <f t="shared" si="220"/>
        <v>1986.7369684830257</v>
      </c>
      <c r="T241" s="2"/>
    </row>
    <row r="242" spans="1:20" x14ac:dyDescent="0.3">
      <c r="A242" t="s">
        <v>151</v>
      </c>
      <c r="B242">
        <v>2013</v>
      </c>
      <c r="C242" t="s">
        <v>42</v>
      </c>
      <c r="D242" s="13">
        <v>60735</v>
      </c>
      <c r="E242" s="1">
        <v>49080</v>
      </c>
      <c r="F242" s="1">
        <v>12607924.147123162</v>
      </c>
      <c r="G242" s="11">
        <v>7782</v>
      </c>
      <c r="H242" s="1">
        <v>2186679.7550740778</v>
      </c>
      <c r="I242">
        <f t="shared" si="221"/>
        <v>0.86314234462382611</v>
      </c>
      <c r="J242">
        <f t="shared" si="222"/>
        <v>5.7689131709178507E-4</v>
      </c>
      <c r="K242" s="13">
        <f t="shared" si="217"/>
        <v>70364.987163814178</v>
      </c>
      <c r="L242" s="1">
        <f t="shared" si="223"/>
        <v>3833914.1323344847</v>
      </c>
      <c r="M242">
        <f t="shared" si="224"/>
        <v>1958.0383378101883</v>
      </c>
      <c r="N242" s="1">
        <f t="shared" si="225"/>
        <v>3837.7551421079688</v>
      </c>
      <c r="O242" s="24">
        <f t="shared" si="192"/>
        <v>9629.9871638141776</v>
      </c>
      <c r="P242" s="1">
        <f t="shared" si="218"/>
        <v>3833914.1323344847</v>
      </c>
      <c r="Q242">
        <f t="shared" si="219"/>
        <v>1958.0383378101883</v>
      </c>
      <c r="R242" s="1">
        <f t="shared" si="220"/>
        <v>3837.7551421079688</v>
      </c>
      <c r="T242" s="2"/>
    </row>
    <row r="243" spans="1:20" x14ac:dyDescent="0.3">
      <c r="A243" t="s">
        <v>151</v>
      </c>
      <c r="B243">
        <v>2014</v>
      </c>
      <c r="C243" t="s">
        <v>42</v>
      </c>
      <c r="D243" s="13">
        <v>73709</v>
      </c>
      <c r="E243" s="1">
        <v>66961</v>
      </c>
      <c r="F243" s="1">
        <v>20277301.63682786</v>
      </c>
      <c r="G243" s="11">
        <v>11809</v>
      </c>
      <c r="H243" s="1">
        <v>7627377.4458368318</v>
      </c>
      <c r="I243">
        <f t="shared" si="221"/>
        <v>0.85008251872540308</v>
      </c>
      <c r="J243">
        <f t="shared" si="222"/>
        <v>9.6178304830558383E-4</v>
      </c>
      <c r="K243" s="13">
        <f t="shared" si="217"/>
        <v>86708.052896462119</v>
      </c>
      <c r="L243" s="1">
        <f t="shared" si="223"/>
        <v>10006306.818414057</v>
      </c>
      <c r="M243">
        <f t="shared" si="224"/>
        <v>3163.2746985385347</v>
      </c>
      <c r="N243" s="1">
        <f t="shared" si="225"/>
        <v>6200.0184091355277</v>
      </c>
      <c r="O243" s="24">
        <f t="shared" si="192"/>
        <v>12999.052896462119</v>
      </c>
      <c r="P243" s="1">
        <f t="shared" si="218"/>
        <v>10006306.818414057</v>
      </c>
      <c r="Q243">
        <f t="shared" si="219"/>
        <v>3163.2746985385347</v>
      </c>
      <c r="R243" s="1">
        <f t="shared" si="220"/>
        <v>6200.0184091355277</v>
      </c>
      <c r="T243" s="2"/>
    </row>
    <row r="244" spans="1:20" x14ac:dyDescent="0.3">
      <c r="A244" t="s">
        <v>151</v>
      </c>
      <c r="B244">
        <v>2015</v>
      </c>
      <c r="C244" t="s">
        <v>42</v>
      </c>
      <c r="D244" s="13">
        <v>80105</v>
      </c>
      <c r="E244" s="1">
        <v>69569</v>
      </c>
      <c r="F244" s="1">
        <v>21055774.694533534</v>
      </c>
      <c r="G244" s="11">
        <v>7082</v>
      </c>
      <c r="H244" s="1">
        <v>2148442.0751791894</v>
      </c>
      <c r="I244">
        <f t="shared" si="221"/>
        <v>0.90760720669006278</v>
      </c>
      <c r="J244">
        <f t="shared" si="222"/>
        <v>3.3181232038789928E-4</v>
      </c>
      <c r="K244" s="13">
        <f t="shared" si="217"/>
        <v>88259.545990311773</v>
      </c>
      <c r="L244" s="1">
        <f t="shared" si="223"/>
        <v>3137762.110543259</v>
      </c>
      <c r="M244">
        <f t="shared" si="224"/>
        <v>1771.3729450748815</v>
      </c>
      <c r="N244" s="1">
        <f t="shared" si="225"/>
        <v>3471.8909723467677</v>
      </c>
      <c r="O244" s="24">
        <f t="shared" si="192"/>
        <v>8154.5459903117735</v>
      </c>
      <c r="P244" s="1">
        <f t="shared" si="218"/>
        <v>3137762.110543259</v>
      </c>
      <c r="Q244">
        <f t="shared" si="219"/>
        <v>1771.3729450748815</v>
      </c>
      <c r="R244" s="1">
        <f t="shared" si="220"/>
        <v>3471.8909723467677</v>
      </c>
      <c r="T244" s="2"/>
    </row>
    <row r="245" spans="1:20" x14ac:dyDescent="0.3">
      <c r="A245" t="s">
        <v>151</v>
      </c>
      <c r="B245">
        <v>2016</v>
      </c>
      <c r="C245" t="s">
        <v>42</v>
      </c>
      <c r="D245" s="13">
        <v>54908</v>
      </c>
      <c r="E245" s="1">
        <v>54929</v>
      </c>
      <c r="F245" s="1">
        <v>12343701.534990964</v>
      </c>
      <c r="G245" s="11">
        <v>8443</v>
      </c>
      <c r="H245" s="1">
        <v>2133387.2032022127</v>
      </c>
      <c r="I245">
        <f t="shared" si="221"/>
        <v>0.8667708136085337</v>
      </c>
      <c r="J245">
        <f t="shared" si="222"/>
        <v>4.5365840836920565E-4</v>
      </c>
      <c r="K245" s="13">
        <f t="shared" si="217"/>
        <v>63347.772142219961</v>
      </c>
      <c r="L245" s="1">
        <f t="shared" si="223"/>
        <v>2423165.6191606135</v>
      </c>
      <c r="M245">
        <f t="shared" si="224"/>
        <v>1556.6520546225522</v>
      </c>
      <c r="N245" s="1">
        <f t="shared" si="225"/>
        <v>3051.0380270602022</v>
      </c>
      <c r="O245" s="24">
        <f t="shared" si="192"/>
        <v>8439.7721422199611</v>
      </c>
      <c r="P245" s="1">
        <f t="shared" si="218"/>
        <v>2423165.6191606135</v>
      </c>
      <c r="Q245">
        <f t="shared" si="219"/>
        <v>1556.6520546225522</v>
      </c>
      <c r="R245" s="1">
        <f t="shared" si="220"/>
        <v>3051.0380270602022</v>
      </c>
      <c r="T245" s="2"/>
    </row>
    <row r="246" spans="1:20" x14ac:dyDescent="0.3">
      <c r="A246" t="s">
        <v>151</v>
      </c>
      <c r="B246">
        <v>2017</v>
      </c>
      <c r="C246" t="s">
        <v>42</v>
      </c>
      <c r="D246" s="13">
        <v>57388</v>
      </c>
      <c r="E246" s="1">
        <v>44003</v>
      </c>
      <c r="F246" s="1">
        <v>10063359.055830875</v>
      </c>
      <c r="G246" s="11">
        <v>11158</v>
      </c>
      <c r="H246" s="1">
        <v>7142546.3929970162</v>
      </c>
      <c r="I246">
        <f t="shared" si="221"/>
        <v>0.79771940320153734</v>
      </c>
      <c r="J246">
        <f t="shared" si="222"/>
        <v>1.6291163705098699E-3</v>
      </c>
      <c r="K246" s="13">
        <f t="shared" si="217"/>
        <v>71940.082903438393</v>
      </c>
      <c r="L246" s="1">
        <f t="shared" si="223"/>
        <v>13249322.287968032</v>
      </c>
      <c r="M246">
        <f t="shared" si="224"/>
        <v>3639.9618525429673</v>
      </c>
      <c r="N246" s="1">
        <f t="shared" si="225"/>
        <v>7134.3252309842155</v>
      </c>
      <c r="O246" s="24">
        <f t="shared" si="192"/>
        <v>14552.082903438393</v>
      </c>
      <c r="P246" s="1">
        <f t="shared" si="218"/>
        <v>13249322.287968032</v>
      </c>
      <c r="Q246">
        <f t="shared" si="219"/>
        <v>3639.9618525429673</v>
      </c>
      <c r="R246" s="1">
        <f t="shared" si="220"/>
        <v>7134.3252309842155</v>
      </c>
      <c r="T246" s="2"/>
    </row>
    <row r="247" spans="1:20" x14ac:dyDescent="0.3">
      <c r="A247" t="s">
        <v>151</v>
      </c>
      <c r="B247">
        <v>2018</v>
      </c>
      <c r="C247" t="s">
        <v>42</v>
      </c>
      <c r="D247" s="13">
        <v>55460</v>
      </c>
      <c r="E247" s="1">
        <v>47886</v>
      </c>
      <c r="F247" s="1">
        <v>14252941.161912879</v>
      </c>
      <c r="G247" s="11">
        <v>5387</v>
      </c>
      <c r="H247" s="1">
        <v>792955.03104704909</v>
      </c>
      <c r="I247">
        <f t="shared" si="221"/>
        <v>0.89887935727291501</v>
      </c>
      <c r="J247">
        <f t="shared" si="222"/>
        <v>2.7710831091213705E-4</v>
      </c>
      <c r="K247" s="13">
        <f t="shared" si="217"/>
        <v>61699.047320720041</v>
      </c>
      <c r="L247" s="1">
        <f t="shared" si="223"/>
        <v>1305580.4963851175</v>
      </c>
      <c r="M247">
        <f t="shared" si="224"/>
        <v>1142.620013996393</v>
      </c>
      <c r="N247" s="1">
        <f t="shared" si="225"/>
        <v>2239.5352274329302</v>
      </c>
      <c r="O247" s="24">
        <f t="shared" si="192"/>
        <v>6239.0473207200412</v>
      </c>
      <c r="P247" s="1">
        <f t="shared" si="218"/>
        <v>1305580.4963851175</v>
      </c>
      <c r="Q247">
        <f t="shared" si="219"/>
        <v>1142.620013996393</v>
      </c>
      <c r="R247" s="1">
        <f t="shared" si="220"/>
        <v>2239.5352274329302</v>
      </c>
      <c r="T247" s="2"/>
    </row>
    <row r="248" spans="1:20" x14ac:dyDescent="0.3">
      <c r="A248" t="s">
        <v>151</v>
      </c>
      <c r="B248">
        <v>2019</v>
      </c>
      <c r="C248" t="s">
        <v>42</v>
      </c>
      <c r="D248" s="13">
        <v>59842</v>
      </c>
      <c r="E248" s="1">
        <v>44354</v>
      </c>
      <c r="F248" s="1">
        <v>9559839.3355916012</v>
      </c>
      <c r="G248" s="54">
        <v>7289</v>
      </c>
      <c r="H248" s="1">
        <v>1897155.0750740643</v>
      </c>
      <c r="I248">
        <f t="shared" si="221"/>
        <v>0.85885792847046061</v>
      </c>
      <c r="J248">
        <f t="shared" si="222"/>
        <v>5.9612087027981859E-4</v>
      </c>
      <c r="K248" s="13">
        <f t="shared" si="217"/>
        <v>69676.250304369401</v>
      </c>
      <c r="L248" s="1">
        <f>(D248^2)*J248*(1/(I248^4))</f>
        <v>3923387.5515685715</v>
      </c>
      <c r="M248">
        <f>SQRT(L248)</f>
        <v>1980.7542885397399</v>
      </c>
      <c r="N248" s="1">
        <f>(1.96*M248)</f>
        <v>3882.2784055378902</v>
      </c>
      <c r="O248" s="24">
        <f t="shared" si="192"/>
        <v>9834.2503043694014</v>
      </c>
      <c r="P248" s="1">
        <f>L248</f>
        <v>3923387.5515685715</v>
      </c>
      <c r="Q248">
        <f>SQRT(P248)</f>
        <v>1980.7542885397399</v>
      </c>
      <c r="R248" s="1">
        <f>(1.96*Q248)</f>
        <v>3882.2784055378902</v>
      </c>
      <c r="T248" s="2"/>
    </row>
    <row r="249" spans="1:20" x14ac:dyDescent="0.3">
      <c r="A249" t="s">
        <v>151</v>
      </c>
      <c r="B249">
        <v>2020</v>
      </c>
      <c r="C249" t="s">
        <v>42</v>
      </c>
      <c r="D249" s="13">
        <v>24728</v>
      </c>
      <c r="E249" s="1">
        <v>23972</v>
      </c>
      <c r="F249" s="1">
        <v>2929407.5649889908</v>
      </c>
      <c r="G249" s="54">
        <v>5409</v>
      </c>
      <c r="H249" s="1">
        <v>2810036.4944934789</v>
      </c>
      <c r="I249">
        <f t="shared" ref="I249:I251" si="226">E249/(E249+G249)</f>
        <v>0.81590143289881212</v>
      </c>
      <c r="J249">
        <f t="shared" ref="J249:J250" si="227">((((E249)^2*H249)+((G249)^2*F249))/(E249+G249)^4)</f>
        <v>2.2819896619486408E-3</v>
      </c>
      <c r="K249" s="13">
        <f t="shared" ref="K249:K250" si="228">D249/I249</f>
        <v>30307.582512931756</v>
      </c>
      <c r="L249" s="1">
        <f t="shared" ref="L249:L250" si="229">(D249^2)*J249*(1/(I249^4))</f>
        <v>3148769.5238355137</v>
      </c>
      <c r="M249">
        <f t="shared" ref="M249:M250" si="230">SQRT(L249)</f>
        <v>1774.4772536821974</v>
      </c>
      <c r="N249" s="1">
        <f t="shared" ref="N249:N250" si="231">(1.96*M249)</f>
        <v>3477.975417217107</v>
      </c>
      <c r="O249" s="24">
        <f t="shared" ref="O249:O250" si="232">K249-D249</f>
        <v>5579.5825129317564</v>
      </c>
      <c r="P249" s="1">
        <f t="shared" ref="P249:P250" si="233">L249</f>
        <v>3148769.5238355137</v>
      </c>
      <c r="Q249">
        <f t="shared" ref="Q249:Q250" si="234">SQRT(P249)</f>
        <v>1774.4772536821974</v>
      </c>
      <c r="R249" s="1">
        <f t="shared" ref="R249:R250" si="235">(1.96*Q249)</f>
        <v>3477.975417217107</v>
      </c>
      <c r="T249" s="2"/>
    </row>
    <row r="250" spans="1:20" x14ac:dyDescent="0.3">
      <c r="A250" t="s">
        <v>151</v>
      </c>
      <c r="B250">
        <v>2021</v>
      </c>
      <c r="C250" t="s">
        <v>42</v>
      </c>
      <c r="D250" s="13">
        <v>56521</v>
      </c>
      <c r="E250" s="1">
        <v>57621</v>
      </c>
      <c r="F250" s="1">
        <v>16759884.709748719</v>
      </c>
      <c r="G250" s="54">
        <v>6423</v>
      </c>
      <c r="H250" s="1">
        <v>1318267.870269275</v>
      </c>
      <c r="I250">
        <f t="shared" si="226"/>
        <v>0.89970957466741619</v>
      </c>
      <c r="J250">
        <f t="shared" si="227"/>
        <v>3.0126571996868953E-4</v>
      </c>
      <c r="K250" s="13">
        <f t="shared" si="228"/>
        <v>62821.383245691672</v>
      </c>
      <c r="L250" s="1">
        <f t="shared" si="229"/>
        <v>1468791.0672018982</v>
      </c>
      <c r="M250">
        <f t="shared" si="230"/>
        <v>1211.9369072694742</v>
      </c>
      <c r="N250" s="1">
        <f t="shared" si="231"/>
        <v>2375.3963382481693</v>
      </c>
      <c r="O250" s="24">
        <f t="shared" si="232"/>
        <v>6300.3832456916716</v>
      </c>
      <c r="P250" s="1">
        <f t="shared" si="233"/>
        <v>1468791.0672018982</v>
      </c>
      <c r="Q250">
        <f t="shared" si="234"/>
        <v>1211.9369072694742</v>
      </c>
      <c r="R250" s="1">
        <f t="shared" si="235"/>
        <v>2375.3963382481693</v>
      </c>
      <c r="T250" s="2"/>
    </row>
    <row r="251" spans="1:20" s="51" customFormat="1" x14ac:dyDescent="0.3">
      <c r="A251" s="51" t="s">
        <v>151</v>
      </c>
      <c r="B251" s="51">
        <v>2022</v>
      </c>
      <c r="C251" s="51" t="s">
        <v>42</v>
      </c>
      <c r="D251" s="71">
        <v>67729</v>
      </c>
      <c r="E251" s="72">
        <v>62221</v>
      </c>
      <c r="F251" s="72">
        <f>4195^2</f>
        <v>17598025</v>
      </c>
      <c r="G251" s="75">
        <v>10313</v>
      </c>
      <c r="H251" s="72">
        <f>1999^2</f>
        <v>3996001</v>
      </c>
      <c r="I251" s="51">
        <f t="shared" si="226"/>
        <v>0.85781840240438967</v>
      </c>
      <c r="J251">
        <f t="shared" ref="J251" si="236">((((E251)^2*H251)+((G251)^2*F251))/(E251+G251)^4)</f>
        <v>6.2651743524697533E-4</v>
      </c>
      <c r="K251" s="13">
        <f t="shared" ref="K251" si="237">D251/I251</f>
        <v>78954.939425595861</v>
      </c>
      <c r="L251" s="1">
        <f t="shared" ref="L251" si="238">(D251^2)*J251*(1/(I251^4))</f>
        <v>5307635.0491281012</v>
      </c>
      <c r="M251">
        <f t="shared" ref="M251" si="239">SQRT(L251)</f>
        <v>2303.8305165806146</v>
      </c>
      <c r="N251" s="1">
        <f t="shared" ref="N251" si="240">(1.96*M251)</f>
        <v>4515.5078124980046</v>
      </c>
      <c r="O251" s="24">
        <f t="shared" ref="O251" si="241">K251-D251</f>
        <v>11225.939425595861</v>
      </c>
      <c r="P251" s="1">
        <f t="shared" ref="P251" si="242">L251</f>
        <v>5307635.0491281012</v>
      </c>
      <c r="Q251">
        <f t="shared" ref="Q251" si="243">SQRT(P251)</f>
        <v>2303.8305165806146</v>
      </c>
      <c r="R251" s="1">
        <f t="shared" ref="R251" si="244">(1.96*Q251)</f>
        <v>4515.5078124980046</v>
      </c>
      <c r="T251" s="76"/>
    </row>
    <row r="252" spans="1:20" x14ac:dyDescent="0.3">
      <c r="A252" t="s">
        <v>151</v>
      </c>
      <c r="B252">
        <v>1998</v>
      </c>
      <c r="C252" t="s">
        <v>83</v>
      </c>
      <c r="D252" s="13">
        <v>1305</v>
      </c>
      <c r="E252" s="1"/>
      <c r="F252" s="1"/>
      <c r="G252" s="1"/>
      <c r="H252" s="1"/>
      <c r="I252" s="21">
        <f>AVERAGE(I265:I272)</f>
        <v>0.79329428486217379</v>
      </c>
      <c r="J252" s="21">
        <v>6.3002293625166695E-3</v>
      </c>
      <c r="K252" s="13">
        <f t="shared" si="217"/>
        <v>1645.0389532640204</v>
      </c>
      <c r="L252" s="1">
        <f t="shared" si="223"/>
        <v>27091.93854220381</v>
      </c>
      <c r="M252">
        <f t="shared" si="224"/>
        <v>164.59628957605275</v>
      </c>
      <c r="N252" s="1">
        <f t="shared" si="225"/>
        <v>322.60872756906338</v>
      </c>
      <c r="O252" s="24">
        <f t="shared" si="192"/>
        <v>340.03895326402039</v>
      </c>
      <c r="P252" s="1">
        <f t="shared" si="218"/>
        <v>27091.93854220381</v>
      </c>
      <c r="Q252">
        <f t="shared" si="219"/>
        <v>164.59628957605275</v>
      </c>
      <c r="R252" s="1">
        <f t="shared" si="220"/>
        <v>322.60872756906338</v>
      </c>
    </row>
    <row r="253" spans="1:20" x14ac:dyDescent="0.3">
      <c r="A253" t="s">
        <v>151</v>
      </c>
      <c r="B253">
        <v>1999</v>
      </c>
      <c r="C253" t="s">
        <v>83</v>
      </c>
      <c r="D253" s="13">
        <v>663</v>
      </c>
      <c r="E253" s="1"/>
      <c r="F253" s="1"/>
      <c r="G253" s="1"/>
      <c r="H253" s="1"/>
      <c r="I253" s="21">
        <v>0.79329428486217379</v>
      </c>
      <c r="J253" s="21">
        <v>6.3002293625166695E-3</v>
      </c>
      <c r="K253" s="13">
        <f t="shared" si="217"/>
        <v>835.7554222329851</v>
      </c>
      <c r="L253" s="1">
        <f t="shared" si="223"/>
        <v>6992.7196212962144</v>
      </c>
      <c r="M253">
        <f t="shared" si="224"/>
        <v>83.622482750132548</v>
      </c>
      <c r="N253" s="1">
        <f t="shared" si="225"/>
        <v>163.90006619025979</v>
      </c>
      <c r="O253" s="24">
        <f t="shared" si="192"/>
        <v>172.7554222329851</v>
      </c>
      <c r="P253" s="1">
        <f t="shared" si="218"/>
        <v>6992.7196212962144</v>
      </c>
      <c r="Q253">
        <f t="shared" si="219"/>
        <v>83.622482750132548</v>
      </c>
      <c r="R253" s="1">
        <f t="shared" si="220"/>
        <v>163.90006619025979</v>
      </c>
    </row>
    <row r="254" spans="1:20" x14ac:dyDescent="0.3">
      <c r="A254" t="s">
        <v>151</v>
      </c>
      <c r="B254">
        <v>2000</v>
      </c>
      <c r="C254" t="s">
        <v>83</v>
      </c>
      <c r="D254" s="13">
        <v>1199</v>
      </c>
      <c r="E254" s="1"/>
      <c r="F254" s="1"/>
      <c r="G254" s="1"/>
      <c r="H254" s="1"/>
      <c r="I254" s="21">
        <v>0.79329428486217379</v>
      </c>
      <c r="J254" s="21">
        <v>6.3002293625166695E-3</v>
      </c>
      <c r="K254" s="13">
        <f t="shared" si="217"/>
        <v>1511.4189310065597</v>
      </c>
      <c r="L254" s="1">
        <f t="shared" si="223"/>
        <v>22869.539754384543</v>
      </c>
      <c r="M254">
        <f t="shared" si="224"/>
        <v>151.22678253002854</v>
      </c>
      <c r="N254" s="1">
        <f t="shared" si="225"/>
        <v>296.40449375885595</v>
      </c>
      <c r="O254" s="24">
        <f t="shared" si="192"/>
        <v>312.41893100655966</v>
      </c>
      <c r="P254" s="1">
        <f t="shared" si="218"/>
        <v>22869.539754384543</v>
      </c>
      <c r="Q254">
        <f t="shared" si="219"/>
        <v>151.22678253002854</v>
      </c>
      <c r="R254" s="1">
        <f t="shared" si="220"/>
        <v>296.40449375885595</v>
      </c>
    </row>
    <row r="255" spans="1:20" x14ac:dyDescent="0.3">
      <c r="A255" t="s">
        <v>151</v>
      </c>
      <c r="B255">
        <v>2001</v>
      </c>
      <c r="C255" t="s">
        <v>83</v>
      </c>
      <c r="D255" s="13">
        <v>1043</v>
      </c>
      <c r="E255" s="1"/>
      <c r="F255" s="1"/>
      <c r="G255" s="1"/>
      <c r="H255" s="1"/>
      <c r="I255" s="21">
        <v>0.79329428486217379</v>
      </c>
      <c r="J255" s="21">
        <v>6.3002293625166695E-3</v>
      </c>
      <c r="K255" s="13">
        <f t="shared" si="217"/>
        <v>1314.7705963635044</v>
      </c>
      <c r="L255" s="1">
        <f t="shared" si="223"/>
        <v>17305.640405277591</v>
      </c>
      <c r="M255">
        <f t="shared" si="224"/>
        <v>131.5509042358797</v>
      </c>
      <c r="N255" s="1">
        <f t="shared" si="225"/>
        <v>257.83977230232421</v>
      </c>
      <c r="O255" s="24">
        <f t="shared" si="192"/>
        <v>271.77059636350441</v>
      </c>
      <c r="P255" s="1">
        <f t="shared" si="218"/>
        <v>17305.640405277591</v>
      </c>
      <c r="Q255">
        <f t="shared" si="219"/>
        <v>131.5509042358797</v>
      </c>
      <c r="R255" s="1">
        <f t="shared" si="220"/>
        <v>257.83977230232421</v>
      </c>
    </row>
    <row r="256" spans="1:20" x14ac:dyDescent="0.3">
      <c r="A256" t="s">
        <v>151</v>
      </c>
      <c r="B256">
        <v>2002</v>
      </c>
      <c r="C256" t="s">
        <v>83</v>
      </c>
      <c r="D256" s="13">
        <v>893</v>
      </c>
      <c r="E256" s="1"/>
      <c r="F256" s="1"/>
      <c r="G256" s="1"/>
      <c r="H256" s="1"/>
      <c r="I256" s="21">
        <v>0.79329428486217379</v>
      </c>
      <c r="J256" s="21">
        <v>6.3002293625166695E-3</v>
      </c>
      <c r="K256" s="13">
        <f t="shared" si="217"/>
        <v>1125.6856592067204</v>
      </c>
      <c r="L256" s="1">
        <f t="shared" si="223"/>
        <v>12685.920229322461</v>
      </c>
      <c r="M256">
        <f t="shared" si="224"/>
        <v>112.63179049150583</v>
      </c>
      <c r="N256" s="1">
        <f t="shared" si="225"/>
        <v>220.7583093633514</v>
      </c>
      <c r="O256" s="24">
        <f t="shared" si="192"/>
        <v>232.6856592067204</v>
      </c>
      <c r="P256" s="1">
        <f t="shared" si="218"/>
        <v>12685.920229322461</v>
      </c>
      <c r="Q256">
        <f t="shared" si="219"/>
        <v>112.63179049150583</v>
      </c>
      <c r="R256" s="1">
        <f t="shared" si="220"/>
        <v>220.7583093633514</v>
      </c>
    </row>
    <row r="257" spans="1:20" x14ac:dyDescent="0.3">
      <c r="A257" t="s">
        <v>151</v>
      </c>
      <c r="B257">
        <v>2003</v>
      </c>
      <c r="C257" t="s">
        <v>83</v>
      </c>
      <c r="D257" s="13">
        <v>1627</v>
      </c>
      <c r="E257" s="1"/>
      <c r="F257" s="1"/>
      <c r="G257" s="1"/>
      <c r="H257" s="1"/>
      <c r="I257" s="21">
        <v>0.79329428486217379</v>
      </c>
      <c r="J257" s="21">
        <v>6.3002293625166695E-3</v>
      </c>
      <c r="K257" s="13">
        <f t="shared" si="217"/>
        <v>2050.9412850272502</v>
      </c>
      <c r="L257" s="1">
        <f t="shared" si="223"/>
        <v>42110.865184765593</v>
      </c>
      <c r="M257">
        <f t="shared" si="224"/>
        <v>205.20932041397532</v>
      </c>
      <c r="N257" s="1">
        <f t="shared" si="225"/>
        <v>402.21026801139163</v>
      </c>
      <c r="O257" s="24">
        <f t="shared" si="192"/>
        <v>423.94128502725016</v>
      </c>
      <c r="P257" s="1">
        <f t="shared" si="218"/>
        <v>42110.865184765593</v>
      </c>
      <c r="Q257">
        <f t="shared" si="219"/>
        <v>205.20932041397532</v>
      </c>
      <c r="R257" s="1">
        <f t="shared" si="220"/>
        <v>402.21026801139163</v>
      </c>
    </row>
    <row r="258" spans="1:20" x14ac:dyDescent="0.3">
      <c r="A258" t="s">
        <v>151</v>
      </c>
      <c r="B258">
        <v>2004</v>
      </c>
      <c r="C258" t="s">
        <v>83</v>
      </c>
      <c r="D258" s="13">
        <v>1501</v>
      </c>
      <c r="E258" s="1"/>
      <c r="F258" s="1"/>
      <c r="G258" s="1"/>
      <c r="H258" s="1"/>
      <c r="I258" s="21">
        <v>0.79329428486217379</v>
      </c>
      <c r="J258" s="21">
        <v>6.3002293625166695E-3</v>
      </c>
      <c r="K258" s="13">
        <f t="shared" si="217"/>
        <v>1892.1099378155513</v>
      </c>
      <c r="L258" s="1">
        <f t="shared" si="223"/>
        <v>35841.026777365994</v>
      </c>
      <c r="M258">
        <f t="shared" si="224"/>
        <v>189.31726486870127</v>
      </c>
      <c r="N258" s="1">
        <f t="shared" si="225"/>
        <v>371.06183914265449</v>
      </c>
      <c r="O258" s="24">
        <f t="shared" si="192"/>
        <v>391.10993781555135</v>
      </c>
      <c r="P258" s="1">
        <f t="shared" si="218"/>
        <v>35841.026777365994</v>
      </c>
      <c r="Q258">
        <f t="shared" si="219"/>
        <v>189.31726486870127</v>
      </c>
      <c r="R258" s="1">
        <f t="shared" si="220"/>
        <v>371.06183914265449</v>
      </c>
    </row>
    <row r="259" spans="1:20" x14ac:dyDescent="0.3">
      <c r="A259" t="s">
        <v>151</v>
      </c>
      <c r="B259">
        <v>2005</v>
      </c>
      <c r="C259" t="s">
        <v>83</v>
      </c>
      <c r="D259" s="13">
        <v>1676</v>
      </c>
      <c r="E259" s="1"/>
      <c r="F259" s="1"/>
      <c r="G259" s="1"/>
      <c r="H259" s="1"/>
      <c r="I259" s="21">
        <v>0.79329428486217379</v>
      </c>
      <c r="J259" s="21">
        <v>6.3002293625166695E-3</v>
      </c>
      <c r="K259" s="13">
        <f t="shared" si="217"/>
        <v>2112.7090311651327</v>
      </c>
      <c r="L259" s="1">
        <f t="shared" si="223"/>
        <v>44685.54786836687</v>
      </c>
      <c r="M259">
        <f t="shared" si="224"/>
        <v>211.38956423713748</v>
      </c>
      <c r="N259" s="1">
        <f t="shared" si="225"/>
        <v>414.32354590478946</v>
      </c>
      <c r="O259" s="24">
        <f t="shared" si="192"/>
        <v>436.70903116513273</v>
      </c>
      <c r="P259" s="1">
        <f t="shared" si="218"/>
        <v>44685.54786836687</v>
      </c>
      <c r="Q259">
        <f t="shared" si="219"/>
        <v>211.38956423713748</v>
      </c>
      <c r="R259" s="1">
        <f t="shared" si="220"/>
        <v>414.32354590478946</v>
      </c>
    </row>
    <row r="260" spans="1:20" x14ac:dyDescent="0.3">
      <c r="A260" t="s">
        <v>151</v>
      </c>
      <c r="B260">
        <v>2006</v>
      </c>
      <c r="C260" t="s">
        <v>83</v>
      </c>
      <c r="D260" s="13">
        <v>2529</v>
      </c>
      <c r="E260" s="1"/>
      <c r="F260" s="1"/>
      <c r="G260" s="1"/>
      <c r="H260" s="1"/>
      <c r="I260" s="21">
        <v>0.79329428486217379</v>
      </c>
      <c r="J260" s="21">
        <v>6.3002293625166695E-3</v>
      </c>
      <c r="K260" s="13">
        <f t="shared" si="217"/>
        <v>3187.9720404633777</v>
      </c>
      <c r="L260" s="1">
        <f t="shared" si="223"/>
        <v>101745.85299552699</v>
      </c>
      <c r="M260">
        <f t="shared" si="224"/>
        <v>318.97625773014357</v>
      </c>
      <c r="N260" s="1">
        <f t="shared" si="225"/>
        <v>625.19346515108134</v>
      </c>
      <c r="O260" s="24">
        <f t="shared" si="192"/>
        <v>658.97204046337765</v>
      </c>
      <c r="P260" s="1">
        <f t="shared" si="218"/>
        <v>101745.85299552699</v>
      </c>
      <c r="Q260">
        <f t="shared" si="219"/>
        <v>318.97625773014357</v>
      </c>
      <c r="R260" s="1">
        <f t="shared" si="220"/>
        <v>625.19346515108134</v>
      </c>
    </row>
    <row r="261" spans="1:20" x14ac:dyDescent="0.3">
      <c r="A261" t="s">
        <v>151</v>
      </c>
      <c r="B261">
        <v>2007</v>
      </c>
      <c r="C261" t="s">
        <v>83</v>
      </c>
      <c r="D261" s="13">
        <v>2290</v>
      </c>
      <c r="E261" s="1"/>
      <c r="F261" s="1"/>
      <c r="G261" s="1"/>
      <c r="H261" s="1"/>
      <c r="I261" s="21">
        <v>0.79329428486217379</v>
      </c>
      <c r="J261" s="21">
        <v>6.3002293625166695E-3</v>
      </c>
      <c r="K261" s="13">
        <f t="shared" si="217"/>
        <v>2886.6967072602351</v>
      </c>
      <c r="L261" s="1">
        <f t="shared" si="223"/>
        <v>83423.810519029968</v>
      </c>
      <c r="M261">
        <f t="shared" si="224"/>
        <v>288.8318031641079</v>
      </c>
      <c r="N261" s="1">
        <f t="shared" si="225"/>
        <v>566.11033420165143</v>
      </c>
      <c r="O261" s="24">
        <f t="shared" si="192"/>
        <v>596.69670726023514</v>
      </c>
      <c r="P261" s="1">
        <f t="shared" si="218"/>
        <v>83423.810519029968</v>
      </c>
      <c r="Q261">
        <f t="shared" si="219"/>
        <v>288.8318031641079</v>
      </c>
      <c r="R261" s="1">
        <f t="shared" si="220"/>
        <v>566.11033420165143</v>
      </c>
    </row>
    <row r="262" spans="1:20" x14ac:dyDescent="0.3">
      <c r="A262" t="s">
        <v>151</v>
      </c>
      <c r="B262">
        <v>2008</v>
      </c>
      <c r="C262" t="s">
        <v>83</v>
      </c>
      <c r="D262" s="13">
        <v>2857</v>
      </c>
      <c r="E262" s="1"/>
      <c r="F262" s="1"/>
      <c r="G262" s="1"/>
      <c r="H262" s="1"/>
      <c r="I262" s="21">
        <v>0.79329428486217379</v>
      </c>
      <c r="J262" s="21">
        <v>6.3002293625166695E-3</v>
      </c>
      <c r="K262" s="13">
        <f t="shared" si="217"/>
        <v>3601.4377697128784</v>
      </c>
      <c r="L262" s="1">
        <f t="shared" si="223"/>
        <v>129849.277997606</v>
      </c>
      <c r="M262">
        <f t="shared" si="224"/>
        <v>360.34605311784117</v>
      </c>
      <c r="N262" s="1">
        <f t="shared" si="225"/>
        <v>706.27826411096862</v>
      </c>
      <c r="O262" s="24">
        <f t="shared" si="192"/>
        <v>744.43776971287843</v>
      </c>
      <c r="P262" s="1">
        <f t="shared" si="218"/>
        <v>129849.277997606</v>
      </c>
      <c r="Q262">
        <f t="shared" si="219"/>
        <v>360.34605311784117</v>
      </c>
      <c r="R262" s="1">
        <f t="shared" si="220"/>
        <v>706.27826411096862</v>
      </c>
    </row>
    <row r="263" spans="1:20" x14ac:dyDescent="0.3">
      <c r="A263" t="s">
        <v>151</v>
      </c>
      <c r="B263">
        <v>2009</v>
      </c>
      <c r="C263" t="s">
        <v>83</v>
      </c>
      <c r="D263" s="13">
        <v>2494</v>
      </c>
      <c r="E263" s="1"/>
      <c r="F263" s="1"/>
      <c r="G263" s="1"/>
      <c r="H263" s="1"/>
      <c r="I263" s="21">
        <v>0.79329428486217379</v>
      </c>
      <c r="J263" s="21">
        <v>6.3002293625166695E-3</v>
      </c>
      <c r="K263" s="13">
        <f t="shared" si="217"/>
        <v>3143.852221793461</v>
      </c>
      <c r="L263" s="1">
        <f t="shared" si="223"/>
        <v>98949.124670686113</v>
      </c>
      <c r="M263">
        <f t="shared" si="224"/>
        <v>314.56179785645634</v>
      </c>
      <c r="N263" s="1">
        <f t="shared" si="225"/>
        <v>616.54112379865444</v>
      </c>
      <c r="O263" s="24">
        <f t="shared" si="192"/>
        <v>649.85222179346101</v>
      </c>
      <c r="P263" s="1">
        <f t="shared" si="218"/>
        <v>98949.124670686113</v>
      </c>
      <c r="Q263">
        <f t="shared" si="219"/>
        <v>314.56179785645634</v>
      </c>
      <c r="R263" s="1">
        <f t="shared" si="220"/>
        <v>616.54112379865444</v>
      </c>
    </row>
    <row r="264" spans="1:20" x14ac:dyDescent="0.3">
      <c r="A264" t="s">
        <v>151</v>
      </c>
      <c r="B264">
        <v>2010</v>
      </c>
      <c r="C264" t="s">
        <v>83</v>
      </c>
      <c r="D264" s="13">
        <v>2435</v>
      </c>
      <c r="E264" s="1"/>
      <c r="F264" s="1"/>
      <c r="G264" s="1"/>
      <c r="H264" s="1"/>
      <c r="I264" s="21">
        <v>0.79329428486217379</v>
      </c>
      <c r="J264" s="21">
        <v>6.3002293625166695E-3</v>
      </c>
      <c r="K264" s="13">
        <f t="shared" si="217"/>
        <v>3069.4788131784594</v>
      </c>
      <c r="L264" s="1">
        <f t="shared" si="223"/>
        <v>94322.866254399312</v>
      </c>
      <c r="M264">
        <f t="shared" si="224"/>
        <v>307.12027978366933</v>
      </c>
      <c r="N264" s="1">
        <f t="shared" si="225"/>
        <v>601.9557483759919</v>
      </c>
      <c r="O264" s="24">
        <f t="shared" si="192"/>
        <v>634.4788131784594</v>
      </c>
      <c r="P264" s="1">
        <f t="shared" si="218"/>
        <v>94322.866254399312</v>
      </c>
      <c r="Q264">
        <f t="shared" si="219"/>
        <v>307.12027978366933</v>
      </c>
      <c r="R264" s="1">
        <f t="shared" si="220"/>
        <v>601.9557483759919</v>
      </c>
    </row>
    <row r="265" spans="1:20" x14ac:dyDescent="0.3">
      <c r="A265" t="s">
        <v>151</v>
      </c>
      <c r="B265">
        <v>2011</v>
      </c>
      <c r="C265" t="s">
        <v>83</v>
      </c>
      <c r="D265" s="13">
        <v>2848</v>
      </c>
      <c r="E265" s="30">
        <v>1832</v>
      </c>
      <c r="F265" s="30">
        <v>176053.86633733797</v>
      </c>
      <c r="G265" s="31">
        <v>924</v>
      </c>
      <c r="H265" s="30">
        <v>122664.84272672671</v>
      </c>
      <c r="I265">
        <f t="shared" si="221"/>
        <v>0.66473149492017414</v>
      </c>
      <c r="J265">
        <f t="shared" si="222"/>
        <v>9.7413788194444864E-3</v>
      </c>
      <c r="K265" s="13">
        <f t="shared" si="217"/>
        <v>4284.4366812227072</v>
      </c>
      <c r="L265" s="1">
        <f t="shared" ref="L265:L289" si="245">(D265^2)*J265*(1/(I265^4))</f>
        <v>404683.38862902793</v>
      </c>
      <c r="M265">
        <f t="shared" si="224"/>
        <v>636.1473010467214</v>
      </c>
      <c r="N265" s="1">
        <f t="shared" si="225"/>
        <v>1246.848710051574</v>
      </c>
      <c r="O265" s="24">
        <f t="shared" si="192"/>
        <v>1436.4366812227072</v>
      </c>
      <c r="P265" s="1">
        <f t="shared" si="218"/>
        <v>404683.38862902793</v>
      </c>
      <c r="Q265">
        <f t="shared" si="219"/>
        <v>636.1473010467214</v>
      </c>
      <c r="R265" s="1">
        <f t="shared" si="220"/>
        <v>1246.848710051574</v>
      </c>
      <c r="T265" s="2"/>
    </row>
    <row r="266" spans="1:20" x14ac:dyDescent="0.3">
      <c r="A266" t="s">
        <v>151</v>
      </c>
      <c r="B266">
        <v>2012</v>
      </c>
      <c r="C266" t="s">
        <v>83</v>
      </c>
      <c r="D266" s="13">
        <v>3241</v>
      </c>
      <c r="E266" s="30">
        <v>3119</v>
      </c>
      <c r="F266" s="30">
        <v>542335.47303203226</v>
      </c>
      <c r="G266" s="31">
        <v>515</v>
      </c>
      <c r="H266" s="30">
        <v>29946.435506506437</v>
      </c>
      <c r="I266">
        <f t="shared" si="221"/>
        <v>0.85828288387451845</v>
      </c>
      <c r="J266">
        <f t="shared" si="222"/>
        <v>2.4952492785689589E-3</v>
      </c>
      <c r="K266" s="13">
        <f t="shared" si="217"/>
        <v>3776.1442770118629</v>
      </c>
      <c r="L266" s="1">
        <f t="shared" si="245"/>
        <v>48300.340637739224</v>
      </c>
      <c r="M266">
        <f t="shared" si="224"/>
        <v>219.77338473468353</v>
      </c>
      <c r="N266" s="1">
        <f t="shared" si="225"/>
        <v>430.75583407997971</v>
      </c>
      <c r="O266" s="24">
        <f t="shared" si="192"/>
        <v>535.14427701186287</v>
      </c>
      <c r="P266" s="1">
        <f t="shared" si="218"/>
        <v>48300.340637739224</v>
      </c>
      <c r="Q266">
        <f t="shared" si="219"/>
        <v>219.77338473468353</v>
      </c>
      <c r="R266" s="1">
        <f t="shared" si="220"/>
        <v>430.75583407997971</v>
      </c>
      <c r="T266" s="2"/>
    </row>
    <row r="267" spans="1:20" x14ac:dyDescent="0.3">
      <c r="A267" t="s">
        <v>151</v>
      </c>
      <c r="B267">
        <v>2013</v>
      </c>
      <c r="C267" t="s">
        <v>83</v>
      </c>
      <c r="D267" s="13">
        <v>3884</v>
      </c>
      <c r="E267" s="30">
        <v>3921</v>
      </c>
      <c r="F267" s="30">
        <v>740603.94434434373</v>
      </c>
      <c r="G267" s="31">
        <v>597</v>
      </c>
      <c r="H267" s="30">
        <v>71509.156180180347</v>
      </c>
      <c r="I267">
        <f t="shared" si="221"/>
        <v>0.86786188579017265</v>
      </c>
      <c r="J267">
        <f t="shared" si="222"/>
        <v>3.2720856103039568E-3</v>
      </c>
      <c r="K267" s="13">
        <f t="shared" si="217"/>
        <v>4475.3664881407803</v>
      </c>
      <c r="L267" s="1">
        <f t="shared" si="245"/>
        <v>87012.297802534755</v>
      </c>
      <c r="M267">
        <f t="shared" si="224"/>
        <v>294.97847006609612</v>
      </c>
      <c r="N267" s="1">
        <f t="shared" si="225"/>
        <v>578.15780132954842</v>
      </c>
      <c r="O267" s="24">
        <f t="shared" si="192"/>
        <v>591.36648814078035</v>
      </c>
      <c r="P267" s="1">
        <f t="shared" si="218"/>
        <v>87012.297802534755</v>
      </c>
      <c r="Q267">
        <f t="shared" si="219"/>
        <v>294.97847006609612</v>
      </c>
      <c r="R267" s="1">
        <f t="shared" si="220"/>
        <v>578.15780132954842</v>
      </c>
      <c r="T267" s="2"/>
    </row>
    <row r="268" spans="1:20" x14ac:dyDescent="0.3">
      <c r="A268" t="s">
        <v>151</v>
      </c>
      <c r="B268">
        <v>2014</v>
      </c>
      <c r="C268" t="s">
        <v>83</v>
      </c>
      <c r="D268" s="13">
        <v>4695</v>
      </c>
      <c r="E268" s="30">
        <v>5580</v>
      </c>
      <c r="F268" s="30">
        <v>939072.82569669676</v>
      </c>
      <c r="G268" s="31">
        <v>1216</v>
      </c>
      <c r="H268" s="30">
        <v>285978.66671071126</v>
      </c>
      <c r="I268">
        <f t="shared" si="221"/>
        <v>0.82107121836374342</v>
      </c>
      <c r="J268">
        <f t="shared" si="222"/>
        <v>4.8253050224374965E-3</v>
      </c>
      <c r="K268" s="13">
        <f t="shared" si="217"/>
        <v>5718.1397849462364</v>
      </c>
      <c r="L268" s="1">
        <f t="shared" si="245"/>
        <v>234030.60206548884</v>
      </c>
      <c r="M268">
        <f t="shared" si="224"/>
        <v>483.76709485607722</v>
      </c>
      <c r="N268" s="1">
        <f t="shared" si="225"/>
        <v>948.18350591791136</v>
      </c>
      <c r="O268" s="24">
        <f t="shared" si="192"/>
        <v>1023.1397849462364</v>
      </c>
      <c r="P268" s="1">
        <f t="shared" si="218"/>
        <v>234030.60206548884</v>
      </c>
      <c r="Q268">
        <f t="shared" si="219"/>
        <v>483.76709485607722</v>
      </c>
      <c r="R268" s="1">
        <f t="shared" si="220"/>
        <v>948.18350591791136</v>
      </c>
      <c r="T268" s="2"/>
    </row>
    <row r="269" spans="1:20" x14ac:dyDescent="0.3">
      <c r="A269" t="s">
        <v>151</v>
      </c>
      <c r="B269">
        <v>2015</v>
      </c>
      <c r="C269" t="s">
        <v>83</v>
      </c>
      <c r="D269" s="13">
        <v>5729</v>
      </c>
      <c r="E269" s="30">
        <v>3233</v>
      </c>
      <c r="F269" s="30">
        <v>480192.66438838851</v>
      </c>
      <c r="G269" s="31">
        <v>1353</v>
      </c>
      <c r="H269" s="30">
        <v>271004.48540940945</v>
      </c>
      <c r="I269">
        <f t="shared" si="221"/>
        <v>0.70497165285651986</v>
      </c>
      <c r="J269">
        <f t="shared" si="222"/>
        <v>8.3913578922520746E-3</v>
      </c>
      <c r="K269" s="13">
        <f t="shared" si="217"/>
        <v>8126.5678935972783</v>
      </c>
      <c r="L269" s="1">
        <f t="shared" si="245"/>
        <v>1115072.9274274483</v>
      </c>
      <c r="M269">
        <f t="shared" si="224"/>
        <v>1055.970135670251</v>
      </c>
      <c r="N269" s="1">
        <f t="shared" si="225"/>
        <v>2069.7014659136921</v>
      </c>
      <c r="O269" s="24">
        <f t="shared" si="192"/>
        <v>2397.5678935972783</v>
      </c>
      <c r="P269" s="1">
        <f t="shared" si="218"/>
        <v>1115072.9274274483</v>
      </c>
      <c r="Q269">
        <f t="shared" si="219"/>
        <v>1055.970135670251</v>
      </c>
      <c r="R269" s="1">
        <f t="shared" si="220"/>
        <v>2069.7014659136921</v>
      </c>
      <c r="T269" s="2"/>
    </row>
    <row r="270" spans="1:20" x14ac:dyDescent="0.3">
      <c r="A270" t="s">
        <v>151</v>
      </c>
      <c r="B270">
        <v>2016</v>
      </c>
      <c r="C270" t="s">
        <v>83</v>
      </c>
      <c r="D270" s="13">
        <v>7499</v>
      </c>
      <c r="E270" s="30">
        <v>4013</v>
      </c>
      <c r="F270" s="30">
        <v>586930.85270870931</v>
      </c>
      <c r="G270" s="31">
        <v>1128</v>
      </c>
      <c r="H270" s="30">
        <v>103064.38007607611</v>
      </c>
      <c r="I270">
        <f t="shared" si="221"/>
        <v>0.78058743435129352</v>
      </c>
      <c r="J270">
        <f t="shared" si="222"/>
        <v>3.4451461771609787E-3</v>
      </c>
      <c r="K270" s="13">
        <f t="shared" si="217"/>
        <v>9606.8674308497375</v>
      </c>
      <c r="L270" s="1">
        <f t="shared" si="245"/>
        <v>521828.91183042602</v>
      </c>
      <c r="M270">
        <f t="shared" si="224"/>
        <v>722.37726419816534</v>
      </c>
      <c r="N270" s="1">
        <f t="shared" si="225"/>
        <v>1415.859437828404</v>
      </c>
      <c r="O270" s="24">
        <f t="shared" si="192"/>
        <v>2107.8674308497375</v>
      </c>
      <c r="P270" s="1">
        <f t="shared" si="218"/>
        <v>521828.91183042602</v>
      </c>
      <c r="Q270">
        <f t="shared" si="219"/>
        <v>722.37726419816534</v>
      </c>
      <c r="R270" s="1">
        <f t="shared" si="220"/>
        <v>1415.859437828404</v>
      </c>
      <c r="T270" s="2"/>
    </row>
    <row r="271" spans="1:20" x14ac:dyDescent="0.3">
      <c r="A271" t="s">
        <v>151</v>
      </c>
      <c r="B271">
        <v>2017</v>
      </c>
      <c r="C271" t="s">
        <v>83</v>
      </c>
      <c r="D271" s="13">
        <v>6324</v>
      </c>
      <c r="E271" s="30">
        <v>4914</v>
      </c>
      <c r="F271" s="30">
        <v>953920.55854254263</v>
      </c>
      <c r="G271" s="31">
        <v>976</v>
      </c>
      <c r="H271" s="30">
        <v>77857.342117117281</v>
      </c>
      <c r="I271">
        <f t="shared" si="221"/>
        <v>0.83429541595925294</v>
      </c>
      <c r="J271">
        <f t="shared" si="222"/>
        <v>2.3171059750475682E-3</v>
      </c>
      <c r="K271" s="13">
        <f t="shared" si="217"/>
        <v>7580.0488400488402</v>
      </c>
      <c r="L271" s="1">
        <f t="shared" si="245"/>
        <v>191271.46761998921</v>
      </c>
      <c r="M271">
        <f t="shared" si="224"/>
        <v>437.3459358676941</v>
      </c>
      <c r="N271" s="1">
        <f t="shared" si="225"/>
        <v>857.19803430068043</v>
      </c>
      <c r="O271" s="24">
        <f t="shared" si="192"/>
        <v>1256.0488400488402</v>
      </c>
      <c r="P271" s="1">
        <f t="shared" si="218"/>
        <v>191271.46761998921</v>
      </c>
      <c r="Q271">
        <f t="shared" si="219"/>
        <v>437.3459358676941</v>
      </c>
      <c r="R271" s="1">
        <f t="shared" si="220"/>
        <v>857.19803430068043</v>
      </c>
      <c r="T271" s="2"/>
    </row>
    <row r="272" spans="1:20" x14ac:dyDescent="0.3">
      <c r="A272" t="s">
        <v>151</v>
      </c>
      <c r="B272">
        <v>2018</v>
      </c>
      <c r="C272" t="s">
        <v>83</v>
      </c>
      <c r="D272" s="13">
        <v>8659</v>
      </c>
      <c r="E272" s="30">
        <v>5631</v>
      </c>
      <c r="F272" s="30">
        <v>802849.63153153332</v>
      </c>
      <c r="G272" s="31">
        <v>1282</v>
      </c>
      <c r="H272" s="30">
        <v>171049.87046946987</v>
      </c>
      <c r="I272">
        <f t="shared" si="221"/>
        <v>0.81455229278171559</v>
      </c>
      <c r="J272">
        <f t="shared" si="222"/>
        <v>2.9525583630634201E-3</v>
      </c>
      <c r="K272" s="13">
        <f t="shared" si="217"/>
        <v>10630.379506304387</v>
      </c>
      <c r="L272" s="1">
        <f t="shared" si="245"/>
        <v>502872.73387700756</v>
      </c>
      <c r="M272">
        <f t="shared" si="224"/>
        <v>709.13520140873527</v>
      </c>
      <c r="N272" s="1">
        <f t="shared" si="225"/>
        <v>1389.9049947611211</v>
      </c>
      <c r="O272" s="24">
        <f t="shared" si="192"/>
        <v>1971.3795063043872</v>
      </c>
      <c r="P272" s="1">
        <f t="shared" si="218"/>
        <v>502872.73387700756</v>
      </c>
      <c r="Q272">
        <f t="shared" si="219"/>
        <v>709.13520140873527</v>
      </c>
      <c r="R272" s="1">
        <f t="shared" si="220"/>
        <v>1389.9049947611211</v>
      </c>
      <c r="T272" s="2"/>
    </row>
    <row r="273" spans="1:20" x14ac:dyDescent="0.3">
      <c r="A273" t="s">
        <v>151</v>
      </c>
      <c r="B273">
        <v>2019</v>
      </c>
      <c r="C273" t="s">
        <v>83</v>
      </c>
      <c r="D273" s="13">
        <v>7908</v>
      </c>
      <c r="E273" s="30">
        <v>5157</v>
      </c>
      <c r="F273" s="30">
        <v>902980.76940040092</v>
      </c>
      <c r="G273" s="55">
        <v>1958</v>
      </c>
      <c r="H273" s="30">
        <v>391534.05715715693</v>
      </c>
      <c r="I273">
        <f t="shared" si="221"/>
        <v>0.72480674631061137</v>
      </c>
      <c r="J273">
        <f t="shared" si="222"/>
        <v>5.4140035605128416E-3</v>
      </c>
      <c r="K273" s="13">
        <f t="shared" si="217"/>
        <v>10910.494473531124</v>
      </c>
      <c r="L273" s="1">
        <f>(D273^2)*J273*(1/(I273^4))</f>
        <v>1226769.4446075337</v>
      </c>
      <c r="M273">
        <f>SQRT(L273)</f>
        <v>1107.5962462050572</v>
      </c>
      <c r="N273" s="1">
        <f>(1.96*M273)</f>
        <v>2170.8886425619121</v>
      </c>
      <c r="O273" s="24">
        <f t="shared" si="192"/>
        <v>3002.4944735311237</v>
      </c>
      <c r="P273" s="1">
        <f>L273</f>
        <v>1226769.4446075337</v>
      </c>
      <c r="Q273">
        <f>SQRT(P273)</f>
        <v>1107.5962462050572</v>
      </c>
      <c r="R273" s="1">
        <f>(1.96*Q273)</f>
        <v>2170.8886425619121</v>
      </c>
      <c r="T273" s="2"/>
    </row>
    <row r="274" spans="1:20" x14ac:dyDescent="0.3">
      <c r="A274" t="s">
        <v>151</v>
      </c>
      <c r="B274">
        <v>2020</v>
      </c>
      <c r="C274" t="s">
        <v>83</v>
      </c>
      <c r="D274" s="13">
        <v>4059</v>
      </c>
      <c r="E274" s="30">
        <v>2605</v>
      </c>
      <c r="F274" s="30">
        <v>215364.23074975031</v>
      </c>
      <c r="G274" s="55">
        <v>587</v>
      </c>
      <c r="H274" s="30">
        <v>34183.881400400423</v>
      </c>
      <c r="I274">
        <f t="shared" ref="I274:I276" si="246">E274/(E274+G274)</f>
        <v>0.81610275689223055</v>
      </c>
      <c r="J274">
        <f t="shared" ref="J274:J275" si="247">((((E274)^2*H274)+((G274)^2*F274))/(E274+G274)^4)</f>
        <v>2.9493479624087921E-3</v>
      </c>
      <c r="K274" s="13">
        <f t="shared" ref="K274:K275" si="248">D274/I274</f>
        <v>4973.6383877159315</v>
      </c>
      <c r="L274" s="1">
        <f t="shared" ref="L274:L275" si="249">(D274^2)*J274*(1/(I274^4))</f>
        <v>109543.02664472036</v>
      </c>
      <c r="M274">
        <f t="shared" ref="M274:M275" si="250">SQRT(L274)</f>
        <v>330.97284880291971</v>
      </c>
      <c r="N274" s="1">
        <f t="shared" ref="N274:N275" si="251">(1.96*M274)</f>
        <v>648.7067836537226</v>
      </c>
      <c r="O274" s="24">
        <f t="shared" ref="O274:O275" si="252">K274-D274</f>
        <v>914.63838771593146</v>
      </c>
      <c r="P274" s="1">
        <f t="shared" ref="P274:P275" si="253">L274</f>
        <v>109543.02664472036</v>
      </c>
      <c r="Q274">
        <f t="shared" ref="Q274:Q275" si="254">SQRT(P274)</f>
        <v>330.97284880291971</v>
      </c>
      <c r="R274" s="1">
        <f t="shared" ref="R274:R275" si="255">(1.96*Q274)</f>
        <v>648.7067836537226</v>
      </c>
      <c r="T274" s="2"/>
    </row>
    <row r="275" spans="1:20" x14ac:dyDescent="0.3">
      <c r="A275" t="s">
        <v>151</v>
      </c>
      <c r="B275">
        <v>2021</v>
      </c>
      <c r="C275" t="s">
        <v>83</v>
      </c>
      <c r="D275" s="13">
        <v>7343</v>
      </c>
      <c r="E275" s="30">
        <v>6733</v>
      </c>
      <c r="F275" s="30">
        <v>1258320.732851845</v>
      </c>
      <c r="G275" s="55">
        <v>1388</v>
      </c>
      <c r="H275" s="30">
        <v>201593.59407006996</v>
      </c>
      <c r="I275">
        <f t="shared" si="246"/>
        <v>0.82908508804334446</v>
      </c>
      <c r="J275">
        <f t="shared" si="247"/>
        <v>2.658499908160208E-3</v>
      </c>
      <c r="K275" s="13">
        <f t="shared" si="248"/>
        <v>8856.750779741571</v>
      </c>
      <c r="L275" s="1">
        <f t="shared" si="249"/>
        <v>303380.23971291271</v>
      </c>
      <c r="M275">
        <f t="shared" si="250"/>
        <v>550.79963663106446</v>
      </c>
      <c r="N275" s="1">
        <f t="shared" si="251"/>
        <v>1079.5672877968864</v>
      </c>
      <c r="O275" s="24">
        <f t="shared" si="252"/>
        <v>1513.750779741571</v>
      </c>
      <c r="P275" s="1">
        <f t="shared" si="253"/>
        <v>303380.23971291271</v>
      </c>
      <c r="Q275">
        <f t="shared" si="254"/>
        <v>550.79963663106446</v>
      </c>
      <c r="R275" s="1">
        <f t="shared" si="255"/>
        <v>1079.5672877968864</v>
      </c>
      <c r="T275" s="2"/>
    </row>
    <row r="276" spans="1:20" s="51" customFormat="1" x14ac:dyDescent="0.3">
      <c r="A276" s="51" t="s">
        <v>151</v>
      </c>
      <c r="B276" s="51">
        <v>2022</v>
      </c>
      <c r="C276" s="51" t="s">
        <v>83</v>
      </c>
      <c r="D276" s="71">
        <v>6780</v>
      </c>
      <c r="E276" s="77">
        <v>7254</v>
      </c>
      <c r="F276" s="77">
        <f>1372^2</f>
        <v>1882384</v>
      </c>
      <c r="G276" s="75">
        <v>2824</v>
      </c>
      <c r="H276" s="72">
        <f>906^2</f>
        <v>820836</v>
      </c>
      <c r="I276" s="51">
        <f t="shared" si="246"/>
        <v>0.71978567176026986</v>
      </c>
      <c r="J276">
        <f t="shared" ref="J276" si="256">((((E276)^2*H276)+((G276)^2*F276))/(E276+G276)^4)</f>
        <v>5.6423658736503039E-3</v>
      </c>
      <c r="K276" s="13">
        <f t="shared" ref="K276" si="257">D276/I276</f>
        <v>9419.4706368899915</v>
      </c>
      <c r="L276" s="1">
        <f t="shared" ref="L276" si="258">(D276^2)*J276*(1/(I276^4))</f>
        <v>966290.79621620791</v>
      </c>
      <c r="M276">
        <f t="shared" ref="M276" si="259">SQRT(L276)</f>
        <v>983.00091363955914</v>
      </c>
      <c r="N276" s="1">
        <f t="shared" ref="N276" si="260">(1.96*M276)</f>
        <v>1926.681790733536</v>
      </c>
      <c r="O276" s="24">
        <f t="shared" ref="O276" si="261">K276-D276</f>
        <v>2639.4706368899915</v>
      </c>
      <c r="P276" s="1">
        <f t="shared" ref="P276" si="262">L276</f>
        <v>966290.79621620791</v>
      </c>
      <c r="Q276">
        <f t="shared" ref="Q276" si="263">SQRT(P276)</f>
        <v>983.00091363955914</v>
      </c>
      <c r="R276" s="1">
        <f t="shared" ref="R276" si="264">(1.96*Q276)</f>
        <v>1926.681790733536</v>
      </c>
      <c r="T276" s="76"/>
    </row>
    <row r="277" spans="1:20" x14ac:dyDescent="0.3">
      <c r="A277" t="s">
        <v>151</v>
      </c>
      <c r="B277">
        <v>1998</v>
      </c>
      <c r="C277" t="s">
        <v>38</v>
      </c>
      <c r="D277" s="13">
        <v>5285</v>
      </c>
      <c r="E277" s="1"/>
      <c r="F277" s="1"/>
      <c r="G277" s="1"/>
      <c r="H277" s="1"/>
      <c r="I277" s="21">
        <f>AVERAGE(I290:I297)</f>
        <v>0.62697215111182891</v>
      </c>
      <c r="J277" s="21">
        <v>4.3242846833756203E-3</v>
      </c>
      <c r="K277" s="13">
        <f t="shared" si="217"/>
        <v>8429.4015142904627</v>
      </c>
      <c r="L277" s="1">
        <f t="shared" si="245"/>
        <v>781648.06612226402</v>
      </c>
      <c r="M277">
        <f t="shared" si="224"/>
        <v>884.1086280103051</v>
      </c>
      <c r="N277" s="1">
        <f t="shared" si="225"/>
        <v>1732.8529109001979</v>
      </c>
      <c r="O277" s="24">
        <f t="shared" si="192"/>
        <v>3144.4015142904627</v>
      </c>
      <c r="P277" s="1">
        <f t="shared" si="218"/>
        <v>781648.06612226402</v>
      </c>
      <c r="Q277">
        <f t="shared" si="219"/>
        <v>884.1086280103051</v>
      </c>
      <c r="R277" s="1">
        <f t="shared" si="220"/>
        <v>1732.8529109001979</v>
      </c>
    </row>
    <row r="278" spans="1:20" x14ac:dyDescent="0.3">
      <c r="A278" t="s">
        <v>151</v>
      </c>
      <c r="B278">
        <v>1999</v>
      </c>
      <c r="C278" t="s">
        <v>38</v>
      </c>
      <c r="D278" s="13">
        <v>6363</v>
      </c>
      <c r="E278" s="1"/>
      <c r="F278" s="1"/>
      <c r="G278" s="1"/>
      <c r="H278" s="1"/>
      <c r="I278" s="21">
        <v>0.62697215111182891</v>
      </c>
      <c r="J278" s="21">
        <v>4.3242846833756203E-3</v>
      </c>
      <c r="K278" s="13">
        <f t="shared" si="217"/>
        <v>10148.776127801366</v>
      </c>
      <c r="L278" s="1">
        <f t="shared" si="245"/>
        <v>1133039.6837394333</v>
      </c>
      <c r="M278">
        <f t="shared" si="224"/>
        <v>1064.4433680283012</v>
      </c>
      <c r="N278" s="1">
        <f t="shared" si="225"/>
        <v>2086.3090013354704</v>
      </c>
      <c r="O278" s="24">
        <f t="shared" si="192"/>
        <v>3785.7761278013659</v>
      </c>
      <c r="P278" s="1">
        <f t="shared" si="218"/>
        <v>1133039.6837394333</v>
      </c>
      <c r="Q278">
        <f t="shared" si="219"/>
        <v>1064.4433680283012</v>
      </c>
      <c r="R278" s="1">
        <f t="shared" si="220"/>
        <v>2086.3090013354704</v>
      </c>
    </row>
    <row r="279" spans="1:20" x14ac:dyDescent="0.3">
      <c r="A279" t="s">
        <v>151</v>
      </c>
      <c r="B279">
        <v>2000</v>
      </c>
      <c r="C279" t="s">
        <v>38</v>
      </c>
      <c r="D279" s="13">
        <v>9746</v>
      </c>
      <c r="E279" s="1"/>
      <c r="F279" s="1"/>
      <c r="G279" s="1"/>
      <c r="H279" s="1"/>
      <c r="I279" s="21">
        <v>0.62697215111182891</v>
      </c>
      <c r="J279" s="21">
        <v>4.3242846833756203E-3</v>
      </c>
      <c r="K279" s="13">
        <f t="shared" si="217"/>
        <v>15544.550077251628</v>
      </c>
      <c r="L279" s="1">
        <f t="shared" si="245"/>
        <v>2658116.9727772144</v>
      </c>
      <c r="M279">
        <f t="shared" si="224"/>
        <v>1630.3732617953517</v>
      </c>
      <c r="N279" s="1">
        <f t="shared" si="225"/>
        <v>3195.5315931188893</v>
      </c>
      <c r="O279" s="24">
        <f t="shared" si="192"/>
        <v>5798.550077251628</v>
      </c>
      <c r="P279" s="1">
        <f t="shared" si="218"/>
        <v>2658116.9727772144</v>
      </c>
      <c r="Q279">
        <f t="shared" si="219"/>
        <v>1630.3732617953517</v>
      </c>
      <c r="R279" s="1">
        <f t="shared" si="220"/>
        <v>3195.5315931188893</v>
      </c>
    </row>
    <row r="280" spans="1:20" x14ac:dyDescent="0.3">
      <c r="A280" t="s">
        <v>151</v>
      </c>
      <c r="B280">
        <v>2001</v>
      </c>
      <c r="C280" t="s">
        <v>38</v>
      </c>
      <c r="D280" s="13">
        <v>7242</v>
      </c>
      <c r="E280" s="1"/>
      <c r="F280" s="1"/>
      <c r="G280" s="1"/>
      <c r="H280" s="1"/>
      <c r="I280" s="21">
        <v>0.62697215111182891</v>
      </c>
      <c r="J280" s="21">
        <v>4.3242846833756203E-3</v>
      </c>
      <c r="K280" s="13">
        <f t="shared" si="217"/>
        <v>11550.752273697548</v>
      </c>
      <c r="L280" s="1">
        <f t="shared" si="245"/>
        <v>1467703.4510787677</v>
      </c>
      <c r="M280">
        <f t="shared" si="224"/>
        <v>1211.4881142952941</v>
      </c>
      <c r="N280" s="1">
        <f t="shared" si="225"/>
        <v>2374.5167040187762</v>
      </c>
      <c r="O280" s="24">
        <f t="shared" si="192"/>
        <v>4308.7522736975479</v>
      </c>
      <c r="P280" s="1">
        <f t="shared" si="218"/>
        <v>1467703.4510787677</v>
      </c>
      <c r="Q280">
        <f t="shared" si="219"/>
        <v>1211.4881142952941</v>
      </c>
      <c r="R280" s="1">
        <f t="shared" si="220"/>
        <v>2374.5167040187762</v>
      </c>
    </row>
    <row r="281" spans="1:20" x14ac:dyDescent="0.3">
      <c r="A281" t="s">
        <v>151</v>
      </c>
      <c r="B281">
        <v>2002</v>
      </c>
      <c r="C281" t="s">
        <v>38</v>
      </c>
      <c r="D281" s="13">
        <v>4958</v>
      </c>
      <c r="E281" s="1"/>
      <c r="F281" s="1"/>
      <c r="G281" s="1"/>
      <c r="H281" s="1"/>
      <c r="I281" s="21">
        <v>0.62697215111182891</v>
      </c>
      <c r="J281" s="21">
        <v>4.3242846833756203E-3</v>
      </c>
      <c r="K281" s="13">
        <f t="shared" si="217"/>
        <v>7907.8472484109971</v>
      </c>
      <c r="L281" s="1">
        <f t="shared" si="245"/>
        <v>687914.27130295534</v>
      </c>
      <c r="M281">
        <f t="shared" si="224"/>
        <v>829.40597496217458</v>
      </c>
      <c r="N281" s="1">
        <f t="shared" si="225"/>
        <v>1625.6357109258622</v>
      </c>
      <c r="O281" s="24">
        <f t="shared" ref="O281:O356" si="265">K281-D281</f>
        <v>2949.8472484109971</v>
      </c>
      <c r="P281" s="1">
        <f t="shared" si="218"/>
        <v>687914.27130295534</v>
      </c>
      <c r="Q281">
        <f t="shared" si="219"/>
        <v>829.40597496217458</v>
      </c>
      <c r="R281" s="1">
        <f t="shared" si="220"/>
        <v>1625.6357109258622</v>
      </c>
    </row>
    <row r="282" spans="1:20" x14ac:dyDescent="0.3">
      <c r="A282" t="s">
        <v>151</v>
      </c>
      <c r="B282">
        <v>2003</v>
      </c>
      <c r="C282" t="s">
        <v>38</v>
      </c>
      <c r="D282" s="13">
        <v>6069</v>
      </c>
      <c r="E282" s="1"/>
      <c r="F282" s="1"/>
      <c r="G282" s="1"/>
      <c r="H282" s="1"/>
      <c r="I282" s="21">
        <v>0.62697215111182891</v>
      </c>
      <c r="J282" s="21">
        <v>4.3242846833756203E-3</v>
      </c>
      <c r="K282" s="13">
        <f t="shared" si="217"/>
        <v>9679.8557786620295</v>
      </c>
      <c r="L282" s="1">
        <f t="shared" si="245"/>
        <v>1030755.2356043656</v>
      </c>
      <c r="M282">
        <f t="shared" si="224"/>
        <v>1015.2611662052112</v>
      </c>
      <c r="N282" s="1">
        <f t="shared" si="225"/>
        <v>1989.9118857622141</v>
      </c>
      <c r="O282" s="24">
        <f t="shared" si="265"/>
        <v>3610.8557786620295</v>
      </c>
      <c r="P282" s="1">
        <f t="shared" si="218"/>
        <v>1030755.2356043656</v>
      </c>
      <c r="Q282">
        <f t="shared" si="219"/>
        <v>1015.2611662052112</v>
      </c>
      <c r="R282" s="1">
        <f t="shared" si="220"/>
        <v>1989.9118857622141</v>
      </c>
    </row>
    <row r="283" spans="1:20" x14ac:dyDescent="0.3">
      <c r="A283" t="s">
        <v>151</v>
      </c>
      <c r="B283">
        <v>2004</v>
      </c>
      <c r="C283" t="s">
        <v>38</v>
      </c>
      <c r="D283" s="13">
        <v>6052</v>
      </c>
      <c r="E283" s="1"/>
      <c r="F283" s="1"/>
      <c r="G283" s="1"/>
      <c r="H283" s="1"/>
      <c r="I283" s="21">
        <v>0.62697215111182891</v>
      </c>
      <c r="J283" s="21">
        <v>4.3242846833756203E-3</v>
      </c>
      <c r="K283" s="13">
        <f t="shared" si="217"/>
        <v>9652.7413367049921</v>
      </c>
      <c r="L283" s="1">
        <f t="shared" si="245"/>
        <v>1024988.7840591522</v>
      </c>
      <c r="M283">
        <f t="shared" si="224"/>
        <v>1012.4172973923115</v>
      </c>
      <c r="N283" s="1">
        <f t="shared" si="225"/>
        <v>1984.3379028889306</v>
      </c>
      <c r="O283" s="24">
        <f t="shared" si="265"/>
        <v>3600.7413367049921</v>
      </c>
      <c r="P283" s="1">
        <f t="shared" si="218"/>
        <v>1024988.7840591522</v>
      </c>
      <c r="Q283">
        <f t="shared" si="219"/>
        <v>1012.4172973923115</v>
      </c>
      <c r="R283" s="1">
        <f t="shared" si="220"/>
        <v>1984.3379028889306</v>
      </c>
    </row>
    <row r="284" spans="1:20" x14ac:dyDescent="0.3">
      <c r="A284" t="s">
        <v>151</v>
      </c>
      <c r="B284">
        <v>2005</v>
      </c>
      <c r="C284" t="s">
        <v>38</v>
      </c>
      <c r="D284" s="13">
        <v>7678</v>
      </c>
      <c r="E284" s="1"/>
      <c r="F284" s="1"/>
      <c r="G284" s="1"/>
      <c r="H284" s="1"/>
      <c r="I284" s="21">
        <v>0.62697215111182891</v>
      </c>
      <c r="J284" s="21">
        <v>4.3242846833756203E-3</v>
      </c>
      <c r="K284" s="13">
        <f t="shared" ref="K284:K359" si="266">D284/I284</f>
        <v>12246.157961536836</v>
      </c>
      <c r="L284" s="1">
        <f t="shared" si="245"/>
        <v>1649747.5421593867</v>
      </c>
      <c r="M284">
        <f t="shared" si="224"/>
        <v>1284.4249850261349</v>
      </c>
      <c r="N284" s="1">
        <f t="shared" si="225"/>
        <v>2517.4729706512244</v>
      </c>
      <c r="O284" s="24">
        <f t="shared" si="265"/>
        <v>4568.1579615368355</v>
      </c>
      <c r="P284" s="1">
        <f t="shared" ref="P284:P359" si="267">L284</f>
        <v>1649747.5421593867</v>
      </c>
      <c r="Q284">
        <f t="shared" ref="Q284:Q359" si="268">SQRT(P284)</f>
        <v>1284.4249850261349</v>
      </c>
      <c r="R284" s="1">
        <f t="shared" ref="R284:R359" si="269">(1.96*Q284)</f>
        <v>2517.4729706512244</v>
      </c>
    </row>
    <row r="285" spans="1:20" x14ac:dyDescent="0.3">
      <c r="A285" t="s">
        <v>151</v>
      </c>
      <c r="B285">
        <v>2006</v>
      </c>
      <c r="C285" t="s">
        <v>38</v>
      </c>
      <c r="D285" s="13">
        <v>6437</v>
      </c>
      <c r="E285" s="1"/>
      <c r="F285" s="1"/>
      <c r="G285" s="1"/>
      <c r="H285" s="1"/>
      <c r="I285" s="21">
        <v>0.62697215111182891</v>
      </c>
      <c r="J285" s="21">
        <v>4.3242846833756203E-3</v>
      </c>
      <c r="K285" s="13">
        <f t="shared" si="266"/>
        <v>10266.803698673171</v>
      </c>
      <c r="L285" s="1">
        <f t="shared" si="245"/>
        <v>1159546.8293526676</v>
      </c>
      <c r="M285">
        <f t="shared" si="224"/>
        <v>1076.8225616844529</v>
      </c>
      <c r="N285" s="1">
        <f t="shared" si="225"/>
        <v>2110.5722209015275</v>
      </c>
      <c r="O285" s="24">
        <f t="shared" si="265"/>
        <v>3829.8036986731713</v>
      </c>
      <c r="P285" s="1">
        <f t="shared" si="267"/>
        <v>1159546.8293526676</v>
      </c>
      <c r="Q285">
        <f t="shared" si="268"/>
        <v>1076.8225616844529</v>
      </c>
      <c r="R285" s="1">
        <f t="shared" si="269"/>
        <v>2110.5722209015275</v>
      </c>
    </row>
    <row r="286" spans="1:20" x14ac:dyDescent="0.3">
      <c r="A286" t="s">
        <v>151</v>
      </c>
      <c r="B286">
        <v>2007</v>
      </c>
      <c r="C286" t="s">
        <v>38</v>
      </c>
      <c r="D286" s="13">
        <v>7499</v>
      </c>
      <c r="E286" s="1"/>
      <c r="F286" s="1"/>
      <c r="G286" s="1"/>
      <c r="H286" s="1"/>
      <c r="I286" s="21">
        <v>0.62697215111182891</v>
      </c>
      <c r="J286" s="21">
        <v>4.3242846833756203E-3</v>
      </c>
      <c r="K286" s="13">
        <f t="shared" si="266"/>
        <v>11960.658837400981</v>
      </c>
      <c r="L286" s="1">
        <f t="shared" si="245"/>
        <v>1573721.8750711286</v>
      </c>
      <c r="M286">
        <f t="shared" si="224"/>
        <v>1254.4807192903081</v>
      </c>
      <c r="N286" s="1">
        <f t="shared" si="225"/>
        <v>2458.7822098090037</v>
      </c>
      <c r="O286" s="24">
        <f t="shared" si="265"/>
        <v>4461.6588374009807</v>
      </c>
      <c r="P286" s="1">
        <f t="shared" si="267"/>
        <v>1573721.8750711286</v>
      </c>
      <c r="Q286">
        <f t="shared" si="268"/>
        <v>1254.4807192903081</v>
      </c>
      <c r="R286" s="1">
        <f t="shared" si="269"/>
        <v>2458.7822098090037</v>
      </c>
    </row>
    <row r="287" spans="1:20" x14ac:dyDescent="0.3">
      <c r="A287" t="s">
        <v>151</v>
      </c>
      <c r="B287">
        <v>2008</v>
      </c>
      <c r="C287" t="s">
        <v>38</v>
      </c>
      <c r="D287" s="13">
        <v>10923</v>
      </c>
      <c r="E287" s="1"/>
      <c r="F287" s="1"/>
      <c r="G287" s="1"/>
      <c r="H287" s="1"/>
      <c r="I287" s="21">
        <v>0.62697215111182891</v>
      </c>
      <c r="J287" s="21">
        <v>4.3242846833756203E-3</v>
      </c>
      <c r="K287" s="13">
        <f t="shared" si="266"/>
        <v>17421.826440982921</v>
      </c>
      <c r="L287" s="1">
        <f t="shared" si="245"/>
        <v>3338913.2975072474</v>
      </c>
      <c r="M287">
        <f t="shared" si="224"/>
        <v>1827.2693554884697</v>
      </c>
      <c r="N287" s="1">
        <f t="shared" si="225"/>
        <v>3581.4479367574004</v>
      </c>
      <c r="O287" s="24">
        <f t="shared" si="265"/>
        <v>6498.8264409829208</v>
      </c>
      <c r="P287" s="1">
        <f t="shared" si="267"/>
        <v>3338913.2975072474</v>
      </c>
      <c r="Q287">
        <f t="shared" si="268"/>
        <v>1827.2693554884697</v>
      </c>
      <c r="R287" s="1">
        <f t="shared" si="269"/>
        <v>3581.4479367574004</v>
      </c>
    </row>
    <row r="288" spans="1:20" x14ac:dyDescent="0.3">
      <c r="A288" t="s">
        <v>151</v>
      </c>
      <c r="B288">
        <v>2009</v>
      </c>
      <c r="C288" t="s">
        <v>38</v>
      </c>
      <c r="D288" s="13">
        <v>9325</v>
      </c>
      <c r="E288" s="1"/>
      <c r="F288" s="1"/>
      <c r="G288" s="1"/>
      <c r="H288" s="1"/>
      <c r="I288" s="21">
        <v>0.62697215111182891</v>
      </c>
      <c r="J288" s="21">
        <v>4.3242846833756203E-3</v>
      </c>
      <c r="K288" s="13">
        <f t="shared" si="266"/>
        <v>14873.068897021491</v>
      </c>
      <c r="L288" s="1">
        <f t="shared" si="245"/>
        <v>2433430.5466266801</v>
      </c>
      <c r="M288">
        <f t="shared" si="224"/>
        <v>1559.9456870758931</v>
      </c>
      <c r="N288" s="1">
        <f t="shared" si="225"/>
        <v>3057.4935466687507</v>
      </c>
      <c r="O288" s="24">
        <f t="shared" si="265"/>
        <v>5548.0688970214906</v>
      </c>
      <c r="P288" s="1">
        <f t="shared" si="267"/>
        <v>2433430.5466266801</v>
      </c>
      <c r="Q288">
        <f t="shared" si="268"/>
        <v>1559.9456870758931</v>
      </c>
      <c r="R288" s="1">
        <f t="shared" si="269"/>
        <v>3057.4935466687507</v>
      </c>
    </row>
    <row r="289" spans="1:20" x14ac:dyDescent="0.3">
      <c r="A289" t="s">
        <v>151</v>
      </c>
      <c r="B289">
        <v>2010</v>
      </c>
      <c r="C289" t="s">
        <v>38</v>
      </c>
      <c r="D289" s="13">
        <v>11942</v>
      </c>
      <c r="E289" s="1"/>
      <c r="F289" s="1"/>
      <c r="G289" s="1"/>
      <c r="H289" s="1"/>
      <c r="I289" s="21">
        <v>0.62697215111182891</v>
      </c>
      <c r="J289" s="21">
        <v>4.3242846833756203E-3</v>
      </c>
      <c r="K289" s="13">
        <f t="shared" si="266"/>
        <v>19047.097991231167</v>
      </c>
      <c r="L289" s="1">
        <f t="shared" si="245"/>
        <v>3990941.9253061144</v>
      </c>
      <c r="M289">
        <f t="shared" si="224"/>
        <v>1997.7341978616962</v>
      </c>
      <c r="N289" s="1">
        <f t="shared" si="225"/>
        <v>3915.5590278089244</v>
      </c>
      <c r="O289" s="24">
        <f t="shared" si="265"/>
        <v>7105.0979912311668</v>
      </c>
      <c r="P289" s="1">
        <f t="shared" si="267"/>
        <v>3990941.9253061144</v>
      </c>
      <c r="Q289">
        <f t="shared" si="268"/>
        <v>1997.7341978616962</v>
      </c>
      <c r="R289" s="1">
        <f t="shared" si="269"/>
        <v>3915.5590278089244</v>
      </c>
    </row>
    <row r="290" spans="1:20" x14ac:dyDescent="0.3">
      <c r="A290" t="s">
        <v>151</v>
      </c>
      <c r="B290">
        <v>2011</v>
      </c>
      <c r="C290" t="s">
        <v>38</v>
      </c>
      <c r="D290" s="13">
        <v>13281</v>
      </c>
      <c r="E290" s="1">
        <v>7431</v>
      </c>
      <c r="F290" s="1">
        <v>1243063.7045435496</v>
      </c>
      <c r="G290" s="11">
        <v>4394</v>
      </c>
      <c r="H290" s="1">
        <v>468107.51868268248</v>
      </c>
      <c r="I290">
        <f t="shared" ref="I290:I298" si="270">E290/(E290+G290)</f>
        <v>0.62841437632135311</v>
      </c>
      <c r="J290">
        <f t="shared" ref="J290:J298" si="271">((((E290)^2*H290)+((G290)^2*F290))/(E290+G290)^4)</f>
        <v>2.5494768065845836E-3</v>
      </c>
      <c r="K290" s="13">
        <f t="shared" si="266"/>
        <v>21134.144125958821</v>
      </c>
      <c r="L290" s="1">
        <f t="shared" ref="L290:L315" si="272">(D290^2)*J290*(1/(I290^4))</f>
        <v>2883554.5471730651</v>
      </c>
      <c r="M290">
        <f t="shared" ref="M290:M359" si="273">SQRT(L290)</f>
        <v>1698.103220411841</v>
      </c>
      <c r="N290" s="1">
        <f t="shared" ref="N290:N359" si="274">(1.96*M290)</f>
        <v>3328.2823120072085</v>
      </c>
      <c r="O290" s="24">
        <f t="shared" si="265"/>
        <v>7853.144125958821</v>
      </c>
      <c r="P290" s="1">
        <f t="shared" si="267"/>
        <v>2883554.5471730651</v>
      </c>
      <c r="Q290">
        <f t="shared" si="268"/>
        <v>1698.103220411841</v>
      </c>
      <c r="R290" s="1">
        <f t="shared" si="269"/>
        <v>3328.2823120072085</v>
      </c>
      <c r="T290" s="2"/>
    </row>
    <row r="291" spans="1:20" x14ac:dyDescent="0.3">
      <c r="A291" t="s">
        <v>151</v>
      </c>
      <c r="B291">
        <v>2012</v>
      </c>
      <c r="C291" t="s">
        <v>38</v>
      </c>
      <c r="D291" s="13">
        <v>15243</v>
      </c>
      <c r="E291" s="1">
        <v>8800</v>
      </c>
      <c r="F291" s="1">
        <v>2020123.1363003007</v>
      </c>
      <c r="G291" s="11">
        <v>8711</v>
      </c>
      <c r="H291" s="1">
        <v>1725600.8687727768</v>
      </c>
      <c r="I291">
        <f t="shared" si="270"/>
        <v>0.5025412597795671</v>
      </c>
      <c r="J291">
        <f t="shared" si="271"/>
        <v>3.0515315092232574E-3</v>
      </c>
      <c r="K291" s="13">
        <f t="shared" si="266"/>
        <v>30331.837840909095</v>
      </c>
      <c r="L291" s="1">
        <f t="shared" si="272"/>
        <v>11116596.990618348</v>
      </c>
      <c r="M291">
        <f t="shared" si="273"/>
        <v>3334.1561137142858</v>
      </c>
      <c r="N291" s="1">
        <f t="shared" si="274"/>
        <v>6534.94598288</v>
      </c>
      <c r="O291" s="24">
        <f t="shared" si="265"/>
        <v>15088.837840909095</v>
      </c>
      <c r="P291" s="1">
        <f t="shared" si="267"/>
        <v>11116596.990618348</v>
      </c>
      <c r="Q291">
        <f t="shared" si="268"/>
        <v>3334.1561137142858</v>
      </c>
      <c r="R291" s="1">
        <f t="shared" si="269"/>
        <v>6534.94598288</v>
      </c>
      <c r="T291" s="2"/>
    </row>
    <row r="292" spans="1:20" x14ac:dyDescent="0.3">
      <c r="A292" t="s">
        <v>151</v>
      </c>
      <c r="B292">
        <v>2013</v>
      </c>
      <c r="C292" t="s">
        <v>38</v>
      </c>
      <c r="D292" s="13">
        <v>14770</v>
      </c>
      <c r="E292" s="1">
        <v>14137</v>
      </c>
      <c r="F292" s="1">
        <v>3387054.5871911976</v>
      </c>
      <c r="G292" s="11">
        <v>7822</v>
      </c>
      <c r="H292" s="1">
        <v>1541775.9123433516</v>
      </c>
      <c r="I292">
        <f t="shared" si="270"/>
        <v>0.64379070085158707</v>
      </c>
      <c r="J292">
        <f t="shared" si="271"/>
        <v>2.2164790446277168E-3</v>
      </c>
      <c r="K292" s="13">
        <f t="shared" si="266"/>
        <v>22942.238805970148</v>
      </c>
      <c r="L292" s="1">
        <f t="shared" si="272"/>
        <v>2814788.8573717903</v>
      </c>
      <c r="M292">
        <f t="shared" si="273"/>
        <v>1677.7332497664192</v>
      </c>
      <c r="N292" s="1">
        <f t="shared" si="274"/>
        <v>3288.3571695421815</v>
      </c>
      <c r="O292" s="24">
        <f t="shared" si="265"/>
        <v>8172.238805970148</v>
      </c>
      <c r="P292" s="1">
        <f t="shared" si="267"/>
        <v>2814788.8573717903</v>
      </c>
      <c r="Q292">
        <f t="shared" si="268"/>
        <v>1677.7332497664192</v>
      </c>
      <c r="R292" s="1">
        <f t="shared" si="269"/>
        <v>3288.3571695421815</v>
      </c>
      <c r="T292" s="2"/>
    </row>
    <row r="293" spans="1:20" x14ac:dyDescent="0.3">
      <c r="A293" t="s">
        <v>151</v>
      </c>
      <c r="B293">
        <v>2014</v>
      </c>
      <c r="C293" t="s">
        <v>38</v>
      </c>
      <c r="D293" s="13">
        <v>19857</v>
      </c>
      <c r="E293" s="1">
        <v>21622</v>
      </c>
      <c r="F293" s="1">
        <v>8140018.4386776667</v>
      </c>
      <c r="G293" s="11">
        <v>13523</v>
      </c>
      <c r="H293" s="1">
        <v>8113704.7463453691</v>
      </c>
      <c r="I293">
        <f t="shared" si="270"/>
        <v>0.61522264902546597</v>
      </c>
      <c r="J293">
        <f t="shared" si="271"/>
        <v>3.4620205725558852E-3</v>
      </c>
      <c r="K293" s="13">
        <f t="shared" si="266"/>
        <v>32276.119924151324</v>
      </c>
      <c r="L293" s="1">
        <f t="shared" si="272"/>
        <v>9528568.3691134229</v>
      </c>
      <c r="M293">
        <f t="shared" si="273"/>
        <v>3086.8379240111431</v>
      </c>
      <c r="N293" s="1">
        <f t="shared" si="274"/>
        <v>6050.2023310618406</v>
      </c>
      <c r="O293" s="24">
        <f t="shared" si="265"/>
        <v>12419.119924151324</v>
      </c>
      <c r="P293" s="1">
        <f t="shared" si="267"/>
        <v>9528568.3691134229</v>
      </c>
      <c r="Q293">
        <f t="shared" si="268"/>
        <v>3086.8379240111431</v>
      </c>
      <c r="R293" s="1">
        <f t="shared" si="269"/>
        <v>6050.2023310618406</v>
      </c>
      <c r="T293" s="2"/>
    </row>
    <row r="294" spans="1:20" x14ac:dyDescent="0.3">
      <c r="A294" t="s">
        <v>151</v>
      </c>
      <c r="B294">
        <v>2015</v>
      </c>
      <c r="C294" t="s">
        <v>38</v>
      </c>
      <c r="D294" s="13">
        <v>22095</v>
      </c>
      <c r="E294" s="1">
        <v>20210</v>
      </c>
      <c r="F294" s="1">
        <v>11318987.083259251</v>
      </c>
      <c r="G294" s="11">
        <v>8844</v>
      </c>
      <c r="H294" s="1">
        <v>1433728.7390580589</v>
      </c>
      <c r="I294">
        <f t="shared" si="270"/>
        <v>0.69560129414194261</v>
      </c>
      <c r="J294">
        <f t="shared" si="271"/>
        <v>2.0642752709773542E-3</v>
      </c>
      <c r="K294" s="13">
        <f t="shared" si="266"/>
        <v>31763.885700148439</v>
      </c>
      <c r="L294" s="1">
        <f t="shared" si="272"/>
        <v>4304414.6066964231</v>
      </c>
      <c r="M294">
        <f t="shared" si="273"/>
        <v>2074.708318462242</v>
      </c>
      <c r="N294" s="1">
        <f t="shared" si="274"/>
        <v>4066.4283041859944</v>
      </c>
      <c r="O294" s="24">
        <f t="shared" si="265"/>
        <v>9668.8857001484394</v>
      </c>
      <c r="P294" s="1">
        <f t="shared" si="267"/>
        <v>4304414.6066964231</v>
      </c>
      <c r="Q294">
        <f t="shared" si="268"/>
        <v>2074.708318462242</v>
      </c>
      <c r="R294" s="1">
        <f t="shared" si="269"/>
        <v>4066.4283041859944</v>
      </c>
      <c r="T294" s="2"/>
    </row>
    <row r="295" spans="1:20" x14ac:dyDescent="0.3">
      <c r="A295" t="s">
        <v>151</v>
      </c>
      <c r="B295">
        <v>2016</v>
      </c>
      <c r="C295" t="s">
        <v>38</v>
      </c>
      <c r="D295" s="13">
        <v>25877</v>
      </c>
      <c r="E295" s="1">
        <v>22747</v>
      </c>
      <c r="F295" s="1">
        <v>6879956.9099939968</v>
      </c>
      <c r="G295" s="11">
        <v>12473</v>
      </c>
      <c r="H295" s="1">
        <v>3156943.8834674614</v>
      </c>
      <c r="I295">
        <f t="shared" si="270"/>
        <v>0.64585462805224303</v>
      </c>
      <c r="J295">
        <f t="shared" si="271"/>
        <v>1.7572091310659658E-3</v>
      </c>
      <c r="K295" s="13">
        <f t="shared" si="266"/>
        <v>40066.291818701371</v>
      </c>
      <c r="L295" s="1">
        <f t="shared" si="272"/>
        <v>6762576.6255513411</v>
      </c>
      <c r="M295">
        <f t="shared" si="273"/>
        <v>2600.4954577063468</v>
      </c>
      <c r="N295" s="1">
        <f t="shared" si="274"/>
        <v>5096.9710971044397</v>
      </c>
      <c r="O295" s="24">
        <f t="shared" si="265"/>
        <v>14189.291818701371</v>
      </c>
      <c r="P295" s="1">
        <f t="shared" si="267"/>
        <v>6762576.6255513411</v>
      </c>
      <c r="Q295">
        <f t="shared" si="268"/>
        <v>2600.4954577063468</v>
      </c>
      <c r="R295" s="1">
        <f t="shared" si="269"/>
        <v>5096.9710971044397</v>
      </c>
      <c r="T295" s="2"/>
    </row>
    <row r="296" spans="1:20" x14ac:dyDescent="0.3">
      <c r="A296" t="s">
        <v>151</v>
      </c>
      <c r="B296">
        <v>2017</v>
      </c>
      <c r="C296" t="s">
        <v>38</v>
      </c>
      <c r="D296" s="13">
        <v>24305</v>
      </c>
      <c r="E296" s="1">
        <v>17214</v>
      </c>
      <c r="F296" s="1">
        <v>5170433.2956546396</v>
      </c>
      <c r="G296" s="11">
        <v>11903</v>
      </c>
      <c r="H296" s="1">
        <v>4821544.488424425</v>
      </c>
      <c r="I296">
        <f t="shared" si="270"/>
        <v>0.59120101658824742</v>
      </c>
      <c r="J296">
        <f t="shared" si="271"/>
        <v>3.0069425522097405E-3</v>
      </c>
      <c r="K296" s="13">
        <f t="shared" si="266"/>
        <v>41111.228360636691</v>
      </c>
      <c r="L296" s="1">
        <f t="shared" si="272"/>
        <v>14540377.874931889</v>
      </c>
      <c r="M296">
        <f t="shared" si="273"/>
        <v>3813.1847417784375</v>
      </c>
      <c r="N296" s="1">
        <f t="shared" si="274"/>
        <v>7473.8420938857371</v>
      </c>
      <c r="O296" s="24">
        <f t="shared" si="265"/>
        <v>16806.228360636691</v>
      </c>
      <c r="P296" s="1">
        <f t="shared" si="267"/>
        <v>14540377.874931889</v>
      </c>
      <c r="Q296">
        <f t="shared" si="268"/>
        <v>3813.1847417784375</v>
      </c>
      <c r="R296" s="1">
        <f t="shared" si="269"/>
        <v>7473.8420938857371</v>
      </c>
      <c r="T296" s="2"/>
    </row>
    <row r="297" spans="1:20" x14ac:dyDescent="0.3">
      <c r="A297" t="s">
        <v>151</v>
      </c>
      <c r="B297">
        <v>2018</v>
      </c>
      <c r="C297" t="s">
        <v>38</v>
      </c>
      <c r="D297" s="13">
        <v>34673</v>
      </c>
      <c r="E297" s="1">
        <v>22185</v>
      </c>
      <c r="F297" s="1">
        <v>7991398.7571571618</v>
      </c>
      <c r="G297" s="11">
        <v>9821</v>
      </c>
      <c r="H297" s="1">
        <v>1790082.5535285415</v>
      </c>
      <c r="I297">
        <f t="shared" si="270"/>
        <v>0.69315128413422489</v>
      </c>
      <c r="J297">
        <f t="shared" si="271"/>
        <v>1.5741166402159367E-3</v>
      </c>
      <c r="K297" s="13">
        <f t="shared" si="266"/>
        <v>50022.26901059274</v>
      </c>
      <c r="L297" s="1">
        <f t="shared" si="272"/>
        <v>8197994.4604236083</v>
      </c>
      <c r="M297">
        <f t="shared" si="273"/>
        <v>2863.2140088410451</v>
      </c>
      <c r="N297" s="1">
        <f t="shared" si="274"/>
        <v>5611.8994573284481</v>
      </c>
      <c r="O297" s="24">
        <f t="shared" si="265"/>
        <v>15349.26901059274</v>
      </c>
      <c r="P297" s="1">
        <f t="shared" si="267"/>
        <v>8197994.4604236083</v>
      </c>
      <c r="Q297">
        <f t="shared" si="268"/>
        <v>2863.2140088410451</v>
      </c>
      <c r="R297" s="1">
        <f t="shared" si="269"/>
        <v>5611.8994573284481</v>
      </c>
      <c r="T297" s="2"/>
    </row>
    <row r="298" spans="1:20" x14ac:dyDescent="0.3">
      <c r="A298" t="s">
        <v>151</v>
      </c>
      <c r="B298">
        <v>2019</v>
      </c>
      <c r="C298" t="s">
        <v>38</v>
      </c>
      <c r="D298" s="13">
        <v>36293</v>
      </c>
      <c r="E298" s="1">
        <v>15254</v>
      </c>
      <c r="F298" s="1">
        <v>4627249.9689599667</v>
      </c>
      <c r="G298" s="54">
        <v>9744</v>
      </c>
      <c r="H298" s="1">
        <v>2373693.445509505</v>
      </c>
      <c r="I298">
        <f t="shared" si="270"/>
        <v>0.61020881670533644</v>
      </c>
      <c r="J298">
        <f t="shared" si="271"/>
        <v>2.5394581329572308E-3</v>
      </c>
      <c r="K298" s="13">
        <f t="shared" si="266"/>
        <v>59476.361216730038</v>
      </c>
      <c r="L298" s="1">
        <f>(D298^2)*J298*(1/(I298^4))</f>
        <v>24125308.819017805</v>
      </c>
      <c r="M298">
        <f>SQRT(L298)</f>
        <v>4911.7521129448096</v>
      </c>
      <c r="N298" s="1">
        <f>(1.96*M298)</f>
        <v>9627.034141371827</v>
      </c>
      <c r="O298" s="24">
        <f t="shared" si="265"/>
        <v>23183.361216730038</v>
      </c>
      <c r="P298" s="1">
        <f>L298</f>
        <v>24125308.819017805</v>
      </c>
      <c r="Q298">
        <f>SQRT(P298)</f>
        <v>4911.7521129448096</v>
      </c>
      <c r="R298" s="1">
        <f>(1.96*Q298)</f>
        <v>9627.034141371827</v>
      </c>
      <c r="T298" s="2"/>
    </row>
    <row r="299" spans="1:20" x14ac:dyDescent="0.3">
      <c r="A299" t="s">
        <v>151</v>
      </c>
      <c r="B299">
        <v>2020</v>
      </c>
      <c r="C299" t="s">
        <v>38</v>
      </c>
      <c r="D299" s="13">
        <v>17585</v>
      </c>
      <c r="E299" s="1">
        <v>11282</v>
      </c>
      <c r="F299" s="1">
        <v>3378542.6395355295</v>
      </c>
      <c r="G299" s="54">
        <v>3117</v>
      </c>
      <c r="H299" s="1">
        <v>348292.54779179231</v>
      </c>
      <c r="I299">
        <f t="shared" ref="I299:I301" si="275">E299/(E299+G299)</f>
        <v>0.78352663379401344</v>
      </c>
      <c r="J299">
        <f t="shared" ref="J299:J300" si="276">((((E299)^2*H299)+((G299)^2*F299))/(E299+G299)^4)</f>
        <v>1.7949184651584506E-3</v>
      </c>
      <c r="K299" s="13">
        <f t="shared" ref="K299:K300" si="277">D299/I299</f>
        <v>22443.397890444958</v>
      </c>
      <c r="L299" s="1">
        <f t="shared" ref="L299:L300" si="278">(D299^2)*J299*(1/(I299^4))</f>
        <v>1472700.4379098967</v>
      </c>
      <c r="M299">
        <f t="shared" ref="M299:M300" si="279">SQRT(L299)</f>
        <v>1213.5486961428028</v>
      </c>
      <c r="N299" s="1">
        <f t="shared" ref="N299:N300" si="280">(1.96*M299)</f>
        <v>2378.5554444398936</v>
      </c>
      <c r="O299" s="24">
        <f t="shared" ref="O299:O300" si="281">K299-D299</f>
        <v>4858.3978904449577</v>
      </c>
      <c r="P299" s="1">
        <f t="shared" ref="P299:P300" si="282">L299</f>
        <v>1472700.4379098967</v>
      </c>
      <c r="Q299">
        <f t="shared" ref="Q299:Q300" si="283">SQRT(P299)</f>
        <v>1213.5486961428028</v>
      </c>
      <c r="R299" s="1">
        <f t="shared" ref="R299:R300" si="284">(1.96*Q299)</f>
        <v>2378.5554444398936</v>
      </c>
      <c r="T299" s="2"/>
    </row>
    <row r="300" spans="1:20" x14ac:dyDescent="0.3">
      <c r="A300" t="s">
        <v>151</v>
      </c>
      <c r="B300">
        <v>2021</v>
      </c>
      <c r="C300" t="s">
        <v>38</v>
      </c>
      <c r="D300" s="13">
        <v>33151</v>
      </c>
      <c r="E300" s="1">
        <v>24203</v>
      </c>
      <c r="F300" s="1">
        <v>9549873.3804114126</v>
      </c>
      <c r="G300" s="54">
        <v>5787</v>
      </c>
      <c r="H300" s="1">
        <v>1513685.9064624684</v>
      </c>
      <c r="I300">
        <f t="shared" si="275"/>
        <v>0.80703567855951985</v>
      </c>
      <c r="J300">
        <f t="shared" si="276"/>
        <v>1.4915112042974124E-3</v>
      </c>
      <c r="K300" s="13">
        <f t="shared" si="277"/>
        <v>41077.489980580918</v>
      </c>
      <c r="L300" s="1">
        <f t="shared" si="278"/>
        <v>3864104.3574178377</v>
      </c>
      <c r="M300">
        <f t="shared" si="279"/>
        <v>1965.7325243831719</v>
      </c>
      <c r="N300" s="1">
        <f t="shared" si="280"/>
        <v>3852.8357477910167</v>
      </c>
      <c r="O300" s="24">
        <f t="shared" si="281"/>
        <v>7926.4899805809182</v>
      </c>
      <c r="P300" s="1">
        <f t="shared" si="282"/>
        <v>3864104.3574178377</v>
      </c>
      <c r="Q300">
        <f t="shared" si="283"/>
        <v>1965.7325243831719</v>
      </c>
      <c r="R300" s="1">
        <f t="shared" si="284"/>
        <v>3852.8357477910167</v>
      </c>
      <c r="T300" s="2"/>
    </row>
    <row r="301" spans="1:20" s="51" customFormat="1" x14ac:dyDescent="0.3">
      <c r="A301" s="51" t="s">
        <v>151</v>
      </c>
      <c r="B301" s="51">
        <v>2022</v>
      </c>
      <c r="C301" s="51" t="s">
        <v>38</v>
      </c>
      <c r="D301" s="71">
        <v>34168</v>
      </c>
      <c r="E301" s="72">
        <v>20926</v>
      </c>
      <c r="F301" s="72">
        <f>2792^2</f>
        <v>7795264</v>
      </c>
      <c r="G301" s="75">
        <v>14674</v>
      </c>
      <c r="H301" s="72">
        <f>4158^2</f>
        <v>17288964</v>
      </c>
      <c r="I301" s="51">
        <f t="shared" si="275"/>
        <v>0.58780898876404497</v>
      </c>
      <c r="J301">
        <f t="shared" ref="J301" si="285">((((E301)^2*H301)+((G301)^2*F301))/(E301+G301)^4)</f>
        <v>5.7585051543787005E-3</v>
      </c>
      <c r="K301" s="13">
        <f t="shared" ref="K301" si="286">D301/I301</f>
        <v>58127.726273535314</v>
      </c>
      <c r="L301" s="1">
        <f t="shared" ref="L301" si="287">(D301^2)*J301*(1/(I301^4))</f>
        <v>56312393.20575878</v>
      </c>
      <c r="M301">
        <f t="shared" ref="M301" si="288">SQRT(L301)</f>
        <v>7504.1583942344114</v>
      </c>
      <c r="N301" s="1">
        <f t="shared" ref="N301" si="289">(1.96*M301)</f>
        <v>14708.150452699447</v>
      </c>
      <c r="O301" s="24">
        <f t="shared" ref="O301" si="290">K301-D301</f>
        <v>23959.726273535314</v>
      </c>
      <c r="P301" s="1">
        <f t="shared" ref="P301" si="291">L301</f>
        <v>56312393.20575878</v>
      </c>
      <c r="Q301">
        <f t="shared" ref="Q301" si="292">SQRT(P301)</f>
        <v>7504.1583942344114</v>
      </c>
      <c r="R301" s="1">
        <f t="shared" ref="R301" si="293">(1.96*Q301)</f>
        <v>14708.150452699447</v>
      </c>
      <c r="T301" s="76"/>
    </row>
    <row r="302" spans="1:20" x14ac:dyDescent="0.3">
      <c r="A302" t="s">
        <v>151</v>
      </c>
      <c r="B302">
        <v>1998</v>
      </c>
      <c r="C302" t="s">
        <v>41</v>
      </c>
      <c r="D302" s="13">
        <v>1123</v>
      </c>
      <c r="E302" s="1"/>
      <c r="F302" s="1"/>
      <c r="G302" s="1"/>
      <c r="H302" s="1"/>
      <c r="I302" s="21">
        <f>AVERAGE(I315:I322)</f>
        <v>0.65341780549903927</v>
      </c>
      <c r="J302" s="21">
        <v>1.3494810303268833E-2</v>
      </c>
      <c r="K302" s="13">
        <f t="shared" si="266"/>
        <v>1718.6553389715536</v>
      </c>
      <c r="L302" s="1">
        <f t="shared" si="272"/>
        <v>93360.34279041113</v>
      </c>
      <c r="M302">
        <f t="shared" si="273"/>
        <v>305.54924773334187</v>
      </c>
      <c r="N302" s="1">
        <f t="shared" si="274"/>
        <v>598.87652555735008</v>
      </c>
      <c r="O302" s="24">
        <f t="shared" si="265"/>
        <v>595.65533897155365</v>
      </c>
      <c r="P302" s="1">
        <f t="shared" si="267"/>
        <v>93360.34279041113</v>
      </c>
      <c r="Q302">
        <f t="shared" si="268"/>
        <v>305.54924773334187</v>
      </c>
      <c r="R302" s="1">
        <f t="shared" si="269"/>
        <v>598.87652555735008</v>
      </c>
    </row>
    <row r="303" spans="1:20" x14ac:dyDescent="0.3">
      <c r="A303" t="s">
        <v>151</v>
      </c>
      <c r="B303">
        <v>1999</v>
      </c>
      <c r="C303" t="s">
        <v>41</v>
      </c>
      <c r="D303" s="13">
        <v>1071</v>
      </c>
      <c r="E303" s="1"/>
      <c r="F303" s="1"/>
      <c r="G303" s="1"/>
      <c r="H303" s="1"/>
      <c r="I303" s="21">
        <v>0.65341780549903927</v>
      </c>
      <c r="J303" s="21">
        <v>1.3494810303268833E-2</v>
      </c>
      <c r="K303" s="13">
        <f t="shared" si="266"/>
        <v>1639.073791663877</v>
      </c>
      <c r="L303" s="1">
        <f t="shared" si="272"/>
        <v>84914.501969787365</v>
      </c>
      <c r="M303">
        <f t="shared" si="273"/>
        <v>291.40092993981227</v>
      </c>
      <c r="N303" s="1">
        <f t="shared" si="274"/>
        <v>571.14582268203208</v>
      </c>
      <c r="O303" s="24">
        <f t="shared" si="265"/>
        <v>568.07379166387705</v>
      </c>
      <c r="P303" s="1">
        <f t="shared" si="267"/>
        <v>84914.501969787365</v>
      </c>
      <c r="Q303">
        <f t="shared" si="268"/>
        <v>291.40092993981227</v>
      </c>
      <c r="R303" s="1">
        <f t="shared" si="269"/>
        <v>571.14582268203208</v>
      </c>
    </row>
    <row r="304" spans="1:20" x14ac:dyDescent="0.3">
      <c r="A304" t="s">
        <v>151</v>
      </c>
      <c r="B304">
        <v>2000</v>
      </c>
      <c r="C304" t="s">
        <v>41</v>
      </c>
      <c r="D304" s="13">
        <v>2883</v>
      </c>
      <c r="E304" s="1"/>
      <c r="F304" s="1"/>
      <c r="G304" s="1"/>
      <c r="H304" s="1"/>
      <c r="I304" s="21">
        <v>0.65341780549903927</v>
      </c>
      <c r="J304" s="21">
        <v>1.3494810303268833E-2</v>
      </c>
      <c r="K304" s="13">
        <f t="shared" si="266"/>
        <v>4412.1846324621447</v>
      </c>
      <c r="L304" s="1">
        <f t="shared" si="272"/>
        <v>615307.50161743129</v>
      </c>
      <c r="M304">
        <f t="shared" si="273"/>
        <v>784.41538843742183</v>
      </c>
      <c r="N304" s="1">
        <f t="shared" si="274"/>
        <v>1537.4541613373467</v>
      </c>
      <c r="O304" s="24">
        <f t="shared" si="265"/>
        <v>1529.1846324621447</v>
      </c>
      <c r="P304" s="1">
        <f t="shared" si="267"/>
        <v>615307.50161743129</v>
      </c>
      <c r="Q304">
        <f t="shared" si="268"/>
        <v>784.41538843742183</v>
      </c>
      <c r="R304" s="1">
        <f t="shared" si="269"/>
        <v>1537.4541613373467</v>
      </c>
    </row>
    <row r="305" spans="1:20" x14ac:dyDescent="0.3">
      <c r="A305" t="s">
        <v>151</v>
      </c>
      <c r="B305">
        <v>2001</v>
      </c>
      <c r="C305" t="s">
        <v>41</v>
      </c>
      <c r="D305" s="13">
        <v>2839</v>
      </c>
      <c r="E305" s="1"/>
      <c r="F305" s="1"/>
      <c r="G305" s="1"/>
      <c r="H305" s="1"/>
      <c r="I305" s="21">
        <v>0.65341780549903927</v>
      </c>
      <c r="J305" s="21">
        <v>1.3494810303268833E-2</v>
      </c>
      <c r="K305" s="13">
        <f t="shared" si="266"/>
        <v>4344.8464001248803</v>
      </c>
      <c r="L305" s="1">
        <f t="shared" si="272"/>
        <v>596669.32361688081</v>
      </c>
      <c r="M305">
        <f t="shared" si="273"/>
        <v>772.4437349198198</v>
      </c>
      <c r="N305" s="1">
        <f t="shared" si="274"/>
        <v>1513.9897204428469</v>
      </c>
      <c r="O305" s="24">
        <f t="shared" si="265"/>
        <v>1505.8464001248803</v>
      </c>
      <c r="P305" s="1">
        <f t="shared" si="267"/>
        <v>596669.32361688081</v>
      </c>
      <c r="Q305">
        <f t="shared" si="268"/>
        <v>772.4437349198198</v>
      </c>
      <c r="R305" s="1">
        <f t="shared" si="269"/>
        <v>1513.9897204428469</v>
      </c>
    </row>
    <row r="306" spans="1:20" x14ac:dyDescent="0.3">
      <c r="A306" t="s">
        <v>151</v>
      </c>
      <c r="B306">
        <v>2002</v>
      </c>
      <c r="C306" t="s">
        <v>41</v>
      </c>
      <c r="D306" s="13">
        <v>2029</v>
      </c>
      <c r="E306" s="1"/>
      <c r="F306" s="1"/>
      <c r="G306" s="1"/>
      <c r="H306" s="1"/>
      <c r="I306" s="21">
        <v>0.65341780549903927</v>
      </c>
      <c r="J306" s="21">
        <v>1.3494810303268833E-2</v>
      </c>
      <c r="K306" s="13">
        <f t="shared" si="266"/>
        <v>3105.2107593706878</v>
      </c>
      <c r="L306" s="1">
        <f t="shared" si="272"/>
        <v>304766.3537779394</v>
      </c>
      <c r="M306">
        <f t="shared" si="273"/>
        <v>552.05647698214659</v>
      </c>
      <c r="N306" s="1">
        <f t="shared" si="274"/>
        <v>1082.0306948850073</v>
      </c>
      <c r="O306" s="24">
        <f t="shared" si="265"/>
        <v>1076.2107593706878</v>
      </c>
      <c r="P306" s="1">
        <f t="shared" si="267"/>
        <v>304766.3537779394</v>
      </c>
      <c r="Q306">
        <f t="shared" si="268"/>
        <v>552.05647698214659</v>
      </c>
      <c r="R306" s="1">
        <f t="shared" si="269"/>
        <v>1082.0306948850073</v>
      </c>
    </row>
    <row r="307" spans="1:20" x14ac:dyDescent="0.3">
      <c r="A307" t="s">
        <v>151</v>
      </c>
      <c r="B307">
        <v>2003</v>
      </c>
      <c r="C307" t="s">
        <v>41</v>
      </c>
      <c r="D307" s="13">
        <v>3083</v>
      </c>
      <c r="E307" s="1"/>
      <c r="F307" s="1"/>
      <c r="G307" s="1"/>
      <c r="H307" s="1"/>
      <c r="I307" s="21">
        <v>0.65341780549903927</v>
      </c>
      <c r="J307" s="21">
        <v>1.3494810303268833E-2</v>
      </c>
      <c r="K307" s="13">
        <f t="shared" si="266"/>
        <v>4718.26750672244</v>
      </c>
      <c r="L307" s="1">
        <f t="shared" si="272"/>
        <v>703639.11639872531</v>
      </c>
      <c r="M307">
        <f t="shared" si="273"/>
        <v>838.83199533561265</v>
      </c>
      <c r="N307" s="1">
        <f t="shared" si="274"/>
        <v>1644.1107108578008</v>
      </c>
      <c r="O307" s="24">
        <f t="shared" si="265"/>
        <v>1635.26750672244</v>
      </c>
      <c r="P307" s="1">
        <f t="shared" si="267"/>
        <v>703639.11639872531</v>
      </c>
      <c r="Q307">
        <f t="shared" si="268"/>
        <v>838.83199533561265</v>
      </c>
      <c r="R307" s="1">
        <f t="shared" si="269"/>
        <v>1644.1107108578008</v>
      </c>
    </row>
    <row r="308" spans="1:20" x14ac:dyDescent="0.3">
      <c r="A308" t="s">
        <v>151</v>
      </c>
      <c r="B308">
        <v>2004</v>
      </c>
      <c r="C308" t="s">
        <v>41</v>
      </c>
      <c r="D308" s="13">
        <v>2923</v>
      </c>
      <c r="E308" s="1"/>
      <c r="F308" s="1"/>
      <c r="G308" s="1"/>
      <c r="H308" s="1"/>
      <c r="I308" s="21">
        <v>0.65341780549903927</v>
      </c>
      <c r="J308" s="21">
        <v>1.3494810303268833E-2</v>
      </c>
      <c r="K308" s="13">
        <f t="shared" si="266"/>
        <v>4473.4012073142039</v>
      </c>
      <c r="L308" s="1">
        <f t="shared" si="272"/>
        <v>632500.03783668019</v>
      </c>
      <c r="M308">
        <f t="shared" si="273"/>
        <v>795.29870981705994</v>
      </c>
      <c r="N308" s="1">
        <f t="shared" si="274"/>
        <v>1558.7854712414376</v>
      </c>
      <c r="O308" s="24">
        <f t="shared" si="265"/>
        <v>1550.4012073142039</v>
      </c>
      <c r="P308" s="1">
        <f t="shared" si="267"/>
        <v>632500.03783668019</v>
      </c>
      <c r="Q308">
        <f t="shared" si="268"/>
        <v>795.29870981705994</v>
      </c>
      <c r="R308" s="1">
        <f t="shared" si="269"/>
        <v>1558.7854712414376</v>
      </c>
    </row>
    <row r="309" spans="1:20" x14ac:dyDescent="0.3">
      <c r="A309" t="s">
        <v>151</v>
      </c>
      <c r="B309">
        <v>2005</v>
      </c>
      <c r="C309" t="s">
        <v>41</v>
      </c>
      <c r="D309" s="13">
        <v>2796</v>
      </c>
      <c r="E309" s="1"/>
      <c r="F309" s="1"/>
      <c r="G309" s="1"/>
      <c r="H309" s="1"/>
      <c r="I309" s="21">
        <v>0.65341780549903927</v>
      </c>
      <c r="J309" s="21">
        <v>1.3494810303268833E-2</v>
      </c>
      <c r="K309" s="13">
        <f t="shared" si="266"/>
        <v>4279.0385821589171</v>
      </c>
      <c r="L309" s="1">
        <f t="shared" si="272"/>
        <v>578731.68372450606</v>
      </c>
      <c r="M309">
        <f t="shared" si="273"/>
        <v>760.74416443670873</v>
      </c>
      <c r="N309" s="1">
        <f t="shared" si="274"/>
        <v>1491.0585622959491</v>
      </c>
      <c r="O309" s="24">
        <f t="shared" si="265"/>
        <v>1483.0385821589171</v>
      </c>
      <c r="P309" s="1">
        <f t="shared" si="267"/>
        <v>578731.68372450606</v>
      </c>
      <c r="Q309">
        <f t="shared" si="268"/>
        <v>760.74416443670873</v>
      </c>
      <c r="R309" s="1">
        <f t="shared" si="269"/>
        <v>1491.0585622959491</v>
      </c>
    </row>
    <row r="310" spans="1:20" x14ac:dyDescent="0.3">
      <c r="A310" t="s">
        <v>151</v>
      </c>
      <c r="B310">
        <v>2006</v>
      </c>
      <c r="C310" t="s">
        <v>41</v>
      </c>
      <c r="D310" s="13">
        <v>3058</v>
      </c>
      <c r="E310" s="1"/>
      <c r="F310" s="1"/>
      <c r="G310" s="1"/>
      <c r="H310" s="1"/>
      <c r="I310" s="21">
        <v>0.65341780549903927</v>
      </c>
      <c r="J310" s="21">
        <v>1.3494810303268833E-2</v>
      </c>
      <c r="K310" s="13">
        <f t="shared" si="266"/>
        <v>4680.0071474399028</v>
      </c>
      <c r="L310" s="1">
        <f t="shared" si="272"/>
        <v>692273.78689881065</v>
      </c>
      <c r="M310">
        <f t="shared" si="273"/>
        <v>832.02991947333885</v>
      </c>
      <c r="N310" s="1">
        <f t="shared" si="274"/>
        <v>1630.778642167744</v>
      </c>
      <c r="O310" s="24">
        <f t="shared" si="265"/>
        <v>1622.0071474399028</v>
      </c>
      <c r="P310" s="1">
        <f t="shared" si="267"/>
        <v>692273.78689881065</v>
      </c>
      <c r="Q310">
        <f t="shared" si="268"/>
        <v>832.02991947333885</v>
      </c>
      <c r="R310" s="1">
        <f t="shared" si="269"/>
        <v>1630.778642167744</v>
      </c>
    </row>
    <row r="311" spans="1:20" x14ac:dyDescent="0.3">
      <c r="A311" t="s">
        <v>151</v>
      </c>
      <c r="B311">
        <v>2007</v>
      </c>
      <c r="C311" t="s">
        <v>41</v>
      </c>
      <c r="D311" s="13">
        <v>4266</v>
      </c>
      <c r="E311" s="1"/>
      <c r="F311" s="1"/>
      <c r="G311" s="1"/>
      <c r="H311" s="1"/>
      <c r="I311" s="21">
        <v>0.65341780549903927</v>
      </c>
      <c r="J311" s="21">
        <v>1.3494810303268833E-2</v>
      </c>
      <c r="K311" s="13">
        <f t="shared" si="266"/>
        <v>6528.7477079720811</v>
      </c>
      <c r="L311" s="1">
        <f t="shared" si="272"/>
        <v>1347238.9410750614</v>
      </c>
      <c r="M311">
        <f t="shared" si="273"/>
        <v>1160.7062251384118</v>
      </c>
      <c r="N311" s="1">
        <f t="shared" si="274"/>
        <v>2274.984201271287</v>
      </c>
      <c r="O311" s="24">
        <f t="shared" si="265"/>
        <v>2262.7477079720811</v>
      </c>
      <c r="P311" s="1">
        <f t="shared" si="267"/>
        <v>1347238.9410750614</v>
      </c>
      <c r="Q311">
        <f t="shared" si="268"/>
        <v>1160.7062251384118</v>
      </c>
      <c r="R311" s="1">
        <f t="shared" si="269"/>
        <v>2274.984201271287</v>
      </c>
    </row>
    <row r="312" spans="1:20" x14ac:dyDescent="0.3">
      <c r="A312" t="s">
        <v>151</v>
      </c>
      <c r="B312">
        <v>2008</v>
      </c>
      <c r="C312" t="s">
        <v>41</v>
      </c>
      <c r="D312" s="13">
        <v>5010</v>
      </c>
      <c r="E312" s="1"/>
      <c r="F312" s="1"/>
      <c r="G312" s="1"/>
      <c r="H312" s="1"/>
      <c r="I312" s="21">
        <v>0.65341780549903927</v>
      </c>
      <c r="J312" s="21">
        <v>1.3494810303268833E-2</v>
      </c>
      <c r="K312" s="13">
        <f t="shared" si="266"/>
        <v>7667.3760002203771</v>
      </c>
      <c r="L312" s="1">
        <f t="shared" si="272"/>
        <v>1858139.7621286947</v>
      </c>
      <c r="M312">
        <f t="shared" si="273"/>
        <v>1363.136002799682</v>
      </c>
      <c r="N312" s="1">
        <f t="shared" si="274"/>
        <v>2671.7465654873768</v>
      </c>
      <c r="O312" s="24">
        <f t="shared" si="265"/>
        <v>2657.3760002203771</v>
      </c>
      <c r="P312" s="1">
        <f t="shared" si="267"/>
        <v>1858139.7621286947</v>
      </c>
      <c r="Q312">
        <f t="shared" si="268"/>
        <v>1363.136002799682</v>
      </c>
      <c r="R312" s="1">
        <f t="shared" si="269"/>
        <v>2671.7465654873768</v>
      </c>
    </row>
    <row r="313" spans="1:20" x14ac:dyDescent="0.3">
      <c r="A313" t="s">
        <v>151</v>
      </c>
      <c r="B313">
        <v>2009</v>
      </c>
      <c r="C313" t="s">
        <v>41</v>
      </c>
      <c r="D313" s="13">
        <v>2818</v>
      </c>
      <c r="E313" s="1"/>
      <c r="F313" s="1"/>
      <c r="G313" s="1"/>
      <c r="H313" s="1"/>
      <c r="I313" s="21">
        <v>0.65341780549903927</v>
      </c>
      <c r="J313" s="21">
        <v>1.3494810303268833E-2</v>
      </c>
      <c r="K313" s="13">
        <f t="shared" si="266"/>
        <v>4312.7076983275492</v>
      </c>
      <c r="L313" s="1">
        <f t="shared" si="272"/>
        <v>587874.87939866644</v>
      </c>
      <c r="M313">
        <f t="shared" si="273"/>
        <v>766.72999119550968</v>
      </c>
      <c r="N313" s="1">
        <f t="shared" si="274"/>
        <v>1502.7907827431989</v>
      </c>
      <c r="O313" s="24">
        <f t="shared" si="265"/>
        <v>1494.7076983275492</v>
      </c>
      <c r="P313" s="1">
        <f t="shared" si="267"/>
        <v>587874.87939866644</v>
      </c>
      <c r="Q313">
        <f t="shared" si="268"/>
        <v>766.72999119550968</v>
      </c>
      <c r="R313" s="1">
        <f t="shared" si="269"/>
        <v>1502.7907827431989</v>
      </c>
    </row>
    <row r="314" spans="1:20" x14ac:dyDescent="0.3">
      <c r="A314" t="s">
        <v>151</v>
      </c>
      <c r="B314">
        <v>2010</v>
      </c>
      <c r="C314" t="s">
        <v>41</v>
      </c>
      <c r="D314" s="13">
        <v>4613</v>
      </c>
      <c r="E314" s="1"/>
      <c r="F314" s="1"/>
      <c r="G314" s="1"/>
      <c r="H314" s="1"/>
      <c r="I314" s="21">
        <v>0.65341780549903927</v>
      </c>
      <c r="J314" s="21">
        <v>1.3494810303268833E-2</v>
      </c>
      <c r="K314" s="13">
        <f t="shared" si="266"/>
        <v>7059.8014948136924</v>
      </c>
      <c r="L314" s="1">
        <f t="shared" si="272"/>
        <v>1575323.7998180711</v>
      </c>
      <c r="M314">
        <f t="shared" si="273"/>
        <v>1255.1190381067729</v>
      </c>
      <c r="N314" s="1">
        <f t="shared" si="274"/>
        <v>2460.0333146892749</v>
      </c>
      <c r="O314" s="24">
        <f t="shared" si="265"/>
        <v>2446.8014948136924</v>
      </c>
      <c r="P314" s="1">
        <f t="shared" si="267"/>
        <v>1575323.7998180711</v>
      </c>
      <c r="Q314">
        <f t="shared" si="268"/>
        <v>1255.1190381067729</v>
      </c>
      <c r="R314" s="1">
        <f t="shared" si="269"/>
        <v>2460.0333146892749</v>
      </c>
    </row>
    <row r="315" spans="1:20" x14ac:dyDescent="0.3">
      <c r="A315" t="s">
        <v>151</v>
      </c>
      <c r="B315">
        <v>2011</v>
      </c>
      <c r="C315" t="s">
        <v>41</v>
      </c>
      <c r="D315" s="13">
        <v>8950</v>
      </c>
      <c r="E315" s="1">
        <v>4628</v>
      </c>
      <c r="F315" s="1">
        <v>1123011.175286294</v>
      </c>
      <c r="G315" s="11">
        <v>1091</v>
      </c>
      <c r="H315" s="1">
        <v>134615.45217117149</v>
      </c>
      <c r="I315">
        <f t="shared" ref="I315:I323" si="294">E315/(E315+G315)</f>
        <v>0.80923238328379088</v>
      </c>
      <c r="J315">
        <f t="shared" ref="J315:J323" si="295">((((E315)^2*H315)+((G315)^2*F315))/(E315+G315)^4)</f>
        <v>3.9448122091551106E-3</v>
      </c>
      <c r="K315" s="13">
        <f t="shared" si="266"/>
        <v>11059.863872082973</v>
      </c>
      <c r="L315" s="1">
        <f t="shared" si="272"/>
        <v>736850.51155388099</v>
      </c>
      <c r="M315">
        <f t="shared" si="273"/>
        <v>858.39997178115107</v>
      </c>
      <c r="N315" s="1">
        <f t="shared" si="274"/>
        <v>1682.463944691056</v>
      </c>
      <c r="O315" s="24">
        <f t="shared" si="265"/>
        <v>2109.8638720829731</v>
      </c>
      <c r="P315" s="1">
        <f t="shared" si="267"/>
        <v>736850.51155388099</v>
      </c>
      <c r="Q315">
        <f t="shared" si="268"/>
        <v>858.39997178115107</v>
      </c>
      <c r="R315" s="1">
        <f t="shared" si="269"/>
        <v>1682.463944691056</v>
      </c>
      <c r="T315" s="2"/>
    </row>
    <row r="316" spans="1:20" x14ac:dyDescent="0.3">
      <c r="A316" t="s">
        <v>151</v>
      </c>
      <c r="B316">
        <v>2012</v>
      </c>
      <c r="C316" t="s">
        <v>41</v>
      </c>
      <c r="D316" s="13">
        <v>8600</v>
      </c>
      <c r="E316" s="1">
        <v>4902</v>
      </c>
      <c r="F316" s="1">
        <v>817154.10041942052</v>
      </c>
      <c r="G316" s="11">
        <v>2312</v>
      </c>
      <c r="H316" s="1">
        <v>606300.08666266291</v>
      </c>
      <c r="I316">
        <f t="shared" si="294"/>
        <v>0.67951205988355978</v>
      </c>
      <c r="J316">
        <f t="shared" si="295"/>
        <v>6.9921284278318613E-3</v>
      </c>
      <c r="K316" s="13">
        <f t="shared" si="266"/>
        <v>12656.140350877193</v>
      </c>
      <c r="L316" s="1">
        <f t="shared" ref="L316:L339" si="296">(D316^2)*J316*(1/(I316^4))</f>
        <v>2425591.2838210762</v>
      </c>
      <c r="M316">
        <f t="shared" si="273"/>
        <v>1557.4309884617926</v>
      </c>
      <c r="N316" s="1">
        <f t="shared" si="274"/>
        <v>3052.5647373851134</v>
      </c>
      <c r="O316" s="24">
        <f t="shared" si="265"/>
        <v>4056.1403508771928</v>
      </c>
      <c r="P316" s="1">
        <f t="shared" si="267"/>
        <v>2425591.2838210762</v>
      </c>
      <c r="Q316">
        <f t="shared" si="268"/>
        <v>1557.4309884617926</v>
      </c>
      <c r="R316" s="1">
        <f t="shared" si="269"/>
        <v>3052.5647373851134</v>
      </c>
      <c r="T316" s="2"/>
    </row>
    <row r="317" spans="1:20" x14ac:dyDescent="0.3">
      <c r="A317" t="s">
        <v>151</v>
      </c>
      <c r="B317">
        <v>2013</v>
      </c>
      <c r="C317" t="s">
        <v>41</v>
      </c>
      <c r="D317" s="13">
        <v>6970</v>
      </c>
      <c r="E317" s="1">
        <v>5774</v>
      </c>
      <c r="F317" s="1">
        <v>1485966.2791901822</v>
      </c>
      <c r="G317" s="11">
        <v>2952</v>
      </c>
      <c r="H317" s="1">
        <v>973096.92602602462</v>
      </c>
      <c r="I317">
        <f t="shared" si="294"/>
        <v>0.66170066468026589</v>
      </c>
      <c r="J317">
        <f t="shared" si="295"/>
        <v>7.8291014895236332E-3</v>
      </c>
      <c r="K317" s="13">
        <f t="shared" si="266"/>
        <v>10533.463803255974</v>
      </c>
      <c r="L317" s="1">
        <f t="shared" si="296"/>
        <v>1983952.159720307</v>
      </c>
      <c r="M317">
        <f t="shared" si="273"/>
        <v>1408.5283666722182</v>
      </c>
      <c r="N317" s="1">
        <f t="shared" si="274"/>
        <v>2760.7155986775479</v>
      </c>
      <c r="O317" s="24">
        <f t="shared" si="265"/>
        <v>3563.4638032559742</v>
      </c>
      <c r="P317" s="1">
        <f t="shared" si="267"/>
        <v>1983952.159720307</v>
      </c>
      <c r="Q317">
        <f t="shared" si="268"/>
        <v>1408.5283666722182</v>
      </c>
      <c r="R317" s="1">
        <f t="shared" si="269"/>
        <v>2760.7155986775479</v>
      </c>
      <c r="T317" s="2"/>
    </row>
    <row r="318" spans="1:20" x14ac:dyDescent="0.3">
      <c r="A318" t="s">
        <v>151</v>
      </c>
      <c r="B318">
        <v>2014</v>
      </c>
      <c r="C318" t="s">
        <v>41</v>
      </c>
      <c r="D318" s="13">
        <v>8688</v>
      </c>
      <c r="E318" s="1">
        <v>5939</v>
      </c>
      <c r="F318" s="1">
        <v>1847984.6003753652</v>
      </c>
      <c r="G318" s="11">
        <v>6646</v>
      </c>
      <c r="H318" s="1">
        <v>2212538.992823815</v>
      </c>
      <c r="I318">
        <f t="shared" si="294"/>
        <v>0.47191100516487883</v>
      </c>
      <c r="J318">
        <f t="shared" si="295"/>
        <v>6.3649481561777691E-3</v>
      </c>
      <c r="K318" s="13">
        <f t="shared" si="266"/>
        <v>18410.250883987203</v>
      </c>
      <c r="L318" s="1">
        <f t="shared" si="296"/>
        <v>9687106.4801495951</v>
      </c>
      <c r="M318">
        <f t="shared" si="273"/>
        <v>3112.4116823051536</v>
      </c>
      <c r="N318" s="1">
        <f t="shared" si="274"/>
        <v>6100.3268973181011</v>
      </c>
      <c r="O318" s="24">
        <f t="shared" si="265"/>
        <v>9722.2508839872025</v>
      </c>
      <c r="P318" s="1">
        <f t="shared" si="267"/>
        <v>9687106.4801495951</v>
      </c>
      <c r="Q318">
        <f t="shared" si="268"/>
        <v>3112.4116823051536</v>
      </c>
      <c r="R318" s="1">
        <f t="shared" si="269"/>
        <v>6100.3268973181011</v>
      </c>
      <c r="T318" s="2"/>
    </row>
    <row r="319" spans="1:20" x14ac:dyDescent="0.3">
      <c r="A319" t="s">
        <v>151</v>
      </c>
      <c r="B319">
        <v>2015</v>
      </c>
      <c r="C319" t="s">
        <v>41</v>
      </c>
      <c r="D319" s="13">
        <v>9156</v>
      </c>
      <c r="E319" s="1">
        <v>9341</v>
      </c>
      <c r="F319" s="1">
        <v>2302346.3975565527</v>
      </c>
      <c r="G319" s="11">
        <v>4621</v>
      </c>
      <c r="H319" s="1">
        <v>3296851.4949189224</v>
      </c>
      <c r="I319">
        <f t="shared" si="294"/>
        <v>0.66903022489614672</v>
      </c>
      <c r="J319">
        <f t="shared" si="295"/>
        <v>8.8637501115362213E-3</v>
      </c>
      <c r="K319" s="13">
        <f t="shared" si="266"/>
        <v>13685.480355422331</v>
      </c>
      <c r="L319" s="1">
        <f t="shared" si="296"/>
        <v>3708908.4909766819</v>
      </c>
      <c r="M319">
        <f t="shared" si="273"/>
        <v>1925.8526659577783</v>
      </c>
      <c r="N319" s="1">
        <f t="shared" si="274"/>
        <v>3774.6712252772454</v>
      </c>
      <c r="O319" s="24">
        <f t="shared" si="265"/>
        <v>4529.4803554223308</v>
      </c>
      <c r="P319" s="1">
        <f t="shared" si="267"/>
        <v>3708908.4909766819</v>
      </c>
      <c r="Q319">
        <f t="shared" si="268"/>
        <v>1925.8526659577783</v>
      </c>
      <c r="R319" s="1">
        <f t="shared" si="269"/>
        <v>3774.6712252772454</v>
      </c>
      <c r="T319" s="2"/>
    </row>
    <row r="320" spans="1:20" x14ac:dyDescent="0.3">
      <c r="A320" t="s">
        <v>151</v>
      </c>
      <c r="B320">
        <v>2016</v>
      </c>
      <c r="C320" t="s">
        <v>41</v>
      </c>
      <c r="D320" s="13">
        <v>5839</v>
      </c>
      <c r="E320" s="1">
        <v>10348</v>
      </c>
      <c r="F320" s="1">
        <v>2978473.6189940036</v>
      </c>
      <c r="G320" s="11">
        <v>2943</v>
      </c>
      <c r="H320" s="1">
        <v>1031430.9678868863</v>
      </c>
      <c r="I320">
        <f t="shared" si="294"/>
        <v>0.77857196599202472</v>
      </c>
      <c r="J320">
        <f t="shared" si="295"/>
        <v>4.3660325747550922E-3</v>
      </c>
      <c r="K320" s="13">
        <f t="shared" si="266"/>
        <v>7499.6278507924235</v>
      </c>
      <c r="L320" s="1">
        <f t="shared" si="296"/>
        <v>405106.18509878113</v>
      </c>
      <c r="M320">
        <f t="shared" si="273"/>
        <v>636.47952449295735</v>
      </c>
      <c r="N320" s="1">
        <f t="shared" si="274"/>
        <v>1247.4998680061965</v>
      </c>
      <c r="O320" s="24">
        <f t="shared" si="265"/>
        <v>1660.6278507924235</v>
      </c>
      <c r="P320" s="1">
        <f t="shared" si="267"/>
        <v>405106.18509878113</v>
      </c>
      <c r="Q320">
        <f t="shared" si="268"/>
        <v>636.47952449295735</v>
      </c>
      <c r="R320" s="1">
        <f t="shared" si="269"/>
        <v>1247.4998680061965</v>
      </c>
      <c r="T320" s="2"/>
    </row>
    <row r="321" spans="1:20" x14ac:dyDescent="0.3">
      <c r="A321" t="s">
        <v>151</v>
      </c>
      <c r="B321">
        <v>2017</v>
      </c>
      <c r="C321" t="s">
        <v>41</v>
      </c>
      <c r="D321" s="13">
        <v>9211</v>
      </c>
      <c r="E321" s="1">
        <v>6590</v>
      </c>
      <c r="F321" s="1">
        <v>2037305.5895645493</v>
      </c>
      <c r="G321" s="11">
        <v>4913</v>
      </c>
      <c r="H321" s="1">
        <v>1254238.2343303345</v>
      </c>
      <c r="I321">
        <f t="shared" si="294"/>
        <v>0.57289402764496222</v>
      </c>
      <c r="J321">
        <f t="shared" si="295"/>
        <v>5.9197448334006057E-3</v>
      </c>
      <c r="K321" s="13">
        <f t="shared" si="266"/>
        <v>16078.017147192715</v>
      </c>
      <c r="L321" s="1">
        <f t="shared" si="296"/>
        <v>4662505.6656814301</v>
      </c>
      <c r="M321">
        <f t="shared" si="273"/>
        <v>2159.2836001047731</v>
      </c>
      <c r="N321" s="1">
        <f t="shared" si="274"/>
        <v>4232.1958562053551</v>
      </c>
      <c r="O321" s="24">
        <f t="shared" si="265"/>
        <v>6867.0171471927151</v>
      </c>
      <c r="P321" s="1">
        <f t="shared" si="267"/>
        <v>4662505.6656814301</v>
      </c>
      <c r="Q321">
        <f t="shared" si="268"/>
        <v>2159.2836001047731</v>
      </c>
      <c r="R321" s="1">
        <f t="shared" si="269"/>
        <v>4232.1958562053551</v>
      </c>
      <c r="T321" s="2"/>
    </row>
    <row r="322" spans="1:20" x14ac:dyDescent="0.3">
      <c r="A322" t="s">
        <v>151</v>
      </c>
      <c r="B322">
        <v>2018</v>
      </c>
      <c r="C322" t="s">
        <v>41</v>
      </c>
      <c r="D322" s="13">
        <v>11024</v>
      </c>
      <c r="E322" s="1">
        <v>7537</v>
      </c>
      <c r="F322" s="1">
        <v>2243253.1891891891</v>
      </c>
      <c r="G322" s="11">
        <v>5358</v>
      </c>
      <c r="H322" s="1">
        <v>2335681.1072262316</v>
      </c>
      <c r="I322">
        <f t="shared" si="294"/>
        <v>0.58449011244668481</v>
      </c>
      <c r="J322">
        <f t="shared" si="295"/>
        <v>7.1278722510065206E-3</v>
      </c>
      <c r="K322" s="13">
        <f t="shared" si="266"/>
        <v>18860.883640705848</v>
      </c>
      <c r="L322" s="1">
        <f t="shared" si="296"/>
        <v>7422148.5356027149</v>
      </c>
      <c r="M322">
        <f t="shared" si="273"/>
        <v>2724.3620419471995</v>
      </c>
      <c r="N322" s="1">
        <f t="shared" si="274"/>
        <v>5339.7496022165105</v>
      </c>
      <c r="O322" s="24">
        <f t="shared" si="265"/>
        <v>7836.8836407058479</v>
      </c>
      <c r="P322" s="1">
        <f t="shared" si="267"/>
        <v>7422148.5356027149</v>
      </c>
      <c r="Q322">
        <f t="shared" si="268"/>
        <v>2724.3620419471995</v>
      </c>
      <c r="R322" s="1">
        <f t="shared" si="269"/>
        <v>5339.7496022165105</v>
      </c>
      <c r="T322" s="2"/>
    </row>
    <row r="323" spans="1:20" x14ac:dyDescent="0.3">
      <c r="A323" t="s">
        <v>151</v>
      </c>
      <c r="B323">
        <v>2019</v>
      </c>
      <c r="C323" t="s">
        <v>41</v>
      </c>
      <c r="D323" s="13">
        <v>11553</v>
      </c>
      <c r="E323" s="1">
        <v>9746</v>
      </c>
      <c r="F323" s="1">
        <v>2494165.4075986105</v>
      </c>
      <c r="G323" s="54">
        <v>5602</v>
      </c>
      <c r="H323" s="1">
        <v>2657397.6015055124</v>
      </c>
      <c r="I323">
        <f t="shared" si="294"/>
        <v>0.63500130310138125</v>
      </c>
      <c r="J323">
        <f t="shared" si="295"/>
        <v>5.9594573793627066E-3</v>
      </c>
      <c r="K323" s="13">
        <f t="shared" si="266"/>
        <v>18193.663451672481</v>
      </c>
      <c r="L323" s="1">
        <f>(D323^2)*J323*(1/(I323^4))</f>
        <v>4892127.8553123055</v>
      </c>
      <c r="M323">
        <f>SQRT(L323)</f>
        <v>2211.8155111383739</v>
      </c>
      <c r="N323" s="1">
        <f>(1.96*M323)</f>
        <v>4335.1584018312133</v>
      </c>
      <c r="O323" s="24">
        <f t="shared" si="265"/>
        <v>6640.6634516724807</v>
      </c>
      <c r="P323" s="1">
        <f>L323</f>
        <v>4892127.8553123055</v>
      </c>
      <c r="Q323">
        <f>SQRT(P323)</f>
        <v>2211.8155111383739</v>
      </c>
      <c r="R323" s="1">
        <f>(1.96*Q323)</f>
        <v>4335.1584018312133</v>
      </c>
      <c r="T323" s="2"/>
    </row>
    <row r="324" spans="1:20" x14ac:dyDescent="0.3">
      <c r="A324" t="s">
        <v>151</v>
      </c>
      <c r="B324">
        <v>2020</v>
      </c>
      <c r="C324" t="s">
        <v>41</v>
      </c>
      <c r="D324" s="13">
        <v>3314</v>
      </c>
      <c r="E324" s="1">
        <v>4686</v>
      </c>
      <c r="F324" s="1">
        <v>538862.57535035186</v>
      </c>
      <c r="G324" s="54">
        <v>1535</v>
      </c>
      <c r="H324" s="1">
        <v>162515.03881381385</v>
      </c>
      <c r="I324">
        <f t="shared" ref="I324:I326" si="297">E324/(E324+G324)</f>
        <v>0.75325510368108017</v>
      </c>
      <c r="J324">
        <f t="shared" ref="J324:J325" si="298">((((E324)^2*H324)+((G324)^2*F324))/(E324+G324)^4)</f>
        <v>3.2303569334381343E-3</v>
      </c>
      <c r="K324" s="13">
        <f t="shared" ref="K324:K325" si="299">D324/I324</f>
        <v>4399.5719163465646</v>
      </c>
      <c r="L324" s="1">
        <f t="shared" ref="L324:L325" si="300">(D324^2)*J324*(1/(I324^4))</f>
        <v>110201.41937596143</v>
      </c>
      <c r="M324">
        <f t="shared" ref="M324:M325" si="301">SQRT(L324)</f>
        <v>331.96599129423095</v>
      </c>
      <c r="N324" s="1">
        <f t="shared" ref="N324:N325" si="302">(1.96*M324)</f>
        <v>650.65334293669264</v>
      </c>
      <c r="O324" s="24">
        <f t="shared" ref="O324:O325" si="303">K324-D324</f>
        <v>1085.5719163465646</v>
      </c>
      <c r="P324" s="1">
        <f t="shared" ref="P324:P325" si="304">L324</f>
        <v>110201.41937596143</v>
      </c>
      <c r="Q324">
        <f t="shared" ref="Q324:Q325" si="305">SQRT(P324)</f>
        <v>331.96599129423095</v>
      </c>
      <c r="R324" s="1">
        <f t="shared" ref="R324:R325" si="306">(1.96*Q324)</f>
        <v>650.65334293669264</v>
      </c>
      <c r="T324" s="2"/>
    </row>
    <row r="325" spans="1:20" x14ac:dyDescent="0.3">
      <c r="A325" t="s">
        <v>151</v>
      </c>
      <c r="B325">
        <v>2021</v>
      </c>
      <c r="C325" t="s">
        <v>41</v>
      </c>
      <c r="D325" s="13">
        <v>9732</v>
      </c>
      <c r="E325" s="1">
        <v>8099</v>
      </c>
      <c r="F325" s="1">
        <v>1939914.5337327269</v>
      </c>
      <c r="G325" s="54">
        <v>5212</v>
      </c>
      <c r="H325" s="1">
        <v>1681876.8238598593</v>
      </c>
      <c r="I325">
        <f t="shared" si="297"/>
        <v>0.60844414394110136</v>
      </c>
      <c r="J325">
        <f t="shared" si="298"/>
        <v>5.192706723215825E-3</v>
      </c>
      <c r="K325" s="13">
        <f t="shared" si="299"/>
        <v>15994.894678355353</v>
      </c>
      <c r="L325" s="1">
        <f t="shared" si="300"/>
        <v>3588518.0359388059</v>
      </c>
      <c r="M325">
        <f t="shared" si="301"/>
        <v>1894.3384164237407</v>
      </c>
      <c r="N325" s="1">
        <f t="shared" si="302"/>
        <v>3712.9032961905318</v>
      </c>
      <c r="O325" s="24">
        <f t="shared" si="303"/>
        <v>6262.8946783553529</v>
      </c>
      <c r="P325" s="1">
        <f t="shared" si="304"/>
        <v>3588518.0359388059</v>
      </c>
      <c r="Q325">
        <f t="shared" si="305"/>
        <v>1894.3384164237407</v>
      </c>
      <c r="R325" s="1">
        <f t="shared" si="306"/>
        <v>3712.9032961905318</v>
      </c>
      <c r="T325" s="2"/>
    </row>
    <row r="326" spans="1:20" s="51" customFormat="1" x14ac:dyDescent="0.3">
      <c r="A326" s="51" t="s">
        <v>151</v>
      </c>
      <c r="B326" s="51">
        <v>2022</v>
      </c>
      <c r="C326" s="51" t="s">
        <v>41</v>
      </c>
      <c r="D326" s="71">
        <v>10558</v>
      </c>
      <c r="E326" s="72">
        <v>9109</v>
      </c>
      <c r="F326" s="72">
        <f>1685^2</f>
        <v>2839225</v>
      </c>
      <c r="G326" s="75">
        <v>4300</v>
      </c>
      <c r="H326" s="72">
        <f>1299^2</f>
        <v>1687401</v>
      </c>
      <c r="I326" s="51">
        <f t="shared" si="297"/>
        <v>0.67931985979565968</v>
      </c>
      <c r="J326">
        <f t="shared" ref="J326" si="307">((((E326)^2*H326)+((G326)^2*F326))/(E326+G326)^4)</f>
        <v>5.9547296087732694E-3</v>
      </c>
      <c r="K326" s="13">
        <f t="shared" ref="K326" si="308">D326/I326</f>
        <v>15542.015808541002</v>
      </c>
      <c r="L326" s="1">
        <f t="shared" ref="L326" si="309">(D326^2)*J326*(1/(I326^4))</f>
        <v>3116937.6581412847</v>
      </c>
      <c r="M326">
        <f t="shared" ref="M326" si="310">SQRT(L326)</f>
        <v>1765.4851056129828</v>
      </c>
      <c r="N326" s="1">
        <f t="shared" ref="N326" si="311">(1.96*M326)</f>
        <v>3460.3508070014464</v>
      </c>
      <c r="O326" s="24">
        <f t="shared" ref="O326" si="312">K326-D326</f>
        <v>4984.0158085410021</v>
      </c>
      <c r="P326" s="1">
        <f t="shared" ref="P326" si="313">L326</f>
        <v>3116937.6581412847</v>
      </c>
      <c r="Q326">
        <f t="shared" ref="Q326" si="314">SQRT(P326)</f>
        <v>1765.4851056129828</v>
      </c>
      <c r="R326" s="1">
        <f t="shared" ref="R326" si="315">(1.96*Q326)</f>
        <v>3460.3508070014464</v>
      </c>
      <c r="T326" s="76"/>
    </row>
    <row r="327" spans="1:20" x14ac:dyDescent="0.3">
      <c r="A327" t="s">
        <v>151</v>
      </c>
      <c r="B327">
        <v>1998</v>
      </c>
      <c r="C327" t="s">
        <v>39</v>
      </c>
      <c r="D327" s="13">
        <v>6261</v>
      </c>
      <c r="E327" s="1"/>
      <c r="F327" s="1"/>
      <c r="G327" s="1"/>
      <c r="H327" s="1"/>
      <c r="I327" s="21">
        <f>AVERAGE(I340:I347)</f>
        <v>0.45755915022815741</v>
      </c>
      <c r="J327" s="21">
        <v>2.827008813506969E-3</v>
      </c>
      <c r="K327" s="13">
        <f t="shared" si="266"/>
        <v>13683.476763338715</v>
      </c>
      <c r="L327" s="1">
        <f t="shared" si="296"/>
        <v>2528282.455604976</v>
      </c>
      <c r="M327">
        <f t="shared" si="273"/>
        <v>1590.057374941224</v>
      </c>
      <c r="N327" s="1">
        <f t="shared" si="274"/>
        <v>3116.5124548847989</v>
      </c>
      <c r="O327" s="24">
        <f t="shared" si="265"/>
        <v>7422.4767633387146</v>
      </c>
      <c r="P327" s="1">
        <f t="shared" si="267"/>
        <v>2528282.455604976</v>
      </c>
      <c r="Q327">
        <f t="shared" si="268"/>
        <v>1590.057374941224</v>
      </c>
      <c r="R327" s="1">
        <f t="shared" si="269"/>
        <v>3116.5124548847989</v>
      </c>
    </row>
    <row r="328" spans="1:20" x14ac:dyDescent="0.3">
      <c r="A328" t="s">
        <v>151</v>
      </c>
      <c r="B328">
        <v>1999</v>
      </c>
      <c r="C328" t="s">
        <v>39</v>
      </c>
      <c r="D328" s="13">
        <v>7370</v>
      </c>
      <c r="E328" s="1"/>
      <c r="F328" s="1"/>
      <c r="G328" s="1"/>
      <c r="H328" s="1"/>
      <c r="I328" s="21">
        <v>0.45755915022815741</v>
      </c>
      <c r="J328" s="21">
        <v>2.827008813506969E-3</v>
      </c>
      <c r="K328" s="13">
        <f t="shared" si="266"/>
        <v>16107.207114806952</v>
      </c>
      <c r="L328" s="1">
        <f t="shared" si="296"/>
        <v>3503266.3626943887</v>
      </c>
      <c r="M328">
        <f t="shared" si="273"/>
        <v>1871.7014619576457</v>
      </c>
      <c r="N328" s="1">
        <f t="shared" si="274"/>
        <v>3668.5348654369855</v>
      </c>
      <c r="O328" s="24">
        <f t="shared" si="265"/>
        <v>8737.2071148069517</v>
      </c>
      <c r="P328" s="1">
        <f t="shared" si="267"/>
        <v>3503266.3626943887</v>
      </c>
      <c r="Q328">
        <f t="shared" si="268"/>
        <v>1871.7014619576457</v>
      </c>
      <c r="R328" s="1">
        <f t="shared" si="269"/>
        <v>3668.5348654369855</v>
      </c>
    </row>
    <row r="329" spans="1:20" x14ac:dyDescent="0.3">
      <c r="A329" t="s">
        <v>151</v>
      </c>
      <c r="B329">
        <v>2000</v>
      </c>
      <c r="C329" t="s">
        <v>39</v>
      </c>
      <c r="D329" s="13">
        <v>11989</v>
      </c>
      <c r="E329" s="1"/>
      <c r="F329" s="1"/>
      <c r="G329" s="1"/>
      <c r="H329" s="1"/>
      <c r="I329" s="21">
        <v>0.45755915022815741</v>
      </c>
      <c r="J329" s="21">
        <v>2.827008813506969E-3</v>
      </c>
      <c r="K329" s="13">
        <f t="shared" si="266"/>
        <v>26202.076811318933</v>
      </c>
      <c r="L329" s="1">
        <f t="shared" si="296"/>
        <v>9270520.1843895838</v>
      </c>
      <c r="M329">
        <f t="shared" si="273"/>
        <v>3044.7528938141409</v>
      </c>
      <c r="N329" s="1">
        <f t="shared" si="274"/>
        <v>5967.715671875716</v>
      </c>
      <c r="O329" s="24">
        <f t="shared" si="265"/>
        <v>14213.076811318933</v>
      </c>
      <c r="P329" s="1">
        <f t="shared" si="267"/>
        <v>9270520.1843895838</v>
      </c>
      <c r="Q329">
        <f t="shared" si="268"/>
        <v>3044.7528938141409</v>
      </c>
      <c r="R329" s="1">
        <f t="shared" si="269"/>
        <v>5967.715671875716</v>
      </c>
    </row>
    <row r="330" spans="1:20" x14ac:dyDescent="0.3">
      <c r="A330" t="s">
        <v>151</v>
      </c>
      <c r="B330">
        <v>2001</v>
      </c>
      <c r="C330" t="s">
        <v>39</v>
      </c>
      <c r="D330" s="13">
        <v>9348</v>
      </c>
      <c r="E330" s="1"/>
      <c r="F330" s="1"/>
      <c r="G330" s="1"/>
      <c r="H330" s="1"/>
      <c r="I330" s="21">
        <v>0.45755915022815741</v>
      </c>
      <c r="J330" s="21">
        <v>2.827008813506969E-3</v>
      </c>
      <c r="K330" s="13">
        <f t="shared" si="266"/>
        <v>20430.145469364368</v>
      </c>
      <c r="L330" s="1">
        <f t="shared" si="296"/>
        <v>5636059.7796220118</v>
      </c>
      <c r="M330">
        <f t="shared" si="273"/>
        <v>2374.0387064287752</v>
      </c>
      <c r="N330" s="1">
        <f t="shared" si="274"/>
        <v>4653.1158646003996</v>
      </c>
      <c r="O330" s="24">
        <f t="shared" si="265"/>
        <v>11082.145469364368</v>
      </c>
      <c r="P330" s="1">
        <f t="shared" si="267"/>
        <v>5636059.7796220118</v>
      </c>
      <c r="Q330">
        <f t="shared" si="268"/>
        <v>2374.0387064287752</v>
      </c>
      <c r="R330" s="1">
        <f t="shared" si="269"/>
        <v>4653.1158646003996</v>
      </c>
    </row>
    <row r="331" spans="1:20" x14ac:dyDescent="0.3">
      <c r="A331" t="s">
        <v>151</v>
      </c>
      <c r="B331">
        <v>2002</v>
      </c>
      <c r="C331" t="s">
        <v>39</v>
      </c>
      <c r="D331" s="13">
        <v>8033</v>
      </c>
      <c r="E331" s="1"/>
      <c r="F331" s="1"/>
      <c r="G331" s="1"/>
      <c r="H331" s="1"/>
      <c r="I331" s="21">
        <v>0.45755915022815741</v>
      </c>
      <c r="J331" s="21">
        <v>2.827008813506969E-3</v>
      </c>
      <c r="K331" s="13">
        <f t="shared" si="266"/>
        <v>17556.200102204104</v>
      </c>
      <c r="L331" s="1">
        <f t="shared" si="296"/>
        <v>4161919.8980246014</v>
      </c>
      <c r="M331">
        <f t="shared" si="273"/>
        <v>2040.0784048718817</v>
      </c>
      <c r="N331" s="1">
        <f t="shared" si="274"/>
        <v>3998.5536735488881</v>
      </c>
      <c r="O331" s="24">
        <f t="shared" si="265"/>
        <v>9523.200102204104</v>
      </c>
      <c r="P331" s="1">
        <f t="shared" si="267"/>
        <v>4161919.8980246014</v>
      </c>
      <c r="Q331">
        <f t="shared" si="268"/>
        <v>2040.0784048718817</v>
      </c>
      <c r="R331" s="1">
        <f t="shared" si="269"/>
        <v>3998.5536735488881</v>
      </c>
    </row>
    <row r="332" spans="1:20" x14ac:dyDescent="0.3">
      <c r="A332" t="s">
        <v>151</v>
      </c>
      <c r="B332">
        <v>2003</v>
      </c>
      <c r="C332" t="s">
        <v>39</v>
      </c>
      <c r="D332" s="13">
        <v>11263</v>
      </c>
      <c r="E332" s="1"/>
      <c r="F332" s="1"/>
      <c r="G332" s="1"/>
      <c r="H332" s="1"/>
      <c r="I332" s="21">
        <v>0.45755915022815741</v>
      </c>
      <c r="J332" s="21">
        <v>2.827008813506969E-3</v>
      </c>
      <c r="K332" s="13">
        <f t="shared" si="266"/>
        <v>24615.396707472279</v>
      </c>
      <c r="L332" s="1">
        <f t="shared" si="296"/>
        <v>8181752.760036231</v>
      </c>
      <c r="M332">
        <f t="shared" si="273"/>
        <v>2860.3763318899546</v>
      </c>
      <c r="N332" s="1">
        <f t="shared" si="274"/>
        <v>5606.3376105043108</v>
      </c>
      <c r="O332" s="24">
        <f t="shared" si="265"/>
        <v>13352.396707472279</v>
      </c>
      <c r="P332" s="1">
        <f t="shared" si="267"/>
        <v>8181752.760036231</v>
      </c>
      <c r="Q332">
        <f t="shared" si="268"/>
        <v>2860.3763318899546</v>
      </c>
      <c r="R332" s="1">
        <f t="shared" si="269"/>
        <v>5606.3376105043108</v>
      </c>
    </row>
    <row r="333" spans="1:20" x14ac:dyDescent="0.3">
      <c r="A333" t="s">
        <v>151</v>
      </c>
      <c r="B333">
        <v>2004</v>
      </c>
      <c r="C333" t="s">
        <v>39</v>
      </c>
      <c r="D333" s="13">
        <v>13195</v>
      </c>
      <c r="E333" s="1"/>
      <c r="F333" s="1"/>
      <c r="G333" s="1"/>
      <c r="H333" s="1"/>
      <c r="I333" s="21">
        <v>0.45755915022815741</v>
      </c>
      <c r="J333" s="21">
        <v>2.827008813506969E-3</v>
      </c>
      <c r="K333" s="13">
        <f t="shared" si="266"/>
        <v>28837.801611923707</v>
      </c>
      <c r="L333" s="1">
        <f t="shared" si="296"/>
        <v>11229410.873184105</v>
      </c>
      <c r="M333">
        <f t="shared" si="273"/>
        <v>3351.0313148617556</v>
      </c>
      <c r="N333" s="1">
        <f t="shared" si="274"/>
        <v>6568.021377129041</v>
      </c>
      <c r="O333" s="24">
        <f t="shared" si="265"/>
        <v>15642.801611923707</v>
      </c>
      <c r="P333" s="1">
        <f t="shared" si="267"/>
        <v>11229410.873184105</v>
      </c>
      <c r="Q333">
        <f t="shared" si="268"/>
        <v>3351.0313148617556</v>
      </c>
      <c r="R333" s="1">
        <f t="shared" si="269"/>
        <v>6568.021377129041</v>
      </c>
    </row>
    <row r="334" spans="1:20" x14ac:dyDescent="0.3">
      <c r="A334" t="s">
        <v>151</v>
      </c>
      <c r="B334">
        <v>2005</v>
      </c>
      <c r="C334" t="s">
        <v>39</v>
      </c>
      <c r="D334" s="13">
        <v>15329</v>
      </c>
      <c r="E334" s="1"/>
      <c r="F334" s="1"/>
      <c r="G334" s="1"/>
      <c r="H334" s="1"/>
      <c r="I334" s="21">
        <v>0.45755915022815741</v>
      </c>
      <c r="J334" s="21">
        <v>2.827008813506969E-3</v>
      </c>
      <c r="K334" s="13">
        <f t="shared" si="266"/>
        <v>33501.679492927513</v>
      </c>
      <c r="L334" s="1">
        <f t="shared" si="296"/>
        <v>15155345.162562583</v>
      </c>
      <c r="M334">
        <f t="shared" si="273"/>
        <v>3892.9866635479993</v>
      </c>
      <c r="N334" s="1">
        <f t="shared" si="274"/>
        <v>7630.2538605540785</v>
      </c>
      <c r="O334" s="24">
        <f t="shared" si="265"/>
        <v>18172.679492927513</v>
      </c>
      <c r="P334" s="1">
        <f t="shared" si="267"/>
        <v>15155345.162562583</v>
      </c>
      <c r="Q334">
        <f t="shared" si="268"/>
        <v>3892.9866635479993</v>
      </c>
      <c r="R334" s="1">
        <f t="shared" si="269"/>
        <v>7630.2538605540785</v>
      </c>
    </row>
    <row r="335" spans="1:20" x14ac:dyDescent="0.3">
      <c r="A335" t="s">
        <v>151</v>
      </c>
      <c r="B335">
        <v>2006</v>
      </c>
      <c r="C335" t="s">
        <v>39</v>
      </c>
      <c r="D335" s="13">
        <v>17714</v>
      </c>
      <c r="E335" s="1"/>
      <c r="F335" s="1"/>
      <c r="G335" s="1"/>
      <c r="H335" s="1"/>
      <c r="I335" s="21">
        <v>0.45755915022815741</v>
      </c>
      <c r="J335" s="21">
        <v>2.827008813506969E-3</v>
      </c>
      <c r="K335" s="13">
        <f t="shared" si="266"/>
        <v>38714.120329944417</v>
      </c>
      <c r="L335" s="1">
        <f t="shared" si="296"/>
        <v>20238180.459821593</v>
      </c>
      <c r="M335">
        <f t="shared" si="273"/>
        <v>4498.6865260675359</v>
      </c>
      <c r="N335" s="1">
        <f t="shared" si="274"/>
        <v>8817.4255910923694</v>
      </c>
      <c r="O335" s="24">
        <f t="shared" si="265"/>
        <v>21000.120329944417</v>
      </c>
      <c r="P335" s="1">
        <f t="shared" si="267"/>
        <v>20238180.459821593</v>
      </c>
      <c r="Q335">
        <f t="shared" si="268"/>
        <v>4498.6865260675359</v>
      </c>
      <c r="R335" s="1">
        <f t="shared" si="269"/>
        <v>8817.4255910923694</v>
      </c>
    </row>
    <row r="336" spans="1:20" x14ac:dyDescent="0.3">
      <c r="A336" t="s">
        <v>151</v>
      </c>
      <c r="B336">
        <v>2007</v>
      </c>
      <c r="C336" t="s">
        <v>39</v>
      </c>
      <c r="D336" s="13">
        <v>20368</v>
      </c>
      <c r="E336" s="1"/>
      <c r="F336" s="1"/>
      <c r="G336" s="1"/>
      <c r="H336" s="1"/>
      <c r="I336" s="21">
        <v>0.45755915022815741</v>
      </c>
      <c r="J336" s="21">
        <v>2.827008813506969E-3</v>
      </c>
      <c r="K336" s="13">
        <f t="shared" si="266"/>
        <v>44514.463299102848</v>
      </c>
      <c r="L336" s="1">
        <f t="shared" si="296"/>
        <v>26756848.278906163</v>
      </c>
      <c r="M336">
        <f t="shared" si="273"/>
        <v>5172.7022221374937</v>
      </c>
      <c r="N336" s="1">
        <f t="shared" si="274"/>
        <v>10138.496355389487</v>
      </c>
      <c r="O336" s="24">
        <f t="shared" si="265"/>
        <v>24146.463299102848</v>
      </c>
      <c r="P336" s="1">
        <f t="shared" si="267"/>
        <v>26756848.278906163</v>
      </c>
      <c r="Q336">
        <f t="shared" si="268"/>
        <v>5172.7022221374937</v>
      </c>
      <c r="R336" s="1">
        <f t="shared" si="269"/>
        <v>10138.496355389487</v>
      </c>
    </row>
    <row r="337" spans="1:20" x14ac:dyDescent="0.3">
      <c r="A337" t="s">
        <v>151</v>
      </c>
      <c r="B337">
        <v>2008</v>
      </c>
      <c r="C337" t="s">
        <v>39</v>
      </c>
      <c r="D337" s="13">
        <v>18756</v>
      </c>
      <c r="E337" s="1"/>
      <c r="F337" s="1"/>
      <c r="G337" s="1"/>
      <c r="H337" s="1"/>
      <c r="I337" s="21">
        <v>0.45755915022815741</v>
      </c>
      <c r="J337" s="21">
        <v>2.827008813506969E-3</v>
      </c>
      <c r="K337" s="13">
        <f t="shared" si="266"/>
        <v>40991.421525823498</v>
      </c>
      <c r="L337" s="1">
        <f t="shared" si="296"/>
        <v>22689171.172948774</v>
      </c>
      <c r="M337">
        <f t="shared" si="273"/>
        <v>4763.3151452479788</v>
      </c>
      <c r="N337" s="1">
        <f t="shared" si="274"/>
        <v>9336.0976846860376</v>
      </c>
      <c r="O337" s="24">
        <f t="shared" si="265"/>
        <v>22235.421525823498</v>
      </c>
      <c r="P337" s="1">
        <f t="shared" si="267"/>
        <v>22689171.172948774</v>
      </c>
      <c r="Q337">
        <f t="shared" si="268"/>
        <v>4763.3151452479788</v>
      </c>
      <c r="R337" s="1">
        <f t="shared" si="269"/>
        <v>9336.0976846860376</v>
      </c>
    </row>
    <row r="338" spans="1:20" x14ac:dyDescent="0.3">
      <c r="A338" t="s">
        <v>151</v>
      </c>
      <c r="B338">
        <v>2009</v>
      </c>
      <c r="C338" t="s">
        <v>39</v>
      </c>
      <c r="D338" s="13">
        <v>14837</v>
      </c>
      <c r="E338" s="1"/>
      <c r="F338" s="1"/>
      <c r="G338" s="1"/>
      <c r="H338" s="1"/>
      <c r="I338" s="21">
        <v>0.45755915022815741</v>
      </c>
      <c r="J338" s="21">
        <v>2.827008813506969E-3</v>
      </c>
      <c r="K338" s="13">
        <f t="shared" si="266"/>
        <v>32426.408678750442</v>
      </c>
      <c r="L338" s="1">
        <f t="shared" si="296"/>
        <v>14198104.777272861</v>
      </c>
      <c r="M338">
        <f t="shared" si="273"/>
        <v>3768.0372579464843</v>
      </c>
      <c r="N338" s="1">
        <f t="shared" si="274"/>
        <v>7385.3530255751093</v>
      </c>
      <c r="O338" s="24">
        <f t="shared" si="265"/>
        <v>17589.408678750442</v>
      </c>
      <c r="P338" s="1">
        <f t="shared" si="267"/>
        <v>14198104.777272861</v>
      </c>
      <c r="Q338">
        <f t="shared" si="268"/>
        <v>3768.0372579464843</v>
      </c>
      <c r="R338" s="1">
        <f t="shared" si="269"/>
        <v>7385.3530255751093</v>
      </c>
    </row>
    <row r="339" spans="1:20" x14ac:dyDescent="0.3">
      <c r="A339" t="s">
        <v>151</v>
      </c>
      <c r="B339">
        <v>2010</v>
      </c>
      <c r="C339" t="s">
        <v>39</v>
      </c>
      <c r="D339" s="13">
        <v>20015</v>
      </c>
      <c r="E339" s="1"/>
      <c r="F339" s="1"/>
      <c r="G339" s="1"/>
      <c r="H339" s="1"/>
      <c r="I339" s="21">
        <v>0.45755915022815741</v>
      </c>
      <c r="J339" s="21">
        <v>2.827008813506969E-3</v>
      </c>
      <c r="K339" s="13">
        <f t="shared" si="266"/>
        <v>43742.978345028649</v>
      </c>
      <c r="L339" s="1">
        <f t="shared" si="296"/>
        <v>25837433.526771665</v>
      </c>
      <c r="M339">
        <f t="shared" si="273"/>
        <v>5083.0535632404726</v>
      </c>
      <c r="N339" s="1">
        <f t="shared" si="274"/>
        <v>9962.7849839513256</v>
      </c>
      <c r="O339" s="24">
        <f t="shared" si="265"/>
        <v>23727.978345028649</v>
      </c>
      <c r="P339" s="1">
        <f t="shared" si="267"/>
        <v>25837433.526771665</v>
      </c>
      <c r="Q339">
        <f t="shared" si="268"/>
        <v>5083.0535632404726</v>
      </c>
      <c r="R339" s="1">
        <f t="shared" si="269"/>
        <v>9962.7849839513256</v>
      </c>
    </row>
    <row r="340" spans="1:20" x14ac:dyDescent="0.3">
      <c r="A340" t="s">
        <v>151</v>
      </c>
      <c r="B340">
        <v>2011</v>
      </c>
      <c r="C340" t="s">
        <v>39</v>
      </c>
      <c r="D340" s="13">
        <v>17328</v>
      </c>
      <c r="E340" s="1">
        <v>9897</v>
      </c>
      <c r="F340" s="1">
        <v>1560762.9575815795</v>
      </c>
      <c r="G340" s="11">
        <v>14883</v>
      </c>
      <c r="H340" s="1">
        <v>3882875.7395145181</v>
      </c>
      <c r="I340">
        <f t="shared" ref="I340:I348" si="316">E340/(E340+G340)</f>
        <v>0.3993946731234867</v>
      </c>
      <c r="J340">
        <f t="shared" ref="J340:J348" si="317">((((E340)^2*H340)+((G340)^2*F340))/(E340+G340)^4)</f>
        <v>1.9255651127791805E-3</v>
      </c>
      <c r="K340" s="13">
        <f t="shared" si="266"/>
        <v>43385.656259472569</v>
      </c>
      <c r="L340" s="1">
        <f t="shared" ref="L340:L364" si="318">(D340^2)*J340*(1/(I340^4))</f>
        <v>22721971.694568597</v>
      </c>
      <c r="M340">
        <f t="shared" si="273"/>
        <v>4766.7569368039522</v>
      </c>
      <c r="N340" s="1">
        <f t="shared" si="274"/>
        <v>9342.8435961357463</v>
      </c>
      <c r="O340" s="24">
        <f t="shared" si="265"/>
        <v>26057.656259472569</v>
      </c>
      <c r="P340" s="1">
        <f t="shared" si="267"/>
        <v>22721971.694568597</v>
      </c>
      <c r="Q340">
        <f t="shared" si="268"/>
        <v>4766.7569368039522</v>
      </c>
      <c r="R340" s="1">
        <f t="shared" si="269"/>
        <v>9342.8435961357463</v>
      </c>
      <c r="T340" s="2"/>
    </row>
    <row r="341" spans="1:20" x14ac:dyDescent="0.3">
      <c r="A341" t="s">
        <v>151</v>
      </c>
      <c r="B341">
        <v>2012</v>
      </c>
      <c r="C341" t="s">
        <v>39</v>
      </c>
      <c r="D341" s="13">
        <v>20908</v>
      </c>
      <c r="E341" s="1">
        <v>10764</v>
      </c>
      <c r="F341" s="1">
        <v>1295199.6134174168</v>
      </c>
      <c r="G341" s="11">
        <v>15621</v>
      </c>
      <c r="H341" s="1">
        <v>3391371.2606046209</v>
      </c>
      <c r="I341">
        <f t="shared" si="316"/>
        <v>0.40795906765207507</v>
      </c>
      <c r="J341">
        <f t="shared" si="317"/>
        <v>1.4628814272862126E-3</v>
      </c>
      <c r="K341" s="13">
        <f t="shared" si="266"/>
        <v>51250.239687848378</v>
      </c>
      <c r="L341" s="1">
        <f t="shared" si="318"/>
        <v>23087012.957423236</v>
      </c>
      <c r="M341">
        <f t="shared" si="273"/>
        <v>4804.8946874435487</v>
      </c>
      <c r="N341" s="1">
        <f t="shared" si="274"/>
        <v>9417.5935873893559</v>
      </c>
      <c r="O341" s="24">
        <f t="shared" si="265"/>
        <v>30342.239687848378</v>
      </c>
      <c r="P341" s="1">
        <f t="shared" si="267"/>
        <v>23087012.957423236</v>
      </c>
      <c r="Q341">
        <f t="shared" si="268"/>
        <v>4804.8946874435487</v>
      </c>
      <c r="R341" s="1">
        <f t="shared" si="269"/>
        <v>9417.5935873893559</v>
      </c>
      <c r="T341" s="2"/>
    </row>
    <row r="342" spans="1:20" x14ac:dyDescent="0.3">
      <c r="A342" t="s">
        <v>151</v>
      </c>
      <c r="B342">
        <v>2013</v>
      </c>
      <c r="C342" t="s">
        <v>39</v>
      </c>
      <c r="D342" s="13">
        <v>24779</v>
      </c>
      <c r="E342" s="1">
        <v>16013</v>
      </c>
      <c r="F342" s="1">
        <v>3283614.9748748839</v>
      </c>
      <c r="G342" s="11">
        <v>22145</v>
      </c>
      <c r="H342" s="1">
        <v>9420732.2242402155</v>
      </c>
      <c r="I342">
        <f t="shared" si="316"/>
        <v>0.41964987682792598</v>
      </c>
      <c r="J342">
        <f t="shared" si="317"/>
        <v>1.8989884257439953E-3</v>
      </c>
      <c r="K342" s="13">
        <f t="shared" si="266"/>
        <v>59046.842065821518</v>
      </c>
      <c r="L342" s="1">
        <f t="shared" si="318"/>
        <v>37595985.131994449</v>
      </c>
      <c r="M342">
        <f t="shared" si="273"/>
        <v>6131.5565015740049</v>
      </c>
      <c r="N342" s="1">
        <f t="shared" si="274"/>
        <v>12017.85074308505</v>
      </c>
      <c r="O342" s="24">
        <f t="shared" si="265"/>
        <v>34267.842065821518</v>
      </c>
      <c r="P342" s="1">
        <f t="shared" si="267"/>
        <v>37595985.131994449</v>
      </c>
      <c r="Q342">
        <f t="shared" si="268"/>
        <v>6131.5565015740049</v>
      </c>
      <c r="R342" s="1">
        <f t="shared" si="269"/>
        <v>12017.85074308505</v>
      </c>
      <c r="T342" s="2"/>
    </row>
    <row r="343" spans="1:20" x14ac:dyDescent="0.3">
      <c r="A343" t="s">
        <v>151</v>
      </c>
      <c r="B343">
        <v>2014</v>
      </c>
      <c r="C343" t="s">
        <v>39</v>
      </c>
      <c r="D343" s="13">
        <v>25686</v>
      </c>
      <c r="E343" s="1">
        <v>22008</v>
      </c>
      <c r="F343" s="1">
        <v>3750598.6105295285</v>
      </c>
      <c r="G343" s="11">
        <v>28405</v>
      </c>
      <c r="H343" s="1">
        <v>8116058.5979739912</v>
      </c>
      <c r="I343">
        <f t="shared" si="316"/>
        <v>0.43655406343601849</v>
      </c>
      <c r="J343">
        <f t="shared" si="317"/>
        <v>1.0771171321661756E-3</v>
      </c>
      <c r="K343" s="13">
        <f t="shared" si="266"/>
        <v>58838.073336968373</v>
      </c>
      <c r="L343" s="1">
        <f t="shared" si="318"/>
        <v>19566076.633357268</v>
      </c>
      <c r="M343">
        <f t="shared" si="273"/>
        <v>4423.3558112995233</v>
      </c>
      <c r="N343" s="1">
        <f t="shared" si="274"/>
        <v>8669.7773901470664</v>
      </c>
      <c r="O343" s="24">
        <f t="shared" si="265"/>
        <v>33152.073336968373</v>
      </c>
      <c r="P343" s="1">
        <f t="shared" si="267"/>
        <v>19566076.633357268</v>
      </c>
      <c r="Q343">
        <f t="shared" si="268"/>
        <v>4423.3558112995233</v>
      </c>
      <c r="R343" s="1">
        <f t="shared" si="269"/>
        <v>8669.7773901470664</v>
      </c>
      <c r="T343" s="2"/>
    </row>
    <row r="344" spans="1:20" x14ac:dyDescent="0.3">
      <c r="A344" t="s">
        <v>151</v>
      </c>
      <c r="B344">
        <v>2015</v>
      </c>
      <c r="C344" t="s">
        <v>39</v>
      </c>
      <c r="D344" s="13">
        <v>29160</v>
      </c>
      <c r="E344" s="1">
        <v>24718</v>
      </c>
      <c r="F344" s="1">
        <v>4807157.7314104065</v>
      </c>
      <c r="G344" s="11">
        <v>26953</v>
      </c>
      <c r="H344" s="1">
        <v>7542534.9209209476</v>
      </c>
      <c r="I344">
        <f t="shared" si="316"/>
        <v>0.47837278163766911</v>
      </c>
      <c r="J344">
        <f t="shared" si="317"/>
        <v>1.1363907949700075E-3</v>
      </c>
      <c r="K344" s="13">
        <f t="shared" si="266"/>
        <v>60956.645359656926</v>
      </c>
      <c r="L344" s="1">
        <f t="shared" si="318"/>
        <v>18451721.940392502</v>
      </c>
      <c r="M344">
        <f t="shared" si="273"/>
        <v>4295.5467568625654</v>
      </c>
      <c r="N344" s="1">
        <f t="shared" si="274"/>
        <v>8419.2716434506274</v>
      </c>
      <c r="O344" s="24">
        <f t="shared" si="265"/>
        <v>31796.645359656926</v>
      </c>
      <c r="P344" s="1">
        <f t="shared" si="267"/>
        <v>18451721.940392502</v>
      </c>
      <c r="Q344">
        <f t="shared" si="268"/>
        <v>4295.5467568625654</v>
      </c>
      <c r="R344" s="1">
        <f t="shared" si="269"/>
        <v>8419.2716434506274</v>
      </c>
      <c r="T344" s="2"/>
    </row>
    <row r="345" spans="1:20" x14ac:dyDescent="0.3">
      <c r="A345" t="s">
        <v>151</v>
      </c>
      <c r="B345">
        <v>2016</v>
      </c>
      <c r="C345" t="s">
        <v>39</v>
      </c>
      <c r="D345" s="13">
        <v>32540</v>
      </c>
      <c r="E345" s="1">
        <v>23223</v>
      </c>
      <c r="F345" s="1">
        <v>6399944.0870460356</v>
      </c>
      <c r="G345" s="11">
        <v>24169</v>
      </c>
      <c r="H345" s="1">
        <v>5252819.9974974981</v>
      </c>
      <c r="I345">
        <f t="shared" si="316"/>
        <v>0.49001941255908171</v>
      </c>
      <c r="J345">
        <f t="shared" si="317"/>
        <v>1.3026707846720235E-3</v>
      </c>
      <c r="K345" s="13">
        <f t="shared" si="266"/>
        <v>66405.532446281708</v>
      </c>
      <c r="L345" s="1">
        <f t="shared" si="318"/>
        <v>23923054.468410891</v>
      </c>
      <c r="M345">
        <f t="shared" si="273"/>
        <v>4891.1199605418478</v>
      </c>
      <c r="N345" s="1">
        <f t="shared" si="274"/>
        <v>9586.5951226620218</v>
      </c>
      <c r="O345" s="24">
        <f t="shared" si="265"/>
        <v>33865.532446281708</v>
      </c>
      <c r="P345" s="1">
        <f t="shared" si="267"/>
        <v>23923054.468410891</v>
      </c>
      <c r="Q345">
        <f t="shared" si="268"/>
        <v>4891.1199605418478</v>
      </c>
      <c r="R345" s="1">
        <f t="shared" si="269"/>
        <v>9586.5951226620218</v>
      </c>
      <c r="T345" s="2"/>
    </row>
    <row r="346" spans="1:20" x14ac:dyDescent="0.3">
      <c r="A346" t="s">
        <v>151</v>
      </c>
      <c r="B346">
        <v>2017</v>
      </c>
      <c r="C346" t="s">
        <v>39</v>
      </c>
      <c r="D346" s="13">
        <v>30249</v>
      </c>
      <c r="E346" s="1">
        <v>17659</v>
      </c>
      <c r="F346" s="1">
        <v>2770446.5813773801</v>
      </c>
      <c r="G346" s="11">
        <v>19067</v>
      </c>
      <c r="H346" s="1">
        <v>4002396.5453203283</v>
      </c>
      <c r="I346">
        <f t="shared" si="316"/>
        <v>0.48083101889669444</v>
      </c>
      <c r="J346">
        <f t="shared" si="317"/>
        <v>1.2396837052661175E-3</v>
      </c>
      <c r="K346" s="13">
        <f t="shared" si="266"/>
        <v>62909.834871736792</v>
      </c>
      <c r="L346" s="1">
        <f t="shared" si="318"/>
        <v>21220862.426665116</v>
      </c>
      <c r="M346">
        <f t="shared" si="273"/>
        <v>4606.6107309675208</v>
      </c>
      <c r="N346" s="1">
        <f t="shared" si="274"/>
        <v>9028.9570326963403</v>
      </c>
      <c r="O346" s="24">
        <f t="shared" si="265"/>
        <v>32660.834871736792</v>
      </c>
      <c r="P346" s="1">
        <f t="shared" si="267"/>
        <v>21220862.426665116</v>
      </c>
      <c r="Q346">
        <f t="shared" si="268"/>
        <v>4606.6107309675208</v>
      </c>
      <c r="R346" s="1">
        <f t="shared" si="269"/>
        <v>9028.9570326963403</v>
      </c>
      <c r="T346" s="2"/>
    </row>
    <row r="347" spans="1:20" x14ac:dyDescent="0.3">
      <c r="A347" t="s">
        <v>151</v>
      </c>
      <c r="B347">
        <v>2018</v>
      </c>
      <c r="C347" t="s">
        <v>39</v>
      </c>
      <c r="D347" s="13">
        <v>42049</v>
      </c>
      <c r="E347" s="1">
        <v>25988</v>
      </c>
      <c r="F347" s="1">
        <v>4402089.9050961118</v>
      </c>
      <c r="G347" s="11">
        <v>21462</v>
      </c>
      <c r="H347" s="1">
        <v>4078653.5267427284</v>
      </c>
      <c r="I347">
        <f t="shared" si="316"/>
        <v>0.5476923076923077</v>
      </c>
      <c r="J347">
        <f t="shared" si="317"/>
        <v>9.4339240500434412E-4</v>
      </c>
      <c r="K347" s="13">
        <f t="shared" si="266"/>
        <v>76774.8595505618</v>
      </c>
      <c r="L347" s="1">
        <f>(D347^2)*J347*(1/(I347^4))</f>
        <v>18537755.684375577</v>
      </c>
      <c r="M347">
        <f t="shared" si="273"/>
        <v>4305.5494056363559</v>
      </c>
      <c r="N347" s="1">
        <f t="shared" si="274"/>
        <v>8438.8768350472583</v>
      </c>
      <c r="O347" s="24">
        <f t="shared" si="265"/>
        <v>34725.8595505618</v>
      </c>
      <c r="P347" s="1">
        <f t="shared" si="267"/>
        <v>18537755.684375577</v>
      </c>
      <c r="Q347">
        <f t="shared" si="268"/>
        <v>4305.5494056363559</v>
      </c>
      <c r="R347" s="1">
        <f t="shared" si="269"/>
        <v>8438.8768350472583</v>
      </c>
      <c r="T347" s="2"/>
    </row>
    <row r="348" spans="1:20" x14ac:dyDescent="0.3">
      <c r="A348" t="s">
        <v>151</v>
      </c>
      <c r="B348">
        <v>2019</v>
      </c>
      <c r="C348" t="s">
        <v>39</v>
      </c>
      <c r="D348" s="13">
        <v>35867</v>
      </c>
      <c r="E348" s="1">
        <v>16087</v>
      </c>
      <c r="F348" s="1">
        <v>2683845.0087837777</v>
      </c>
      <c r="G348" s="54">
        <v>31374</v>
      </c>
      <c r="H348" s="1">
        <v>12152655.732811814</v>
      </c>
      <c r="I348">
        <f t="shared" si="316"/>
        <v>0.33895198162702006</v>
      </c>
      <c r="J348">
        <f t="shared" si="317"/>
        <v>1.1404862579561391E-3</v>
      </c>
      <c r="K348" s="13">
        <f t="shared" si="266"/>
        <v>105817.34860446323</v>
      </c>
      <c r="L348" s="1">
        <f>(D348^2)*J348*(1/(I348^4))</f>
        <v>111154603.32156514</v>
      </c>
      <c r="M348">
        <f>SQRT(L348)</f>
        <v>10542.988348735151</v>
      </c>
      <c r="N348" s="1">
        <f>(1.96*M348)</f>
        <v>20664.257163520895</v>
      </c>
      <c r="O348" s="24">
        <f t="shared" si="265"/>
        <v>69950.34860446323</v>
      </c>
      <c r="P348" s="1">
        <f>L348</f>
        <v>111154603.32156514</v>
      </c>
      <c r="Q348">
        <f>SQRT(P348)</f>
        <v>10542.988348735151</v>
      </c>
      <c r="R348" s="1">
        <f>(1.96*Q348)</f>
        <v>20664.257163520895</v>
      </c>
      <c r="T348" s="2"/>
    </row>
    <row r="349" spans="1:20" x14ac:dyDescent="0.3">
      <c r="A349" t="s">
        <v>151</v>
      </c>
      <c r="B349">
        <v>2020</v>
      </c>
      <c r="C349" t="s">
        <v>39</v>
      </c>
      <c r="D349" s="13">
        <v>11107</v>
      </c>
      <c r="E349" s="1">
        <v>8756</v>
      </c>
      <c r="F349" s="1">
        <v>896354.9672382368</v>
      </c>
      <c r="G349" s="54">
        <v>11980</v>
      </c>
      <c r="H349" s="1">
        <v>2448955.6968478397</v>
      </c>
      <c r="I349">
        <f t="shared" ref="I349:I351" si="319">E349/(E349+G349)</f>
        <v>0.42226080246913578</v>
      </c>
      <c r="J349">
        <f t="shared" ref="J349:J350" si="320">((((E349)^2*H349)+((G349)^2*F349))/(E349+G349)^4)</f>
        <v>1.7113442993009714E-3</v>
      </c>
      <c r="K349" s="13">
        <f t="shared" ref="K349:K350" si="321">D349/I349</f>
        <v>26303.649154865238</v>
      </c>
      <c r="L349" s="1">
        <f t="shared" ref="L349:L350" si="322">(D349^2)*J349*(1/(I349^4))</f>
        <v>6640608.2621304234</v>
      </c>
      <c r="M349">
        <f t="shared" ref="M349:M350" si="323">SQRT(L349)</f>
        <v>2576.937768385264</v>
      </c>
      <c r="N349" s="1">
        <f t="shared" ref="N349:N350" si="324">(1.96*M349)</f>
        <v>5050.7980260351178</v>
      </c>
      <c r="O349" s="24">
        <f t="shared" ref="O349:O350" si="325">K349-D349</f>
        <v>15196.649154865238</v>
      </c>
      <c r="P349" s="1">
        <f t="shared" ref="P349:P350" si="326">L349</f>
        <v>6640608.2621304234</v>
      </c>
      <c r="Q349">
        <f t="shared" ref="Q349:Q350" si="327">SQRT(P349)</f>
        <v>2576.937768385264</v>
      </c>
      <c r="R349" s="1">
        <f t="shared" ref="R349:R350" si="328">(1.96*Q349)</f>
        <v>5050.7980260351178</v>
      </c>
      <c r="T349" s="2"/>
    </row>
    <row r="350" spans="1:20" x14ac:dyDescent="0.3">
      <c r="A350" t="s">
        <v>151</v>
      </c>
      <c r="B350">
        <v>2021</v>
      </c>
      <c r="C350" t="s">
        <v>39</v>
      </c>
      <c r="D350" s="13">
        <v>28388</v>
      </c>
      <c r="E350" s="1">
        <v>25059</v>
      </c>
      <c r="F350" s="1">
        <v>7645726.3204644928</v>
      </c>
      <c r="G350" s="54">
        <v>12523</v>
      </c>
      <c r="H350" s="1">
        <v>3100097.4084794726</v>
      </c>
      <c r="I350">
        <f t="shared" si="319"/>
        <v>0.6667819700920653</v>
      </c>
      <c r="J350">
        <f t="shared" si="320"/>
        <v>1.5769078450866842E-3</v>
      </c>
      <c r="K350" s="13">
        <f t="shared" si="321"/>
        <v>42574.636497865038</v>
      </c>
      <c r="L350" s="1">
        <f t="shared" si="322"/>
        <v>6428956.9149598647</v>
      </c>
      <c r="M350">
        <f t="shared" si="323"/>
        <v>2535.5387819869497</v>
      </c>
      <c r="N350" s="1">
        <f t="shared" si="324"/>
        <v>4969.6560126944214</v>
      </c>
      <c r="O350" s="24">
        <f t="shared" si="325"/>
        <v>14186.636497865038</v>
      </c>
      <c r="P350" s="1">
        <f t="shared" si="326"/>
        <v>6428956.9149598647</v>
      </c>
      <c r="Q350">
        <f t="shared" si="327"/>
        <v>2535.5387819869497</v>
      </c>
      <c r="R350" s="1">
        <f t="shared" si="328"/>
        <v>4969.6560126944214</v>
      </c>
      <c r="T350" s="2"/>
    </row>
    <row r="351" spans="1:20" s="51" customFormat="1" x14ac:dyDescent="0.3">
      <c r="A351" s="51" t="s">
        <v>151</v>
      </c>
      <c r="B351" s="51">
        <v>2022</v>
      </c>
      <c r="C351" s="51" t="s">
        <v>39</v>
      </c>
      <c r="D351" s="71">
        <v>33837</v>
      </c>
      <c r="E351" s="72">
        <v>28204</v>
      </c>
      <c r="F351" s="72">
        <f>2611^2</f>
        <v>6817321</v>
      </c>
      <c r="G351" s="75">
        <v>21093</v>
      </c>
      <c r="H351" s="72">
        <f>2888^2</f>
        <v>8340544</v>
      </c>
      <c r="I351" s="51">
        <f t="shared" si="319"/>
        <v>0.57212406434468632</v>
      </c>
      <c r="J351">
        <f t="shared" ref="J351" si="329">((((E351)^2*H351)+((G351)^2*F351))/(E351+G351)^4)</f>
        <v>1.6369789186742581E-3</v>
      </c>
      <c r="K351" s="13">
        <f t="shared" ref="K351" si="330">D351/I351</f>
        <v>59142.766593391003</v>
      </c>
      <c r="L351" s="1">
        <f t="shared" ref="L351" si="331">(D351^2)*J351*(1/(I351^4))</f>
        <v>17493065.751002964</v>
      </c>
      <c r="M351">
        <f t="shared" ref="M351" si="332">SQRT(L351)</f>
        <v>4182.4712492739218</v>
      </c>
      <c r="N351" s="1">
        <f t="shared" ref="N351" si="333">(1.96*M351)</f>
        <v>8197.6436485768863</v>
      </c>
      <c r="O351" s="24">
        <f t="shared" ref="O351" si="334">K351-D351</f>
        <v>25305.766593391003</v>
      </c>
      <c r="P351" s="1">
        <f t="shared" ref="P351" si="335">L351</f>
        <v>17493065.751002964</v>
      </c>
      <c r="Q351">
        <f t="shared" ref="Q351" si="336">SQRT(P351)</f>
        <v>4182.4712492739218</v>
      </c>
      <c r="R351" s="1">
        <f t="shared" ref="R351" si="337">(1.96*Q351)</f>
        <v>8197.6436485768863</v>
      </c>
      <c r="T351" s="76"/>
    </row>
    <row r="352" spans="1:20" x14ac:dyDescent="0.3">
      <c r="A352" t="s">
        <v>151</v>
      </c>
      <c r="B352">
        <v>1998</v>
      </c>
      <c r="C352" t="s">
        <v>40</v>
      </c>
      <c r="D352" s="13">
        <v>3185</v>
      </c>
      <c r="E352" s="1"/>
      <c r="F352" s="1"/>
      <c r="G352" s="1"/>
      <c r="H352" s="1"/>
      <c r="I352" s="21">
        <f>AVERAGE(I365:I372)</f>
        <v>0.67358630125865415</v>
      </c>
      <c r="J352" s="21">
        <v>5.6341272569567459E-3</v>
      </c>
      <c r="K352" s="13">
        <f t="shared" si="266"/>
        <v>4728.4215757484271</v>
      </c>
      <c r="L352" s="1">
        <f t="shared" si="318"/>
        <v>277633.92962977174</v>
      </c>
      <c r="M352">
        <f t="shared" si="273"/>
        <v>526.90979268729836</v>
      </c>
      <c r="N352" s="1">
        <f t="shared" si="274"/>
        <v>1032.7431936671048</v>
      </c>
      <c r="O352" s="24">
        <f t="shared" si="265"/>
        <v>1543.4215757484271</v>
      </c>
      <c r="P352" s="1">
        <f t="shared" si="267"/>
        <v>277633.92962977174</v>
      </c>
      <c r="Q352">
        <f t="shared" si="268"/>
        <v>526.90979268729836</v>
      </c>
      <c r="R352" s="1">
        <f t="shared" si="269"/>
        <v>1032.7431936671048</v>
      </c>
      <c r="T352" s="2"/>
    </row>
    <row r="353" spans="1:24" x14ac:dyDescent="0.3">
      <c r="A353" t="s">
        <v>151</v>
      </c>
      <c r="B353">
        <v>1999</v>
      </c>
      <c r="C353" t="s">
        <v>40</v>
      </c>
      <c r="D353" s="13">
        <v>4616</v>
      </c>
      <c r="E353" s="1"/>
      <c r="F353" s="1"/>
      <c r="G353" s="1"/>
      <c r="H353" s="1"/>
      <c r="I353" s="21">
        <v>0.67358630125865415</v>
      </c>
      <c r="J353" s="21">
        <v>5.6341272569567459E-3</v>
      </c>
      <c r="K353" s="13">
        <f t="shared" si="266"/>
        <v>6852.8709556215817</v>
      </c>
      <c r="L353" s="1">
        <f t="shared" si="318"/>
        <v>583156.69651387446</v>
      </c>
      <c r="M353">
        <f t="shared" si="273"/>
        <v>763.64697112859324</v>
      </c>
      <c r="N353" s="1">
        <f t="shared" si="274"/>
        <v>1496.7480634120427</v>
      </c>
      <c r="O353" s="24">
        <f t="shared" si="265"/>
        <v>2236.8709556215817</v>
      </c>
      <c r="P353" s="1">
        <f t="shared" si="267"/>
        <v>583156.69651387446</v>
      </c>
      <c r="Q353">
        <f t="shared" si="268"/>
        <v>763.64697112859324</v>
      </c>
      <c r="R353" s="1">
        <f t="shared" si="269"/>
        <v>1496.7480634120427</v>
      </c>
      <c r="T353" s="2"/>
    </row>
    <row r="354" spans="1:24" x14ac:dyDescent="0.3">
      <c r="A354" t="s">
        <v>151</v>
      </c>
      <c r="B354">
        <v>2000</v>
      </c>
      <c r="C354" t="s">
        <v>40</v>
      </c>
      <c r="D354" s="13">
        <v>6910</v>
      </c>
      <c r="E354" s="1"/>
      <c r="F354" s="1"/>
      <c r="G354" s="1"/>
      <c r="H354" s="1"/>
      <c r="I354" s="21">
        <v>0.67358630125865415</v>
      </c>
      <c r="J354" s="21">
        <v>5.6341272569567459E-3</v>
      </c>
      <c r="K354" s="13">
        <f t="shared" si="266"/>
        <v>10258.522162769743</v>
      </c>
      <c r="L354" s="1">
        <f t="shared" si="318"/>
        <v>1306801.9129460659</v>
      </c>
      <c r="M354">
        <f t="shared" si="273"/>
        <v>1143.1543696920664</v>
      </c>
      <c r="N354" s="1">
        <f t="shared" si="274"/>
        <v>2240.5825645964501</v>
      </c>
      <c r="O354" s="24">
        <f t="shared" si="265"/>
        <v>3348.5221627697429</v>
      </c>
      <c r="P354" s="1">
        <f t="shared" si="267"/>
        <v>1306801.9129460659</v>
      </c>
      <c r="Q354">
        <f t="shared" si="268"/>
        <v>1143.1543696920664</v>
      </c>
      <c r="R354" s="1">
        <f t="shared" si="269"/>
        <v>2240.5825645964501</v>
      </c>
      <c r="T354" s="2"/>
    </row>
    <row r="355" spans="1:24" x14ac:dyDescent="0.3">
      <c r="A355" t="s">
        <v>151</v>
      </c>
      <c r="B355">
        <v>2001</v>
      </c>
      <c r="C355" t="s">
        <v>40</v>
      </c>
      <c r="D355" s="13">
        <v>5756</v>
      </c>
      <c r="E355" s="1"/>
      <c r="F355" s="1"/>
      <c r="G355" s="1"/>
      <c r="H355" s="1"/>
      <c r="I355" s="21">
        <v>0.67358630125865415</v>
      </c>
      <c r="J355" s="21">
        <v>5.6341272569567459E-3</v>
      </c>
      <c r="K355" s="13">
        <f t="shared" si="266"/>
        <v>8545.304423864347</v>
      </c>
      <c r="L355" s="1">
        <f t="shared" si="318"/>
        <v>906766.02050430153</v>
      </c>
      <c r="M355">
        <f t="shared" si="273"/>
        <v>952.24262690991816</v>
      </c>
      <c r="N355" s="1">
        <f t="shared" si="274"/>
        <v>1866.3955487434396</v>
      </c>
      <c r="O355" s="24">
        <f t="shared" si="265"/>
        <v>2789.304423864347</v>
      </c>
      <c r="P355" s="1">
        <f t="shared" si="267"/>
        <v>906766.02050430153</v>
      </c>
      <c r="Q355">
        <f t="shared" si="268"/>
        <v>952.24262690991816</v>
      </c>
      <c r="R355" s="1">
        <f t="shared" si="269"/>
        <v>1866.3955487434396</v>
      </c>
      <c r="T355" s="2"/>
    </row>
    <row r="356" spans="1:24" x14ac:dyDescent="0.3">
      <c r="A356" t="s">
        <v>151</v>
      </c>
      <c r="B356">
        <v>2002</v>
      </c>
      <c r="C356" t="s">
        <v>40</v>
      </c>
      <c r="D356" s="13">
        <v>7617</v>
      </c>
      <c r="E356" s="1"/>
      <c r="F356" s="1"/>
      <c r="G356" s="1"/>
      <c r="H356" s="1"/>
      <c r="I356" s="21">
        <v>0.67358630125865415</v>
      </c>
      <c r="J356" s="21">
        <v>5.6341272569567459E-3</v>
      </c>
      <c r="K356" s="13">
        <f t="shared" si="266"/>
        <v>11308.127831232579</v>
      </c>
      <c r="L356" s="1">
        <f t="shared" si="318"/>
        <v>1587894.256982432</v>
      </c>
      <c r="M356">
        <f t="shared" si="273"/>
        <v>1260.1167632336426</v>
      </c>
      <c r="N356" s="1">
        <f t="shared" si="274"/>
        <v>2469.8288559379394</v>
      </c>
      <c r="O356" s="24">
        <f t="shared" si="265"/>
        <v>3691.1278312325794</v>
      </c>
      <c r="P356" s="1">
        <f t="shared" si="267"/>
        <v>1587894.256982432</v>
      </c>
      <c r="Q356">
        <f t="shared" si="268"/>
        <v>1260.1167632336426</v>
      </c>
      <c r="R356" s="1">
        <f t="shared" si="269"/>
        <v>2469.8288559379394</v>
      </c>
      <c r="T356" s="2"/>
    </row>
    <row r="357" spans="1:24" x14ac:dyDescent="0.3">
      <c r="A357" t="s">
        <v>151</v>
      </c>
      <c r="B357">
        <v>2003</v>
      </c>
      <c r="C357" t="s">
        <v>40</v>
      </c>
      <c r="D357" s="13">
        <v>6896</v>
      </c>
      <c r="E357" s="1"/>
      <c r="F357" s="1"/>
      <c r="G357" s="1"/>
      <c r="H357" s="1"/>
      <c r="I357" s="21">
        <v>0.67358630125865415</v>
      </c>
      <c r="J357" s="21">
        <v>5.6341272569567459E-3</v>
      </c>
      <c r="K357" s="13">
        <f t="shared" si="266"/>
        <v>10237.737892107112</v>
      </c>
      <c r="L357" s="1">
        <f t="shared" si="318"/>
        <v>1301511.9872539048</v>
      </c>
      <c r="M357">
        <f t="shared" si="273"/>
        <v>1140.8382826912432</v>
      </c>
      <c r="N357" s="1">
        <f t="shared" si="274"/>
        <v>2236.0430340748367</v>
      </c>
      <c r="O357" s="24">
        <f t="shared" ref="O357:O372" si="338">K357-D357</f>
        <v>3341.7378921071122</v>
      </c>
      <c r="P357" s="1">
        <f t="shared" si="267"/>
        <v>1301511.9872539048</v>
      </c>
      <c r="Q357">
        <f t="shared" si="268"/>
        <v>1140.8382826912432</v>
      </c>
      <c r="R357" s="1">
        <f t="shared" si="269"/>
        <v>2236.0430340748367</v>
      </c>
      <c r="T357" s="2"/>
    </row>
    <row r="358" spans="1:24" x14ac:dyDescent="0.3">
      <c r="A358" t="s">
        <v>151</v>
      </c>
      <c r="B358">
        <v>2004</v>
      </c>
      <c r="C358" t="s">
        <v>40</v>
      </c>
      <c r="D358" s="13">
        <v>10061</v>
      </c>
      <c r="E358" s="1"/>
      <c r="F358" s="1"/>
      <c r="G358" s="1"/>
      <c r="H358" s="1"/>
      <c r="I358" s="21">
        <v>0.67358630125865415</v>
      </c>
      <c r="J358" s="21">
        <v>5.6341272569567459E-3</v>
      </c>
      <c r="K358" s="13">
        <f t="shared" si="266"/>
        <v>14936.467652623209</v>
      </c>
      <c r="L358" s="1">
        <f t="shared" si="318"/>
        <v>2770358.4485732173</v>
      </c>
      <c r="M358">
        <f t="shared" si="273"/>
        <v>1664.4393796630795</v>
      </c>
      <c r="N358" s="1">
        <f t="shared" si="274"/>
        <v>3262.301184139636</v>
      </c>
      <c r="O358" s="24">
        <f t="shared" si="338"/>
        <v>4875.4676526232088</v>
      </c>
      <c r="P358" s="1">
        <f t="shared" si="267"/>
        <v>2770358.4485732173</v>
      </c>
      <c r="Q358">
        <f t="shared" si="268"/>
        <v>1664.4393796630795</v>
      </c>
      <c r="R358" s="1">
        <f t="shared" si="269"/>
        <v>3262.301184139636</v>
      </c>
      <c r="T358" s="2"/>
    </row>
    <row r="359" spans="1:24" x14ac:dyDescent="0.3">
      <c r="A359" t="s">
        <v>151</v>
      </c>
      <c r="B359">
        <v>2005</v>
      </c>
      <c r="C359" t="s">
        <v>40</v>
      </c>
      <c r="D359" s="13">
        <v>12666</v>
      </c>
      <c r="E359" s="1"/>
      <c r="F359" s="1"/>
      <c r="G359" s="1"/>
      <c r="H359" s="1"/>
      <c r="I359" s="21">
        <v>0.67358630125865415</v>
      </c>
      <c r="J359" s="21">
        <v>5.6341272569567459E-3</v>
      </c>
      <c r="K359" s="13">
        <f t="shared" si="266"/>
        <v>18803.826586634088</v>
      </c>
      <c r="L359" s="1">
        <f t="shared" si="318"/>
        <v>4390688.5733686173</v>
      </c>
      <c r="M359">
        <f t="shared" si="273"/>
        <v>2095.3969966019845</v>
      </c>
      <c r="N359" s="1">
        <f t="shared" si="274"/>
        <v>4106.9781133398892</v>
      </c>
      <c r="O359" s="24">
        <f t="shared" si="338"/>
        <v>6137.826586634088</v>
      </c>
      <c r="P359" s="1">
        <f t="shared" si="267"/>
        <v>4390688.5733686173</v>
      </c>
      <c r="Q359">
        <f t="shared" si="268"/>
        <v>2095.3969966019845</v>
      </c>
      <c r="R359" s="1">
        <f t="shared" si="269"/>
        <v>4106.9781133398892</v>
      </c>
      <c r="T359" s="2"/>
    </row>
    <row r="360" spans="1:24" x14ac:dyDescent="0.3">
      <c r="A360" t="s">
        <v>151</v>
      </c>
      <c r="B360">
        <v>2006</v>
      </c>
      <c r="C360" t="s">
        <v>40</v>
      </c>
      <c r="D360" s="13">
        <v>12007</v>
      </c>
      <c r="E360" s="1"/>
      <c r="F360" s="1"/>
      <c r="G360" s="1"/>
      <c r="H360" s="1"/>
      <c r="I360" s="21">
        <v>0.67358630125865415</v>
      </c>
      <c r="J360" s="21">
        <v>5.6341272569567459E-3</v>
      </c>
      <c r="K360" s="13">
        <f t="shared" ref="K360:K372" si="339">D360/I360</f>
        <v>17825.481274728842</v>
      </c>
      <c r="L360" s="1">
        <f t="shared" si="318"/>
        <v>3945687.5188521035</v>
      </c>
      <c r="M360">
        <f>SQRT(L360)</f>
        <v>1986.3754727775167</v>
      </c>
      <c r="N360" s="1">
        <f>(1.96*M360)</f>
        <v>3893.2959266439329</v>
      </c>
      <c r="O360" s="24">
        <f t="shared" si="338"/>
        <v>5818.4812747288415</v>
      </c>
      <c r="P360" s="1">
        <f t="shared" ref="P360:P372" si="340">L360</f>
        <v>3945687.5188521035</v>
      </c>
      <c r="Q360">
        <f t="shared" ref="Q360:Q372" si="341">SQRT(P360)</f>
        <v>1986.3754727775167</v>
      </c>
      <c r="R360" s="1">
        <f t="shared" ref="R360:R372" si="342">(1.96*Q360)</f>
        <v>3893.2959266439329</v>
      </c>
      <c r="T360" s="2"/>
      <c r="U360" s="14"/>
    </row>
    <row r="361" spans="1:24" x14ac:dyDescent="0.3">
      <c r="A361" t="s">
        <v>151</v>
      </c>
      <c r="B361">
        <v>2007</v>
      </c>
      <c r="C361" t="s">
        <v>40</v>
      </c>
      <c r="D361" s="13">
        <v>12018</v>
      </c>
      <c r="E361" s="1"/>
      <c r="F361" s="1"/>
      <c r="G361" s="1"/>
      <c r="H361" s="1"/>
      <c r="I361" s="21">
        <v>0.67358630125865415</v>
      </c>
      <c r="J361" s="21">
        <v>5.6341272569567459E-3</v>
      </c>
      <c r="K361" s="13">
        <f t="shared" si="339"/>
        <v>17841.811773106623</v>
      </c>
      <c r="L361" s="1">
        <f t="shared" si="318"/>
        <v>3952920.3736786586</v>
      </c>
      <c r="M361">
        <f>SQRT(L361)</f>
        <v>1988.1952554210209</v>
      </c>
      <c r="N361" s="1">
        <f>(1.96*M361)</f>
        <v>3896.8627006252009</v>
      </c>
      <c r="O361" s="24">
        <f t="shared" si="338"/>
        <v>5823.8117731066231</v>
      </c>
      <c r="P361" s="1">
        <f t="shared" si="340"/>
        <v>3952920.3736786586</v>
      </c>
      <c r="Q361">
        <f t="shared" si="341"/>
        <v>1988.1952554210209</v>
      </c>
      <c r="R361" s="1">
        <f t="shared" si="342"/>
        <v>3896.8627006252009</v>
      </c>
      <c r="T361" s="2"/>
      <c r="U361" s="14"/>
    </row>
    <row r="362" spans="1:24" x14ac:dyDescent="0.3">
      <c r="A362" t="s">
        <v>151</v>
      </c>
      <c r="B362">
        <v>2008</v>
      </c>
      <c r="C362" t="s">
        <v>40</v>
      </c>
      <c r="D362" s="13">
        <v>17754</v>
      </c>
      <c r="E362" s="1"/>
      <c r="F362" s="1"/>
      <c r="G362" s="1"/>
      <c r="H362" s="1"/>
      <c r="I362" s="21">
        <v>0.67358630125865415</v>
      </c>
      <c r="J362" s="21">
        <v>5.6341272569567459E-3</v>
      </c>
      <c r="K362" s="13">
        <f t="shared" si="339"/>
        <v>26357.424381738641</v>
      </c>
      <c r="L362" s="1">
        <f t="shared" si="318"/>
        <v>8626727.8588684946</v>
      </c>
      <c r="M362">
        <f>SQRT(L362)</f>
        <v>2937.129186615477</v>
      </c>
      <c r="N362" s="1">
        <f>(1.96*M362)</f>
        <v>5756.7732057663352</v>
      </c>
      <c r="O362" s="24">
        <f t="shared" si="338"/>
        <v>8603.4243817386414</v>
      </c>
      <c r="P362" s="1">
        <f t="shared" si="340"/>
        <v>8626727.8588684946</v>
      </c>
      <c r="Q362">
        <f t="shared" si="341"/>
        <v>2937.129186615477</v>
      </c>
      <c r="R362" s="1">
        <f t="shared" si="342"/>
        <v>5756.7732057663352</v>
      </c>
      <c r="T362" s="2"/>
      <c r="U362" s="14"/>
    </row>
    <row r="363" spans="1:24" x14ac:dyDescent="0.3">
      <c r="A363" t="s">
        <v>151</v>
      </c>
      <c r="B363">
        <v>2009</v>
      </c>
      <c r="C363" t="s">
        <v>40</v>
      </c>
      <c r="D363" s="13">
        <v>9645</v>
      </c>
      <c r="E363" s="1"/>
      <c r="F363" s="1"/>
      <c r="G363" s="1"/>
      <c r="H363" s="1"/>
      <c r="I363" s="21">
        <v>0.67358630125865415</v>
      </c>
      <c r="J363" s="21">
        <v>5.6341272569567459E-3</v>
      </c>
      <c r="K363" s="13">
        <f t="shared" si="339"/>
        <v>14318.877895790762</v>
      </c>
      <c r="L363" s="1">
        <f t="shared" si="318"/>
        <v>2545998.4255660125</v>
      </c>
      <c r="M363">
        <f>SQRT(L363)</f>
        <v>1595.6185087814733</v>
      </c>
      <c r="N363" s="1">
        <f>(1.96*M363)</f>
        <v>3127.4122772116875</v>
      </c>
      <c r="O363" s="24">
        <f t="shared" si="338"/>
        <v>4673.8778957907616</v>
      </c>
      <c r="P363" s="1">
        <f t="shared" si="340"/>
        <v>2545998.4255660125</v>
      </c>
      <c r="Q363">
        <f t="shared" si="341"/>
        <v>1595.6185087814733</v>
      </c>
      <c r="R363" s="1">
        <f t="shared" si="342"/>
        <v>3127.4122772116875</v>
      </c>
      <c r="T363" s="2"/>
      <c r="U363" s="14"/>
    </row>
    <row r="364" spans="1:24" x14ac:dyDescent="0.3">
      <c r="A364" t="s">
        <v>151</v>
      </c>
      <c r="B364">
        <v>2010</v>
      </c>
      <c r="C364" t="s">
        <v>40</v>
      </c>
      <c r="D364" s="13">
        <v>12415</v>
      </c>
      <c r="E364" s="1"/>
      <c r="F364" s="1"/>
      <c r="G364" s="1"/>
      <c r="H364" s="1"/>
      <c r="I364" s="21">
        <v>0.67358630125865415</v>
      </c>
      <c r="J364" s="21">
        <v>5.6341272569567459E-3</v>
      </c>
      <c r="K364" s="13">
        <f t="shared" si="339"/>
        <v>18431.194305468358</v>
      </c>
      <c r="L364" s="1">
        <f t="shared" si="318"/>
        <v>4218393.7471152442</v>
      </c>
      <c r="M364">
        <f>SQRT(L364)</f>
        <v>2053.8728653729386</v>
      </c>
      <c r="N364" s="1">
        <f>(1.96*M364)</f>
        <v>4025.5908161309594</v>
      </c>
      <c r="O364" s="24">
        <f t="shared" si="338"/>
        <v>6016.1943054683579</v>
      </c>
      <c r="P364" s="1">
        <f t="shared" si="340"/>
        <v>4218393.7471152442</v>
      </c>
      <c r="Q364">
        <f t="shared" si="341"/>
        <v>2053.8728653729386</v>
      </c>
      <c r="R364" s="1">
        <f t="shared" si="342"/>
        <v>4025.5908161309594</v>
      </c>
      <c r="T364" s="2"/>
      <c r="U364" s="14"/>
    </row>
    <row r="365" spans="1:24" x14ac:dyDescent="0.3">
      <c r="A365" t="s">
        <v>151</v>
      </c>
      <c r="B365">
        <v>2011</v>
      </c>
      <c r="C365" t="s">
        <v>40</v>
      </c>
      <c r="D365" s="13">
        <v>11926</v>
      </c>
      <c r="E365" s="1">
        <v>10660</v>
      </c>
      <c r="F365" s="1">
        <v>3867387.9387297141</v>
      </c>
      <c r="G365" s="67">
        <v>4916</v>
      </c>
      <c r="H365" s="1">
        <v>1921853.0486126088</v>
      </c>
      <c r="I365">
        <f t="shared" ref="I365:I372" si="343">E365/(E365+G365)</f>
        <v>0.68438623523369291</v>
      </c>
      <c r="J365">
        <f t="shared" ref="J365:J372" si="344">((((E365)^2*H365)+((G365)^2*F365))/(E365+G365)^4)</f>
        <v>5.2981956270710933E-3</v>
      </c>
      <c r="K365" s="13">
        <f t="shared" si="339"/>
        <v>17425.832645403378</v>
      </c>
      <c r="L365" s="1">
        <f t="shared" ref="L365:L372" si="345">(D365^2)*J365*(1/(I365^4))</f>
        <v>3434887.6393615259</v>
      </c>
      <c r="M365">
        <f t="shared" ref="M365:M372" si="346">SQRT(L365)</f>
        <v>1853.3449866016649</v>
      </c>
      <c r="N365" s="1">
        <f t="shared" ref="N365:N372" si="347">(1.96*M365)</f>
        <v>3632.5561737392632</v>
      </c>
      <c r="O365" s="24">
        <f t="shared" si="338"/>
        <v>5499.8326454033777</v>
      </c>
      <c r="P365" s="1">
        <f t="shared" si="340"/>
        <v>3434887.6393615259</v>
      </c>
      <c r="Q365">
        <f t="shared" si="341"/>
        <v>1853.3449866016649</v>
      </c>
      <c r="R365" s="1">
        <f t="shared" si="342"/>
        <v>3632.5561737392632</v>
      </c>
      <c r="T365" s="2"/>
      <c r="U365" s="14"/>
      <c r="V365" s="2"/>
      <c r="W365" s="17"/>
      <c r="X365" s="17"/>
    </row>
    <row r="366" spans="1:24" x14ac:dyDescent="0.3">
      <c r="A366" t="s">
        <v>151</v>
      </c>
      <c r="B366">
        <v>2012</v>
      </c>
      <c r="C366" t="s">
        <v>40</v>
      </c>
      <c r="D366" s="13">
        <v>14290</v>
      </c>
      <c r="E366" s="1">
        <v>10532</v>
      </c>
      <c r="F366" s="1">
        <v>1809865.8409519477</v>
      </c>
      <c r="G366" s="67">
        <v>5315</v>
      </c>
      <c r="H366" s="1">
        <v>1446858.9784894967</v>
      </c>
      <c r="I366">
        <f t="shared" si="343"/>
        <v>0.66460528806714203</v>
      </c>
      <c r="J366">
        <f t="shared" si="344"/>
        <v>3.3555436866087454E-3</v>
      </c>
      <c r="K366" s="13">
        <f t="shared" si="339"/>
        <v>21501.484048613747</v>
      </c>
      <c r="L366" s="1">
        <f t="shared" si="345"/>
        <v>3512142.9566568048</v>
      </c>
      <c r="M366">
        <f t="shared" si="346"/>
        <v>1874.0712250757185</v>
      </c>
      <c r="N366" s="1">
        <f t="shared" si="347"/>
        <v>3673.1796011484084</v>
      </c>
      <c r="O366" s="24">
        <f t="shared" si="338"/>
        <v>7211.4840486137473</v>
      </c>
      <c r="P366" s="1">
        <f t="shared" si="340"/>
        <v>3512142.9566568048</v>
      </c>
      <c r="Q366">
        <f t="shared" si="341"/>
        <v>1874.0712250757185</v>
      </c>
      <c r="R366" s="1">
        <f t="shared" si="342"/>
        <v>3673.1796011484084</v>
      </c>
      <c r="T366" s="2"/>
      <c r="U366" s="14"/>
      <c r="V366" s="2"/>
      <c r="W366" s="17"/>
      <c r="X366" s="17"/>
    </row>
    <row r="367" spans="1:24" x14ac:dyDescent="0.3">
      <c r="A367" t="s">
        <v>151</v>
      </c>
      <c r="B367">
        <v>2013</v>
      </c>
      <c r="C367" t="s">
        <v>40</v>
      </c>
      <c r="D367" s="13">
        <v>15619</v>
      </c>
      <c r="E367" s="1">
        <v>6679</v>
      </c>
      <c r="F367" s="1">
        <v>1120758.7991991951</v>
      </c>
      <c r="G367" s="67">
        <v>3021</v>
      </c>
      <c r="H367" s="1">
        <v>397753.71081081062</v>
      </c>
      <c r="I367">
        <f t="shared" si="343"/>
        <v>0.68855670103092781</v>
      </c>
      <c r="J367">
        <f t="shared" si="344"/>
        <v>3.1596269995216491E-3</v>
      </c>
      <c r="K367" s="13">
        <f t="shared" si="339"/>
        <v>22683.680191645457</v>
      </c>
      <c r="L367" s="1">
        <f t="shared" si="345"/>
        <v>3429125.8906986257</v>
      </c>
      <c r="M367">
        <f t="shared" si="346"/>
        <v>1851.7899153788007</v>
      </c>
      <c r="N367" s="1">
        <f t="shared" si="347"/>
        <v>3629.5082341424495</v>
      </c>
      <c r="O367" s="24">
        <f t="shared" si="338"/>
        <v>7064.6801916454569</v>
      </c>
      <c r="P367" s="1">
        <f t="shared" si="340"/>
        <v>3429125.8906986257</v>
      </c>
      <c r="Q367">
        <f t="shared" si="341"/>
        <v>1851.7899153788007</v>
      </c>
      <c r="R367" s="1">
        <f t="shared" si="342"/>
        <v>3629.5082341424495</v>
      </c>
      <c r="T367" s="2"/>
      <c r="U367" s="14"/>
      <c r="V367" s="2"/>
      <c r="W367" s="17"/>
      <c r="X367" s="17"/>
    </row>
    <row r="368" spans="1:24" x14ac:dyDescent="0.3">
      <c r="A368" t="s">
        <v>151</v>
      </c>
      <c r="B368">
        <v>2014</v>
      </c>
      <c r="C368" t="s">
        <v>40</v>
      </c>
      <c r="D368" s="13">
        <v>18453</v>
      </c>
      <c r="E368" s="1">
        <v>7370</v>
      </c>
      <c r="F368" s="1">
        <v>1795956.444219216</v>
      </c>
      <c r="G368" s="67">
        <v>2384</v>
      </c>
      <c r="H368" s="1">
        <v>713052.28782382398</v>
      </c>
      <c r="I368">
        <f t="shared" si="343"/>
        <v>0.75558745130202998</v>
      </c>
      <c r="J368">
        <f t="shared" si="344"/>
        <v>5.4064908346572026E-3</v>
      </c>
      <c r="K368" s="13">
        <f t="shared" si="339"/>
        <v>24422.057259158752</v>
      </c>
      <c r="L368" s="1">
        <f t="shared" si="345"/>
        <v>5648205.4842977012</v>
      </c>
      <c r="M368">
        <f t="shared" si="346"/>
        <v>2376.595355608039</v>
      </c>
      <c r="N368" s="1">
        <f t="shared" si="347"/>
        <v>4658.1268969917564</v>
      </c>
      <c r="O368" s="24">
        <f t="shared" si="338"/>
        <v>5969.0572591587515</v>
      </c>
      <c r="P368" s="1">
        <f t="shared" si="340"/>
        <v>5648205.4842977012</v>
      </c>
      <c r="Q368">
        <f t="shared" si="341"/>
        <v>2376.595355608039</v>
      </c>
      <c r="R368" s="1">
        <f t="shared" si="342"/>
        <v>4658.1268969917564</v>
      </c>
      <c r="T368" s="2"/>
      <c r="U368" s="14"/>
      <c r="V368" s="2"/>
      <c r="W368" s="17"/>
      <c r="X368" s="17"/>
    </row>
    <row r="369" spans="1:24" x14ac:dyDescent="0.3">
      <c r="A369" t="s">
        <v>151</v>
      </c>
      <c r="B369">
        <v>2015</v>
      </c>
      <c r="C369" t="s">
        <v>40</v>
      </c>
      <c r="D369" s="13">
        <v>17669</v>
      </c>
      <c r="E369" s="1">
        <v>5794</v>
      </c>
      <c r="F369" s="1">
        <v>1165829.0123683619</v>
      </c>
      <c r="G369" s="67">
        <v>5098</v>
      </c>
      <c r="H369" s="1">
        <v>1634303.3824824786</v>
      </c>
      <c r="I369">
        <f t="shared" si="343"/>
        <v>0.53195005508630189</v>
      </c>
      <c r="J369">
        <f t="shared" si="344"/>
        <v>6.0509567565608874E-3</v>
      </c>
      <c r="K369" s="13">
        <f t="shared" si="339"/>
        <v>33215.524335519505</v>
      </c>
      <c r="L369" s="1">
        <f t="shared" si="345"/>
        <v>23591989.047447968</v>
      </c>
      <c r="M369">
        <f t="shared" si="346"/>
        <v>4857.1585363716476</v>
      </c>
      <c r="N369" s="1">
        <f t="shared" si="347"/>
        <v>9520.0307312884288</v>
      </c>
      <c r="O369" s="24">
        <f t="shared" si="338"/>
        <v>15546.524335519505</v>
      </c>
      <c r="P369" s="1">
        <f t="shared" si="340"/>
        <v>23591989.047447968</v>
      </c>
      <c r="Q369">
        <f t="shared" si="341"/>
        <v>4857.1585363716476</v>
      </c>
      <c r="R369" s="1">
        <f t="shared" si="342"/>
        <v>9520.0307312884288</v>
      </c>
      <c r="T369" s="2"/>
      <c r="U369" s="14"/>
      <c r="V369" s="2"/>
      <c r="W369" s="17"/>
      <c r="X369" s="17"/>
    </row>
    <row r="370" spans="1:24" x14ac:dyDescent="0.3">
      <c r="A370" t="s">
        <v>151</v>
      </c>
      <c r="B370">
        <v>2016</v>
      </c>
      <c r="C370" t="s">
        <v>40</v>
      </c>
      <c r="D370" s="13">
        <v>17707</v>
      </c>
      <c r="E370" s="1">
        <v>6131</v>
      </c>
      <c r="F370" s="1">
        <v>1340603.0809649625</v>
      </c>
      <c r="G370" s="67">
        <v>3300</v>
      </c>
      <c r="H370" s="1">
        <v>1032163.6266256294</v>
      </c>
      <c r="I370">
        <f t="shared" si="343"/>
        <v>0.65009012830028634</v>
      </c>
      <c r="J370">
        <f t="shared" si="344"/>
        <v>6.749763885598687E-3</v>
      </c>
      <c r="K370" s="13">
        <f t="shared" si="339"/>
        <v>27237.761702821725</v>
      </c>
      <c r="L370" s="1">
        <f t="shared" si="345"/>
        <v>11849070.145310419</v>
      </c>
      <c r="M370">
        <f t="shared" si="346"/>
        <v>3442.2478332203827</v>
      </c>
      <c r="N370" s="1">
        <f t="shared" si="347"/>
        <v>6746.8057531119503</v>
      </c>
      <c r="O370" s="24">
        <f t="shared" si="338"/>
        <v>9530.7617028217246</v>
      </c>
      <c r="P370" s="1">
        <f t="shared" si="340"/>
        <v>11849070.145310419</v>
      </c>
      <c r="Q370">
        <f t="shared" si="341"/>
        <v>3442.2478332203827</v>
      </c>
      <c r="R370" s="1">
        <f t="shared" si="342"/>
        <v>6746.8057531119503</v>
      </c>
      <c r="T370" s="2"/>
      <c r="U370" s="14"/>
      <c r="V370" s="2"/>
      <c r="W370" s="17"/>
      <c r="X370" s="17"/>
    </row>
    <row r="371" spans="1:24" x14ac:dyDescent="0.3">
      <c r="A371" t="s">
        <v>151</v>
      </c>
      <c r="B371">
        <v>2017</v>
      </c>
      <c r="C371" t="s">
        <v>40</v>
      </c>
      <c r="D371" s="13">
        <v>20760</v>
      </c>
      <c r="E371" s="1">
        <v>8494</v>
      </c>
      <c r="F371" s="1">
        <v>2665750.1723964033</v>
      </c>
      <c r="G371" s="67">
        <v>3036</v>
      </c>
      <c r="H371" s="1">
        <v>1244052.9679429431</v>
      </c>
      <c r="I371">
        <f t="shared" si="343"/>
        <v>0.7366869037294016</v>
      </c>
      <c r="J371">
        <f t="shared" si="344"/>
        <v>6.4689162399247553E-3</v>
      </c>
      <c r="K371" s="13">
        <f t="shared" si="339"/>
        <v>28180.221332705438</v>
      </c>
      <c r="L371" s="1">
        <f t="shared" si="345"/>
        <v>9465736.8938175309</v>
      </c>
      <c r="M371">
        <f t="shared" si="346"/>
        <v>3076.6437710299729</v>
      </c>
      <c r="N371" s="1">
        <f t="shared" si="347"/>
        <v>6030.2217912187471</v>
      </c>
      <c r="O371" s="24">
        <f t="shared" si="338"/>
        <v>7420.2213327054378</v>
      </c>
      <c r="P371" s="1">
        <f t="shared" si="340"/>
        <v>9465736.8938175309</v>
      </c>
      <c r="Q371">
        <f t="shared" si="341"/>
        <v>3076.6437710299729</v>
      </c>
      <c r="R371" s="1">
        <f t="shared" si="342"/>
        <v>6030.2217912187471</v>
      </c>
      <c r="T371" s="2"/>
      <c r="U371" s="14"/>
      <c r="V371" s="2"/>
      <c r="W371" s="17"/>
      <c r="X371" s="17"/>
    </row>
    <row r="372" spans="1:24" x14ac:dyDescent="0.3">
      <c r="A372" t="s">
        <v>151</v>
      </c>
      <c r="B372">
        <v>2018</v>
      </c>
      <c r="C372" t="s">
        <v>40</v>
      </c>
      <c r="D372" s="13">
        <v>26949</v>
      </c>
      <c r="E372" s="1">
        <v>7638</v>
      </c>
      <c r="F372" s="1">
        <v>1429079.7715305276</v>
      </c>
      <c r="G372" s="67">
        <v>3647</v>
      </c>
      <c r="H372" s="1">
        <v>697142.61438938964</v>
      </c>
      <c r="I372">
        <f t="shared" si="343"/>
        <v>0.67682764731945055</v>
      </c>
      <c r="J372">
        <f t="shared" si="344"/>
        <v>3.6796790011301784E-3</v>
      </c>
      <c r="K372" s="13">
        <f t="shared" si="339"/>
        <v>39816.635899450121</v>
      </c>
      <c r="L372" s="1">
        <f t="shared" si="345"/>
        <v>12734528.822682161</v>
      </c>
      <c r="M372">
        <f t="shared" si="346"/>
        <v>3568.5471585341506</v>
      </c>
      <c r="N372" s="1">
        <f t="shared" si="347"/>
        <v>6994.3524307269354</v>
      </c>
      <c r="O372" s="24">
        <f t="shared" si="338"/>
        <v>12867.635899450121</v>
      </c>
      <c r="P372" s="1">
        <f t="shared" si="340"/>
        <v>12734528.822682161</v>
      </c>
      <c r="Q372">
        <f t="shared" si="341"/>
        <v>3568.5471585341506</v>
      </c>
      <c r="R372" s="1">
        <f t="shared" si="342"/>
        <v>6994.3524307269354</v>
      </c>
      <c r="T372" s="2"/>
      <c r="U372" s="14"/>
      <c r="V372" s="2"/>
      <c r="W372" s="17"/>
      <c r="X372" s="17"/>
    </row>
    <row r="373" spans="1:24" x14ac:dyDescent="0.3">
      <c r="A373" t="s">
        <v>151</v>
      </c>
      <c r="B373">
        <v>2019</v>
      </c>
      <c r="C373" t="s">
        <v>40</v>
      </c>
      <c r="D373" s="13">
        <v>22912</v>
      </c>
      <c r="E373" s="1">
        <v>5714</v>
      </c>
      <c r="F373" s="1">
        <v>1122352.6726686719</v>
      </c>
      <c r="G373" s="67">
        <v>4080</v>
      </c>
      <c r="H373" s="1">
        <v>1180985.3076436392</v>
      </c>
      <c r="I373">
        <f>E373/(E373+G373)</f>
        <v>0.58341841944047379</v>
      </c>
      <c r="J373">
        <f>((((E373)^2*H373)+((G373)^2*F373))/(E373+G373)^4)</f>
        <v>6.2212100181521365E-3</v>
      </c>
      <c r="K373" s="13">
        <f>D373/I373</f>
        <v>39271.985999299963</v>
      </c>
      <c r="L373" s="1">
        <f>(D373^2)*J373*(1/(I373^4))</f>
        <v>28189042.115738388</v>
      </c>
      <c r="M373">
        <f>SQRT(L373)</f>
        <v>5309.335374200653</v>
      </c>
      <c r="N373" s="1">
        <f>(1.96*M373)</f>
        <v>10406.29733343328</v>
      </c>
      <c r="O373" s="24">
        <f>K373-D373</f>
        <v>16359.985999299963</v>
      </c>
      <c r="P373" s="1">
        <f>L373</f>
        <v>28189042.115738388</v>
      </c>
      <c r="Q373">
        <f>SQRT(P373)</f>
        <v>5309.335374200653</v>
      </c>
      <c r="R373" s="1">
        <f>(1.96*Q373)</f>
        <v>10406.29733343328</v>
      </c>
    </row>
    <row r="374" spans="1:24" x14ac:dyDescent="0.3">
      <c r="A374" t="s">
        <v>151</v>
      </c>
      <c r="B374">
        <v>2020</v>
      </c>
      <c r="C374" t="s">
        <v>40</v>
      </c>
      <c r="D374" s="13">
        <v>12619</v>
      </c>
      <c r="E374" s="56">
        <v>7659</v>
      </c>
      <c r="F374" s="56">
        <v>955013.16630230402</v>
      </c>
      <c r="G374" s="56">
        <v>1681</v>
      </c>
      <c r="H374" s="56">
        <v>425319.48908908927</v>
      </c>
      <c r="I374">
        <f t="shared" ref="I374:I376" si="348">E374/(E374+G374)</f>
        <v>0.82002141327623124</v>
      </c>
      <c r="J374">
        <f t="shared" ref="J374:J375" si="349">((((E374)^2*H374)+((G374)^2*F374))/(E374+G374)^4)</f>
        <v>3.633090458161967E-3</v>
      </c>
      <c r="K374" s="13">
        <f t="shared" ref="K374:K375" si="350">D374/I374</f>
        <v>15388.622535579058</v>
      </c>
      <c r="L374" s="1">
        <f t="shared" ref="L374:L375" si="351">(D374^2)*J374*(1/(I374^4))</f>
        <v>1279455.8924929332</v>
      </c>
      <c r="M374">
        <f t="shared" ref="M374:M375" si="352">SQRT(L374)</f>
        <v>1131.1303605212502</v>
      </c>
      <c r="N374" s="1">
        <f t="shared" ref="N374:N375" si="353">(1.96*M374)</f>
        <v>2217.0155066216503</v>
      </c>
      <c r="O374" s="24">
        <f t="shared" ref="O374:O375" si="354">K374-D374</f>
        <v>2769.6225355790575</v>
      </c>
      <c r="P374" s="1">
        <f t="shared" ref="P374:P375" si="355">L374</f>
        <v>1279455.8924929332</v>
      </c>
      <c r="Q374">
        <f t="shared" ref="Q374:Q375" si="356">SQRT(P374)</f>
        <v>1131.1303605212502</v>
      </c>
      <c r="R374" s="1">
        <f t="shared" ref="R374:R375" si="357">(1.96*Q374)</f>
        <v>2217.0155066216503</v>
      </c>
    </row>
    <row r="375" spans="1:24" x14ac:dyDescent="0.3">
      <c r="A375" t="s">
        <v>151</v>
      </c>
      <c r="B375">
        <v>2021</v>
      </c>
      <c r="C375" t="s">
        <v>40</v>
      </c>
      <c r="D375" s="13">
        <v>29399</v>
      </c>
      <c r="E375" s="1">
        <v>13977</v>
      </c>
      <c r="F375" s="1">
        <v>3885561.0306306407</v>
      </c>
      <c r="G375" s="1">
        <v>794</v>
      </c>
      <c r="H375" s="1">
        <v>98814.45841741738</v>
      </c>
      <c r="I375">
        <f t="shared" si="348"/>
        <v>0.94624602261187463</v>
      </c>
      <c r="J375">
        <f t="shared" si="349"/>
        <v>4.5697504851607682E-4</v>
      </c>
      <c r="K375" s="13">
        <f t="shared" si="350"/>
        <v>31069.087000071548</v>
      </c>
      <c r="L375" s="1">
        <f t="shared" si="351"/>
        <v>492653.23167840909</v>
      </c>
      <c r="M375">
        <f t="shared" si="352"/>
        <v>701.89260694098289</v>
      </c>
      <c r="N375" s="1">
        <f t="shared" si="353"/>
        <v>1375.7095096043265</v>
      </c>
      <c r="O375" s="24">
        <f t="shared" si="354"/>
        <v>1670.0870000715477</v>
      </c>
      <c r="P375" s="1">
        <f t="shared" si="355"/>
        <v>492653.23167840909</v>
      </c>
      <c r="Q375">
        <f t="shared" si="356"/>
        <v>701.89260694098289</v>
      </c>
      <c r="R375" s="1">
        <f t="shared" si="357"/>
        <v>1375.7095096043265</v>
      </c>
    </row>
    <row r="376" spans="1:24" s="51" customFormat="1" x14ac:dyDescent="0.3">
      <c r="A376" s="51" t="s">
        <v>151</v>
      </c>
      <c r="B376" s="51">
        <v>2022</v>
      </c>
      <c r="C376" s="51" t="s">
        <v>40</v>
      </c>
      <c r="D376" s="85">
        <v>38456</v>
      </c>
      <c r="E376" s="85">
        <v>16856</v>
      </c>
      <c r="F376" s="85">
        <f>2333^2</f>
        <v>5442889</v>
      </c>
      <c r="G376" s="85">
        <v>2656</v>
      </c>
      <c r="H376" s="85">
        <f>1102^2</f>
        <v>1214404</v>
      </c>
      <c r="I376" s="51">
        <f t="shared" si="348"/>
        <v>0.86387863878638782</v>
      </c>
      <c r="J376">
        <f t="shared" ref="J376" si="358">((((E376)^2*H376)+((G376)^2*F376))/(E376+G376)^4)</f>
        <v>2.6453808757815828E-3</v>
      </c>
      <c r="K376" s="13">
        <f t="shared" ref="K376" si="359">D376/I376</f>
        <v>44515.512102515429</v>
      </c>
      <c r="L376" s="1">
        <f t="shared" ref="L376" si="360">(D376^2)*J376*(1/(I376^4))</f>
        <v>7024339.3858510992</v>
      </c>
      <c r="M376">
        <f t="shared" ref="M376" si="361">SQRT(L376)</f>
        <v>2650.3470312114032</v>
      </c>
      <c r="N376" s="1">
        <f t="shared" ref="N376" si="362">(1.96*M376)</f>
        <v>5194.6801811743499</v>
      </c>
      <c r="O376" s="24">
        <f t="shared" ref="O376" si="363">K376-D376</f>
        <v>6059.5121025154294</v>
      </c>
      <c r="P376" s="1">
        <f t="shared" ref="P376" si="364">L376</f>
        <v>7024339.3858510992</v>
      </c>
      <c r="Q376">
        <f t="shared" ref="Q376" si="365">SQRT(P376)</f>
        <v>2650.3470312114032</v>
      </c>
      <c r="R376" s="1">
        <f t="shared" ref="R376" si="366">(1.96*Q376)</f>
        <v>5194.6801811743499</v>
      </c>
    </row>
  </sheetData>
  <autoFilter ref="A1:Y376" xr:uid="{AB616BBE-BEA9-4A2C-A98C-67B806577655}">
    <filterColumn colId="0">
      <filters>
        <filter val="SE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387E4-43BA-466A-BCCA-7389D939CDB2}">
  <dimension ref="A1:AN93"/>
  <sheetViews>
    <sheetView topLeftCell="A13" zoomScale="80" zoomScaleNormal="80" workbookViewId="0">
      <selection activeCell="AH29" sqref="AH29"/>
    </sheetView>
  </sheetViews>
  <sheetFormatPr defaultRowHeight="14.4" x14ac:dyDescent="0.3"/>
  <sheetData>
    <row r="1" spans="1:32" x14ac:dyDescent="0.3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</row>
    <row r="2" spans="1:32" x14ac:dyDescent="0.3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</row>
    <row r="3" spans="1:32" x14ac:dyDescent="0.3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</row>
    <row r="4" spans="1:32" x14ac:dyDescent="0.3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</row>
    <row r="5" spans="1:32" x14ac:dyDescent="0.3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</row>
    <row r="6" spans="1:32" x14ac:dyDescent="0.3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</row>
    <row r="7" spans="1:32" x14ac:dyDescent="0.3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</row>
    <row r="8" spans="1:32" x14ac:dyDescent="0.3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</row>
    <row r="9" spans="1:32" x14ac:dyDescent="0.3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</row>
    <row r="10" spans="1:32" x14ac:dyDescent="0.3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</row>
    <row r="11" spans="1:32" x14ac:dyDescent="0.3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</row>
    <row r="12" spans="1:32" x14ac:dyDescent="0.3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</row>
    <row r="13" spans="1:32" x14ac:dyDescent="0.3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</row>
    <row r="14" spans="1:32" x14ac:dyDescent="0.3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</row>
    <row r="15" spans="1:32" x14ac:dyDescent="0.3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</row>
    <row r="16" spans="1:32" x14ac:dyDescent="0.3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</row>
    <row r="17" spans="1:32" x14ac:dyDescent="0.3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</row>
    <row r="18" spans="1:32" x14ac:dyDescent="0.3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</row>
    <row r="19" spans="1:32" x14ac:dyDescent="0.3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</row>
    <row r="20" spans="1:32" x14ac:dyDescent="0.3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</row>
    <row r="21" spans="1:32" x14ac:dyDescent="0.3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</row>
    <row r="22" spans="1:32" x14ac:dyDescent="0.3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</row>
    <row r="23" spans="1:32" x14ac:dyDescent="0.3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</row>
    <row r="24" spans="1:32" x14ac:dyDescent="0.3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</row>
    <row r="25" spans="1:32" x14ac:dyDescent="0.3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</row>
    <row r="26" spans="1:32" x14ac:dyDescent="0.3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</row>
    <row r="27" spans="1:32" x14ac:dyDescent="0.3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</row>
    <row r="28" spans="1:32" x14ac:dyDescent="0.3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</row>
    <row r="29" spans="1:32" x14ac:dyDescent="0.3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</row>
    <row r="30" spans="1:32" x14ac:dyDescent="0.3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</row>
    <row r="31" spans="1:32" x14ac:dyDescent="0.3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</row>
    <row r="32" spans="1:32" x14ac:dyDescent="0.3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</row>
    <row r="33" spans="1:40" x14ac:dyDescent="0.3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</row>
    <row r="34" spans="1:40" x14ac:dyDescent="0.3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</row>
    <row r="37" spans="1:40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3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3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3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3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3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3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0" x14ac:dyDescent="0.3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</row>
    <row r="50" spans="1:40" x14ac:dyDescent="0.3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</row>
    <row r="51" spans="1:40" x14ac:dyDescent="0.3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</row>
    <row r="52" spans="1:40" x14ac:dyDescent="0.3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</row>
    <row r="53" spans="1:40" x14ac:dyDescent="0.3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</row>
    <row r="54" spans="1:40" x14ac:dyDescent="0.3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</row>
    <row r="59" spans="1:40" x14ac:dyDescent="0.3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</row>
    <row r="60" spans="1:40" x14ac:dyDescent="0.3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</row>
    <row r="61" spans="1:40" x14ac:dyDescent="0.3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</row>
    <row r="62" spans="1:40" x14ac:dyDescent="0.3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</row>
    <row r="63" spans="1:40" x14ac:dyDescent="0.3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</row>
    <row r="64" spans="1:40" x14ac:dyDescent="0.3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</row>
    <row r="65" spans="1:32" x14ac:dyDescent="0.3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</row>
    <row r="66" spans="1:32" x14ac:dyDescent="0.3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</row>
    <row r="67" spans="1:32" x14ac:dyDescent="0.3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</row>
    <row r="68" spans="1:32" x14ac:dyDescent="0.3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</row>
    <row r="69" spans="1:32" x14ac:dyDescent="0.3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</row>
    <row r="70" spans="1:32" x14ac:dyDescent="0.3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</row>
    <row r="71" spans="1:32" x14ac:dyDescent="0.3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</row>
    <row r="72" spans="1:32" x14ac:dyDescent="0.3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</row>
    <row r="73" spans="1:32" x14ac:dyDescent="0.3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3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5" spans="1:32" x14ac:dyDescent="0.3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</row>
    <row r="76" spans="1:32" x14ac:dyDescent="0.3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</row>
    <row r="77" spans="1:32" x14ac:dyDescent="0.3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</row>
    <row r="78" spans="1:32" x14ac:dyDescent="0.3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</row>
    <row r="79" spans="1:32" x14ac:dyDescent="0.3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</row>
    <row r="80" spans="1:32" x14ac:dyDescent="0.3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</row>
    <row r="81" spans="1:32" x14ac:dyDescent="0.3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</row>
    <row r="82" spans="1:32" x14ac:dyDescent="0.3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</row>
    <row r="83" spans="1:32" x14ac:dyDescent="0.3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</row>
    <row r="84" spans="1:32" x14ac:dyDescent="0.3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</row>
    <row r="85" spans="1:32" x14ac:dyDescent="0.3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</row>
    <row r="86" spans="1:32" x14ac:dyDescent="0.3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</row>
    <row r="87" spans="1:32" x14ac:dyDescent="0.3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</row>
    <row r="88" spans="1:32" x14ac:dyDescent="0.3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</row>
    <row r="89" spans="1:32" x14ac:dyDescent="0.3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</row>
    <row r="90" spans="1:32" x14ac:dyDescent="0.3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</row>
    <row r="91" spans="1:32" x14ac:dyDescent="0.3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</row>
    <row r="92" spans="1:32" x14ac:dyDescent="0.3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</row>
    <row r="93" spans="1:32" x14ac:dyDescent="0.3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F5AE8-B819-413D-BA91-2953E76628D4}">
  <sheetPr>
    <tabColor theme="9"/>
  </sheetPr>
  <dimension ref="A1:AC377"/>
  <sheetViews>
    <sheetView zoomScale="80" zoomScaleNormal="80" workbookViewId="0">
      <pane ySplit="2" topLeftCell="A337" activePane="bottomLeft" state="frozen"/>
      <selection pane="bottomLeft" activeCell="R3" sqref="R3:R377"/>
    </sheetView>
  </sheetViews>
  <sheetFormatPr defaultRowHeight="14.4" x14ac:dyDescent="0.3"/>
  <cols>
    <col min="3" max="3" width="14.88671875" customWidth="1"/>
    <col min="4" max="4" width="14" customWidth="1"/>
    <col min="6" max="6" width="9.109375" customWidth="1"/>
    <col min="7" max="7" width="12" bestFit="1" customWidth="1"/>
    <col min="8" max="8" width="9.5546875" style="4" bestFit="1" customWidth="1"/>
    <col min="9" max="9" width="11.5546875" customWidth="1"/>
    <col min="10" max="10" width="9.109375" customWidth="1"/>
    <col min="11" max="11" width="4.44140625" customWidth="1"/>
    <col min="12" max="12" width="6.44140625" customWidth="1"/>
    <col min="16" max="16" width="12.33203125" bestFit="1" customWidth="1"/>
    <col min="17" max="17" width="10.5546875" style="13" bestFit="1" customWidth="1"/>
    <col min="18" max="18" width="11.44140625" customWidth="1"/>
    <col min="19" max="19" width="8.109375" style="4" customWidth="1"/>
    <col min="20" max="20" width="6.44140625" style="4" customWidth="1"/>
    <col min="21" max="21" width="14.5546875" customWidth="1"/>
    <col min="22" max="22" width="13.5546875" style="13" customWidth="1"/>
    <col min="23" max="23" width="12.88671875" bestFit="1" customWidth="1"/>
    <col min="24" max="24" width="12.33203125" bestFit="1" customWidth="1"/>
    <col min="25" max="25" width="8.5546875" bestFit="1" customWidth="1"/>
  </cols>
  <sheetData>
    <row r="1" spans="1:29" x14ac:dyDescent="0.3">
      <c r="A1" s="110" t="str">
        <f>'rockfish harvests'!A1</f>
        <v>Region</v>
      </c>
      <c r="B1" s="110" t="str">
        <f>'rockfish harvests'!B1</f>
        <v>year</v>
      </c>
      <c r="C1" s="110" t="str">
        <f>'rockfish harvests'!C1</f>
        <v>RptArea</v>
      </c>
      <c r="D1" s="109" t="s">
        <v>16</v>
      </c>
      <c r="E1" s="109"/>
      <c r="F1" s="109"/>
      <c r="G1" s="109"/>
      <c r="H1" s="109"/>
      <c r="I1" s="109"/>
      <c r="J1" s="109"/>
      <c r="K1" s="109"/>
      <c r="M1" s="109" t="s">
        <v>17</v>
      </c>
      <c r="N1" s="109"/>
      <c r="O1" s="109"/>
      <c r="P1" s="109"/>
      <c r="Q1" s="109"/>
      <c r="R1" s="109"/>
      <c r="S1" s="9"/>
      <c r="T1" s="9"/>
      <c r="V1" s="109" t="s">
        <v>29</v>
      </c>
      <c r="W1" s="109"/>
      <c r="X1" s="109"/>
      <c r="Y1" s="109"/>
    </row>
    <row r="2" spans="1:29" s="3" customFormat="1" ht="65.25" customHeight="1" x14ac:dyDescent="0.35">
      <c r="A2" s="110"/>
      <c r="B2" s="110"/>
      <c r="C2" s="110"/>
      <c r="D2" s="3" t="s">
        <v>58</v>
      </c>
      <c r="E2" s="3" t="s">
        <v>69</v>
      </c>
      <c r="F2" s="3" t="s">
        <v>73</v>
      </c>
      <c r="G2" s="3" t="s">
        <v>72</v>
      </c>
      <c r="H2" s="8" t="s">
        <v>70</v>
      </c>
      <c r="I2" s="3" t="s">
        <v>71</v>
      </c>
      <c r="J2" s="3" t="s">
        <v>15</v>
      </c>
      <c r="K2" s="3" t="s">
        <v>20</v>
      </c>
      <c r="M2" s="3" t="s">
        <v>65</v>
      </c>
      <c r="N2" s="3" t="s">
        <v>66</v>
      </c>
      <c r="O2" s="3" t="s">
        <v>74</v>
      </c>
      <c r="P2" s="3" t="s">
        <v>75</v>
      </c>
      <c r="Q2" s="3" t="s">
        <v>76</v>
      </c>
      <c r="R2" s="3" t="s">
        <v>110</v>
      </c>
      <c r="S2" s="3" t="s">
        <v>19</v>
      </c>
      <c r="T2" s="3" t="s">
        <v>21</v>
      </c>
      <c r="V2" s="12" t="s">
        <v>133</v>
      </c>
      <c r="W2" s="3" t="s">
        <v>134</v>
      </c>
      <c r="X2" s="3" t="s">
        <v>22</v>
      </c>
      <c r="Y2" s="3" t="s">
        <v>23</v>
      </c>
      <c r="AB2" s="26" t="s">
        <v>80</v>
      </c>
    </row>
    <row r="3" spans="1:29" x14ac:dyDescent="0.3">
      <c r="A3" t="str">
        <f>'rockfish harvests'!A2</f>
        <v>SC</v>
      </c>
      <c r="B3">
        <f>'rockfish harvests'!B2</f>
        <v>1998</v>
      </c>
      <c r="C3" t="str">
        <f>'rockfish harvests'!C2</f>
        <v>AFOGNAK</v>
      </c>
      <c r="D3">
        <f>'rockfish harvests'!D2</f>
        <v>416</v>
      </c>
      <c r="E3">
        <v>329</v>
      </c>
      <c r="F3" s="27">
        <f>F153</f>
        <v>0.80412371100000002</v>
      </c>
      <c r="G3" s="27">
        <f>G153</f>
        <v>1.640716E-3</v>
      </c>
      <c r="H3" s="7">
        <f>E3*F3</f>
        <v>264.55670091899998</v>
      </c>
      <c r="I3">
        <f>(E3^2)*G3</f>
        <v>177.592740556</v>
      </c>
      <c r="J3">
        <f>SQRT(I3)</f>
        <v>13.326392631016091</v>
      </c>
      <c r="K3" s="6">
        <f>(1.96*J3)</f>
        <v>26.119729556791537</v>
      </c>
      <c r="M3" s="2">
        <f>'rockfish harvests'!O2</f>
        <v>113.5015960846614</v>
      </c>
      <c r="N3">
        <f>'rockfish harvests'!P2</f>
        <v>3943.5752117924521</v>
      </c>
      <c r="O3" s="27">
        <f t="shared" ref="O3:P26" si="0">O153</f>
        <v>0.83333333300000001</v>
      </c>
      <c r="P3" s="27">
        <f t="shared" si="0"/>
        <v>1.5605490000000001E-3</v>
      </c>
      <c r="Q3" s="13">
        <f t="shared" ref="Q3:Q53" si="1">M3*O3</f>
        <v>94.584663366050634</v>
      </c>
      <c r="R3" s="2">
        <f>(M3^2)*P3+(O3^2)*N3+(P3*N3)</f>
        <v>2764.8519850040389</v>
      </c>
      <c r="S3">
        <f>SQRT(R3)</f>
        <v>52.581859847327948</v>
      </c>
      <c r="T3" s="6">
        <f>(1.96*S3)</f>
        <v>103.06044530076278</v>
      </c>
      <c r="V3" s="13">
        <f>Q3+H3</f>
        <v>359.1413642850506</v>
      </c>
      <c r="W3">
        <f t="shared" ref="W3:W53" si="2">R3+I3</f>
        <v>2942.4447255600389</v>
      </c>
      <c r="X3">
        <f>SQRT(W3)</f>
        <v>54.244305927535279</v>
      </c>
      <c r="Y3" s="6">
        <f>(1.96*X3)</f>
        <v>106.31883961796915</v>
      </c>
      <c r="Z3" s="14">
        <f>X3/V3</f>
        <v>0.15103887026636553</v>
      </c>
      <c r="AB3" s="32"/>
      <c r="AC3" t="s">
        <v>84</v>
      </c>
    </row>
    <row r="4" spans="1:29" x14ac:dyDescent="0.3">
      <c r="A4" t="str">
        <f>'rockfish harvests'!A3</f>
        <v>SC</v>
      </c>
      <c r="B4">
        <f>'rockfish harvests'!B3</f>
        <v>1999</v>
      </c>
      <c r="C4" t="str">
        <f>'rockfish harvests'!C3</f>
        <v>AFOGNAK</v>
      </c>
      <c r="D4">
        <f>'rockfish harvests'!D3</f>
        <v>506</v>
      </c>
      <c r="E4">
        <v>419</v>
      </c>
      <c r="F4" s="27">
        <f t="shared" ref="F4:G27" si="3">F154</f>
        <v>0.876190476</v>
      </c>
      <c r="G4" s="27">
        <f t="shared" si="3"/>
        <v>1.0430839999999999E-3</v>
      </c>
      <c r="H4" s="7">
        <f>E4*F4</f>
        <v>367.12380944400002</v>
      </c>
      <c r="I4">
        <f>(E4^2)*G4</f>
        <v>183.12487012399998</v>
      </c>
      <c r="J4">
        <f t="shared" ref="J4:J54" si="4">SQRT(I4)</f>
        <v>13.532363804007044</v>
      </c>
      <c r="K4" s="6">
        <f t="shared" ref="K4:K54" si="5">(1.96*J4)</f>
        <v>26.523433055853808</v>
      </c>
      <c r="M4" s="2">
        <f>'rockfish harvests'!O3</f>
        <v>138.05722985297768</v>
      </c>
      <c r="N4">
        <f>'rockfish harvests'!P3</f>
        <v>5834.5115045216135</v>
      </c>
      <c r="O4" s="27">
        <f t="shared" si="0"/>
        <v>0.71300448400000005</v>
      </c>
      <c r="P4" s="27">
        <f t="shared" si="0"/>
        <v>9.2175299999999998E-4</v>
      </c>
      <c r="Q4" s="13">
        <f>M4*O4</f>
        <v>98.435423933791753</v>
      </c>
      <c r="R4" s="2">
        <f t="shared" ref="R4:R67" si="6">(M4^2)*P4+(O4^2)*N4+(P4*N4)</f>
        <v>2989.0684912270472</v>
      </c>
      <c r="S4">
        <f t="shared" ref="S4:S54" si="7">SQRT(R4)</f>
        <v>54.672374113687866</v>
      </c>
      <c r="T4" s="6">
        <f t="shared" ref="T4:T54" si="8">(1.96*S4)</f>
        <v>107.15785326282821</v>
      </c>
      <c r="V4" s="13">
        <f t="shared" ref="V4:V53" si="9">Q4+H4</f>
        <v>465.55923337779177</v>
      </c>
      <c r="W4">
        <f t="shared" si="2"/>
        <v>3172.1933613510473</v>
      </c>
      <c r="X4">
        <f t="shared" ref="X4:X54" si="10">SQRT(W4)</f>
        <v>56.322227950881413</v>
      </c>
      <c r="Y4" s="6">
        <f t="shared" ref="Y4:Y54" si="11">(1.96*X4)</f>
        <v>110.39156678372757</v>
      </c>
      <c r="Z4" s="14">
        <f t="shared" ref="Z4:Z49" si="12">X4/V4</f>
        <v>0.12097757688585478</v>
      </c>
    </row>
    <row r="5" spans="1:29" x14ac:dyDescent="0.3">
      <c r="A5" t="str">
        <f>'rockfish harvests'!A4</f>
        <v>SC</v>
      </c>
      <c r="B5">
        <f>'rockfish harvests'!B4</f>
        <v>2000</v>
      </c>
      <c r="C5" t="str">
        <f>'rockfish harvests'!C4</f>
        <v>AFOGNAK</v>
      </c>
      <c r="D5">
        <f>'rockfish harvests'!D4</f>
        <v>1412</v>
      </c>
      <c r="E5">
        <v>1224</v>
      </c>
      <c r="F5" s="27">
        <f t="shared" si="3"/>
        <v>0.91176470600000004</v>
      </c>
      <c r="G5" s="27">
        <f t="shared" si="3"/>
        <v>7.9653299999999998E-4</v>
      </c>
      <c r="H5" s="7">
        <f>E5*F5</f>
        <v>1116.0000001440001</v>
      </c>
      <c r="I5">
        <f t="shared" ref="I5:I55" si="13">(E5^2)*G5</f>
        <v>1193.346623808</v>
      </c>
      <c r="J5">
        <f t="shared" si="4"/>
        <v>34.544849454122676</v>
      </c>
      <c r="K5" s="6">
        <f t="shared" si="5"/>
        <v>67.707904930080446</v>
      </c>
      <c r="M5" s="2">
        <f>'rockfish harvests'!O4</f>
        <v>385.25060978736042</v>
      </c>
      <c r="N5">
        <f>'rockfish harvests'!P4</f>
        <v>45433.151217293431</v>
      </c>
      <c r="O5" s="27">
        <f t="shared" si="0"/>
        <v>0.743589744</v>
      </c>
      <c r="P5" s="27">
        <f t="shared" si="0"/>
        <v>9.828040000000001E-4</v>
      </c>
      <c r="Q5" s="13">
        <f t="shared" si="1"/>
        <v>286.46840230762723</v>
      </c>
      <c r="R5" s="2">
        <f t="shared" si="6"/>
        <v>25311.674994021036</v>
      </c>
      <c r="S5">
        <f t="shared" si="7"/>
        <v>159.09643300219221</v>
      </c>
      <c r="T5" s="6">
        <f t="shared" si="8"/>
        <v>311.82900868429675</v>
      </c>
      <c r="V5" s="13">
        <f t="shared" si="9"/>
        <v>1402.4684024516273</v>
      </c>
      <c r="W5">
        <f t="shared" si="2"/>
        <v>26505.021617829036</v>
      </c>
      <c r="X5">
        <f t="shared" si="10"/>
        <v>162.80362900693902</v>
      </c>
      <c r="Y5" s="6">
        <f t="shared" si="11"/>
        <v>319.09511285360048</v>
      </c>
      <c r="Z5" s="14">
        <f t="shared" si="12"/>
        <v>0.11608363419977606</v>
      </c>
    </row>
    <row r="6" spans="1:29" x14ac:dyDescent="0.3">
      <c r="A6" t="str">
        <f>'rockfish harvests'!A5</f>
        <v>SC</v>
      </c>
      <c r="B6">
        <f>'rockfish harvests'!B5</f>
        <v>2001</v>
      </c>
      <c r="C6" t="str">
        <f>'rockfish harvests'!C5</f>
        <v>AFOGNAK</v>
      </c>
      <c r="D6">
        <f>'rockfish harvests'!D5</f>
        <v>535</v>
      </c>
      <c r="E6">
        <v>477</v>
      </c>
      <c r="F6" s="27">
        <f t="shared" si="3"/>
        <v>0.95081967199999995</v>
      </c>
      <c r="G6" s="27">
        <f t="shared" si="3"/>
        <v>7.7935999999999999E-4</v>
      </c>
      <c r="H6" s="7">
        <f t="shared" ref="H6:H54" si="14">E6*F6</f>
        <v>453.54098354399997</v>
      </c>
      <c r="I6">
        <f t="shared" si="13"/>
        <v>177.32700144</v>
      </c>
      <c r="J6">
        <f t="shared" si="4"/>
        <v>13.316418491471346</v>
      </c>
      <c r="K6" s="6">
        <f t="shared" si="5"/>
        <v>26.100180243283837</v>
      </c>
      <c r="M6" s="2">
        <f>'rockfish harvests'!O5</f>
        <v>145.96960073387947</v>
      </c>
      <c r="N6">
        <f>'rockfish harvests'!P5</f>
        <v>6522.4540899783578</v>
      </c>
      <c r="O6" s="27">
        <f t="shared" si="0"/>
        <v>0.82022471900000005</v>
      </c>
      <c r="P6" s="27">
        <f t="shared" si="0"/>
        <v>1.6756379999999999E-3</v>
      </c>
      <c r="Q6" s="13">
        <f t="shared" si="1"/>
        <v>119.72787474448849</v>
      </c>
      <c r="R6" s="2">
        <f t="shared" si="6"/>
        <v>4434.7345383664815</v>
      </c>
      <c r="S6">
        <f t="shared" si="7"/>
        <v>66.593802552238159</v>
      </c>
      <c r="T6" s="6">
        <f t="shared" si="8"/>
        <v>130.5238530023868</v>
      </c>
      <c r="V6" s="13">
        <f t="shared" si="9"/>
        <v>573.26885828848845</v>
      </c>
      <c r="W6">
        <f t="shared" si="2"/>
        <v>4612.061539806482</v>
      </c>
      <c r="X6">
        <f t="shared" si="10"/>
        <v>67.912160470761648</v>
      </c>
      <c r="Y6" s="6">
        <f t="shared" si="11"/>
        <v>133.10783452269283</v>
      </c>
      <c r="Z6" s="14">
        <f t="shared" si="12"/>
        <v>0.11846476481125359</v>
      </c>
    </row>
    <row r="7" spans="1:29" x14ac:dyDescent="0.3">
      <c r="A7" t="str">
        <f>'rockfish harvests'!A6</f>
        <v>SC</v>
      </c>
      <c r="B7">
        <f>'rockfish harvests'!B6</f>
        <v>2002</v>
      </c>
      <c r="C7" t="str">
        <f>'rockfish harvests'!C6</f>
        <v>AFOGNAK</v>
      </c>
      <c r="D7">
        <f>'rockfish harvests'!D6</f>
        <v>345</v>
      </c>
      <c r="E7">
        <v>291</v>
      </c>
      <c r="F7" s="27">
        <f t="shared" si="3"/>
        <v>0.87719298199999995</v>
      </c>
      <c r="G7" s="27">
        <f t="shared" si="3"/>
        <v>1.923669E-3</v>
      </c>
      <c r="H7" s="7">
        <f t="shared" si="14"/>
        <v>255.26315776199999</v>
      </c>
      <c r="I7">
        <f t="shared" si="13"/>
        <v>162.89821458899999</v>
      </c>
      <c r="J7">
        <f t="shared" si="4"/>
        <v>12.763158487968408</v>
      </c>
      <c r="K7" s="6">
        <f t="shared" si="5"/>
        <v>25.015790636418078</v>
      </c>
      <c r="M7" s="2">
        <f>'rockfish harvests'!O6</f>
        <v>94.129929445212042</v>
      </c>
      <c r="N7">
        <f>'rockfish harvests'!P6</f>
        <v>2712.3245630524034</v>
      </c>
      <c r="O7" s="27">
        <f t="shared" si="0"/>
        <v>0.60843373499999998</v>
      </c>
      <c r="P7" s="27">
        <f t="shared" si="0"/>
        <v>1.443892E-3</v>
      </c>
      <c r="Q7" s="13">
        <f t="shared" si="1"/>
        <v>57.271824547636839</v>
      </c>
      <c r="R7" s="2">
        <f t="shared" si="6"/>
        <v>1020.7896239233999</v>
      </c>
      <c r="S7">
        <f t="shared" si="7"/>
        <v>31.949798495818403</v>
      </c>
      <c r="T7" s="6">
        <f t="shared" si="8"/>
        <v>62.621605051804067</v>
      </c>
      <c r="V7" s="13">
        <f t="shared" si="9"/>
        <v>312.5349823096368</v>
      </c>
      <c r="W7">
        <f t="shared" si="2"/>
        <v>1183.6878385123998</v>
      </c>
      <c r="X7">
        <f t="shared" si="10"/>
        <v>34.404764764671768</v>
      </c>
      <c r="Y7" s="6">
        <f t="shared" si="11"/>
        <v>67.433338938756663</v>
      </c>
      <c r="Z7" s="14">
        <f t="shared" si="12"/>
        <v>0.11008292419114236</v>
      </c>
    </row>
    <row r="8" spans="1:29" x14ac:dyDescent="0.3">
      <c r="A8" t="str">
        <f>'rockfish harvests'!A7</f>
        <v>SC</v>
      </c>
      <c r="B8">
        <f>'rockfish harvests'!B7</f>
        <v>2003</v>
      </c>
      <c r="C8" t="str">
        <f>'rockfish harvests'!C7</f>
        <v>AFOGNAK</v>
      </c>
      <c r="D8">
        <f>'rockfish harvests'!D7</f>
        <v>567</v>
      </c>
      <c r="E8">
        <v>484</v>
      </c>
      <c r="F8" s="27">
        <f t="shared" si="3"/>
        <v>0.85869565199999998</v>
      </c>
      <c r="G8" s="27">
        <f t="shared" si="3"/>
        <v>1.3333780000000001E-3</v>
      </c>
      <c r="H8" s="7">
        <f t="shared" si="14"/>
        <v>415.60869556799997</v>
      </c>
      <c r="I8">
        <f t="shared" si="13"/>
        <v>312.35179676800004</v>
      </c>
      <c r="J8">
        <f t="shared" si="4"/>
        <v>17.673477212139101</v>
      </c>
      <c r="K8" s="6">
        <f t="shared" si="5"/>
        <v>34.64001533579264</v>
      </c>
      <c r="M8" s="2">
        <f>'rockfish harvests'!O7</f>
        <v>154.70049274039195</v>
      </c>
      <c r="N8">
        <f>'rockfish harvests'!P7</f>
        <v>7326.0450447481962</v>
      </c>
      <c r="O8" s="27">
        <f t="shared" si="0"/>
        <v>0.73262032099999996</v>
      </c>
      <c r="P8" s="27">
        <f t="shared" si="0"/>
        <v>1.05316E-3</v>
      </c>
      <c r="Q8" s="13">
        <f t="shared" si="1"/>
        <v>113.33672465032411</v>
      </c>
      <c r="R8" s="2">
        <f t="shared" si="6"/>
        <v>3965.0467045651239</v>
      </c>
      <c r="S8">
        <f t="shared" si="7"/>
        <v>62.968616822708789</v>
      </c>
      <c r="T8" s="6">
        <f t="shared" si="8"/>
        <v>123.41848897250922</v>
      </c>
      <c r="V8" s="13">
        <f t="shared" si="9"/>
        <v>528.9454202183241</v>
      </c>
      <c r="W8">
        <f t="shared" si="2"/>
        <v>4277.3985013331239</v>
      </c>
      <c r="X8">
        <f t="shared" si="10"/>
        <v>65.401823379269203</v>
      </c>
      <c r="Y8" s="6">
        <f t="shared" si="11"/>
        <v>128.18757382336764</v>
      </c>
      <c r="Z8" s="14">
        <f t="shared" si="12"/>
        <v>0.12364569363749169</v>
      </c>
    </row>
    <row r="9" spans="1:29" x14ac:dyDescent="0.3">
      <c r="A9" t="str">
        <f>'rockfish harvests'!A8</f>
        <v>SC</v>
      </c>
      <c r="B9">
        <f>'rockfish harvests'!B8</f>
        <v>2004</v>
      </c>
      <c r="C9" t="str">
        <f>'rockfish harvests'!C8</f>
        <v>AFOGNAK</v>
      </c>
      <c r="D9">
        <f>'rockfish harvests'!D8</f>
        <v>468</v>
      </c>
      <c r="E9">
        <v>338</v>
      </c>
      <c r="F9" s="27">
        <f t="shared" si="3"/>
        <v>0.77564102599999996</v>
      </c>
      <c r="G9" s="27">
        <f t="shared" si="3"/>
        <v>1.122723E-3</v>
      </c>
      <c r="H9" s="7">
        <f t="shared" si="14"/>
        <v>262.16666678799999</v>
      </c>
      <c r="I9">
        <f t="shared" si="13"/>
        <v>128.26436641199999</v>
      </c>
      <c r="J9">
        <f t="shared" si="4"/>
        <v>11.325385927728908</v>
      </c>
      <c r="K9" s="6">
        <f t="shared" si="5"/>
        <v>22.197756418348657</v>
      </c>
      <c r="M9" s="2">
        <f>'rockfish harvests'!O8</f>
        <v>127.68929559524418</v>
      </c>
      <c r="N9">
        <f>'rockfish harvests'!P8</f>
        <v>4991.087377424823</v>
      </c>
      <c r="O9" s="27">
        <f t="shared" si="0"/>
        <v>0.77966101700000001</v>
      </c>
      <c r="P9" s="27">
        <f t="shared" si="0"/>
        <v>1.4682880000000001E-3</v>
      </c>
      <c r="Q9" s="13">
        <f t="shared" si="1"/>
        <v>99.554366063801695</v>
      </c>
      <c r="R9" s="2">
        <f t="shared" si="6"/>
        <v>3065.2069175945689</v>
      </c>
      <c r="S9">
        <f t="shared" si="7"/>
        <v>55.364310865345097</v>
      </c>
      <c r="T9" s="6">
        <f t="shared" si="8"/>
        <v>108.51404929607639</v>
      </c>
      <c r="V9" s="13">
        <f t="shared" si="9"/>
        <v>361.72103285180168</v>
      </c>
      <c r="W9">
        <f t="shared" si="2"/>
        <v>3193.471284006569</v>
      </c>
      <c r="X9">
        <f t="shared" si="10"/>
        <v>56.510806789556355</v>
      </c>
      <c r="Y9" s="6">
        <f t="shared" si="11"/>
        <v>110.76118130753045</v>
      </c>
      <c r="Z9" s="14">
        <f t="shared" si="12"/>
        <v>0.15622759435365491</v>
      </c>
    </row>
    <row r="10" spans="1:29" x14ac:dyDescent="0.3">
      <c r="A10" t="str">
        <f>'rockfish harvests'!A9</f>
        <v>SC</v>
      </c>
      <c r="B10">
        <f>'rockfish harvests'!B9</f>
        <v>2005</v>
      </c>
      <c r="C10" t="str">
        <f>'rockfish harvests'!C9</f>
        <v>AFOGNAK</v>
      </c>
      <c r="D10">
        <f>'rockfish harvests'!D9</f>
        <v>1385</v>
      </c>
      <c r="E10">
        <v>1179</v>
      </c>
      <c r="F10" s="27">
        <f t="shared" si="3"/>
        <v>0.93277310899999999</v>
      </c>
      <c r="G10" s="27">
        <f t="shared" si="3"/>
        <v>5.3141899999999999E-4</v>
      </c>
      <c r="H10" s="7">
        <f t="shared" si="14"/>
        <v>1099.7394955110001</v>
      </c>
      <c r="I10">
        <f t="shared" si="13"/>
        <v>738.69419817899995</v>
      </c>
      <c r="J10">
        <f t="shared" si="4"/>
        <v>27.178929305235702</v>
      </c>
      <c r="K10" s="6">
        <f t="shared" si="5"/>
        <v>53.270701438261973</v>
      </c>
      <c r="M10" s="2">
        <f>'rockfish harvests'!O9</f>
        <v>377.8839196568656</v>
      </c>
      <c r="N10">
        <f>'rockfish harvests'!P9</f>
        <v>43712.235118346529</v>
      </c>
      <c r="O10" s="27">
        <f t="shared" si="0"/>
        <v>0.82183908000000006</v>
      </c>
      <c r="P10" s="27">
        <f t="shared" si="0"/>
        <v>8.4635600000000004E-4</v>
      </c>
      <c r="Q10" s="13">
        <f t="shared" si="1"/>
        <v>310.55977287759237</v>
      </c>
      <c r="R10" s="2">
        <f t="shared" si="6"/>
        <v>29681.947406568284</v>
      </c>
      <c r="S10">
        <f t="shared" si="7"/>
        <v>172.28449554898515</v>
      </c>
      <c r="T10" s="6">
        <f t="shared" si="8"/>
        <v>337.67761127601091</v>
      </c>
      <c r="V10" s="13">
        <f t="shared" si="9"/>
        <v>1410.2992683885925</v>
      </c>
      <c r="W10">
        <f t="shared" si="2"/>
        <v>30420.641604747285</v>
      </c>
      <c r="X10">
        <f t="shared" si="10"/>
        <v>174.41514155814363</v>
      </c>
      <c r="Y10" s="6">
        <f t="shared" si="11"/>
        <v>341.8536774539615</v>
      </c>
      <c r="Z10" s="14">
        <f t="shared" si="12"/>
        <v>0.12367243284287477</v>
      </c>
    </row>
    <row r="11" spans="1:29" x14ac:dyDescent="0.3">
      <c r="A11" t="str">
        <f>'rockfish harvests'!A10</f>
        <v>SC</v>
      </c>
      <c r="B11">
        <f>'rockfish harvests'!B10</f>
        <v>2006</v>
      </c>
      <c r="C11" t="str">
        <f>'rockfish harvests'!C10</f>
        <v>AFOGNAK</v>
      </c>
      <c r="D11">
        <f>'rockfish harvests'!D10</f>
        <v>925</v>
      </c>
      <c r="E11">
        <v>766</v>
      </c>
      <c r="F11" s="27">
        <f t="shared" si="3"/>
        <v>0.866071429</v>
      </c>
      <c r="G11" s="27">
        <f t="shared" si="3"/>
        <v>1.0449700000000001E-3</v>
      </c>
      <c r="H11" s="7">
        <f t="shared" si="14"/>
        <v>663.41071461399997</v>
      </c>
      <c r="I11">
        <f t="shared" si="13"/>
        <v>613.14241732000005</v>
      </c>
      <c r="J11">
        <f t="shared" si="4"/>
        <v>24.761712729938534</v>
      </c>
      <c r="K11" s="6">
        <f t="shared" si="5"/>
        <v>48.532956950679527</v>
      </c>
      <c r="M11" s="2">
        <f>'rockfish harvests'!O10</f>
        <v>252.37734706324954</v>
      </c>
      <c r="N11">
        <f>'rockfish harvests'!P10</f>
        <v>19497.859309067106</v>
      </c>
      <c r="O11" s="27">
        <f t="shared" si="0"/>
        <v>0.79807692299999999</v>
      </c>
      <c r="P11" s="27">
        <f t="shared" si="0"/>
        <v>1.564565E-3</v>
      </c>
      <c r="Q11" s="13">
        <f t="shared" si="1"/>
        <v>201.41653657914128</v>
      </c>
      <c r="R11" s="2">
        <f t="shared" si="6"/>
        <v>12548.868229947771</v>
      </c>
      <c r="S11">
        <f t="shared" si="7"/>
        <v>112.02173106119977</v>
      </c>
      <c r="T11" s="6">
        <f t="shared" si="8"/>
        <v>219.56259287995155</v>
      </c>
      <c r="V11" s="13">
        <f t="shared" si="9"/>
        <v>864.82725119314125</v>
      </c>
      <c r="W11">
        <f t="shared" si="2"/>
        <v>13162.010647267771</v>
      </c>
      <c r="X11">
        <f t="shared" si="10"/>
        <v>114.72580637009169</v>
      </c>
      <c r="Y11" s="6">
        <f t="shared" si="11"/>
        <v>224.86258048537971</v>
      </c>
      <c r="Z11" s="14">
        <f t="shared" si="12"/>
        <v>0.13265748299653204</v>
      </c>
    </row>
    <row r="12" spans="1:29" x14ac:dyDescent="0.3">
      <c r="A12" t="str">
        <f>'rockfish harvests'!A11</f>
        <v>SC</v>
      </c>
      <c r="B12">
        <f>'rockfish harvests'!B11</f>
        <v>2007</v>
      </c>
      <c r="C12" t="str">
        <f>'rockfish harvests'!C11</f>
        <v>AFOGNAK</v>
      </c>
      <c r="D12">
        <f>'rockfish harvests'!D11</f>
        <v>2488</v>
      </c>
      <c r="E12">
        <v>2184</v>
      </c>
      <c r="F12" s="27">
        <f t="shared" si="3"/>
        <v>0.62025316500000005</v>
      </c>
      <c r="G12" s="27">
        <f t="shared" si="3"/>
        <v>3.0197330000000001E-3</v>
      </c>
      <c r="H12" s="7">
        <f t="shared" si="14"/>
        <v>1354.6329123600001</v>
      </c>
      <c r="I12">
        <f t="shared" si="13"/>
        <v>14403.691568448001</v>
      </c>
      <c r="J12">
        <f t="shared" si="4"/>
        <v>120.0153805495279</v>
      </c>
      <c r="K12" s="6">
        <f t="shared" si="5"/>
        <v>235.23014587707468</v>
      </c>
      <c r="M12" s="2">
        <f>'rockfish harvests'!O11</f>
        <v>678.82685350634074</v>
      </c>
      <c r="N12">
        <f>'rockfish harvests'!P11</f>
        <v>141060.11022920778</v>
      </c>
      <c r="O12" s="27">
        <f t="shared" si="0"/>
        <v>0.89411764699999996</v>
      </c>
      <c r="P12" s="27">
        <f t="shared" si="0"/>
        <v>1.127039E-3</v>
      </c>
      <c r="Q12" s="13">
        <f t="shared" si="1"/>
        <v>606.95106897750304</v>
      </c>
      <c r="R12" s="2">
        <f t="shared" si="6"/>
        <v>113448.31906873957</v>
      </c>
      <c r="S12">
        <f t="shared" si="7"/>
        <v>336.82090058180705</v>
      </c>
      <c r="T12" s="6">
        <f t="shared" si="8"/>
        <v>660.16896514034181</v>
      </c>
      <c r="V12" s="13">
        <f t="shared" si="9"/>
        <v>1961.5839813375032</v>
      </c>
      <c r="W12">
        <f t="shared" si="2"/>
        <v>127852.01063718757</v>
      </c>
      <c r="X12">
        <f t="shared" si="10"/>
        <v>357.56399516336592</v>
      </c>
      <c r="Y12" s="6">
        <f t="shared" si="11"/>
        <v>700.82543052019719</v>
      </c>
      <c r="Z12" s="14">
        <f t="shared" si="12"/>
        <v>0.18228329684847927</v>
      </c>
    </row>
    <row r="13" spans="1:29" x14ac:dyDescent="0.3">
      <c r="A13" t="str">
        <f>'rockfish harvests'!A12</f>
        <v>SC</v>
      </c>
      <c r="B13">
        <f>'rockfish harvests'!B12</f>
        <v>2008</v>
      </c>
      <c r="C13" t="str">
        <f>'rockfish harvests'!C12</f>
        <v>AFOGNAK</v>
      </c>
      <c r="D13">
        <f>'rockfish harvests'!D12</f>
        <v>2670</v>
      </c>
      <c r="E13">
        <v>2069</v>
      </c>
      <c r="F13" s="27">
        <f t="shared" si="3"/>
        <v>0.82677165399999997</v>
      </c>
      <c r="G13" s="27">
        <f t="shared" si="3"/>
        <v>1.1366690000000001E-3</v>
      </c>
      <c r="H13" s="7">
        <f t="shared" si="14"/>
        <v>1710.5905521259999</v>
      </c>
      <c r="I13">
        <f t="shared" si="13"/>
        <v>4865.8083251090002</v>
      </c>
      <c r="J13">
        <f t="shared" si="4"/>
        <v>69.755346211663237</v>
      </c>
      <c r="K13" s="6">
        <f t="shared" si="5"/>
        <v>136.72047857485995</v>
      </c>
      <c r="M13" s="2">
        <f>'rockfish harvests'!O12</f>
        <v>728.48380179337983</v>
      </c>
      <c r="N13">
        <f>'rockfish harvests'!P12</f>
        <v>162452.3467972634</v>
      </c>
      <c r="O13" s="27">
        <f t="shared" si="0"/>
        <v>0.693333333</v>
      </c>
      <c r="P13" s="27">
        <f t="shared" si="0"/>
        <v>2.873273E-3</v>
      </c>
      <c r="Q13" s="13">
        <f t="shared" si="1"/>
        <v>505.08210233391543</v>
      </c>
      <c r="R13" s="2">
        <f t="shared" si="6"/>
        <v>80084.231366214124</v>
      </c>
      <c r="S13">
        <f t="shared" si="7"/>
        <v>282.99157472655281</v>
      </c>
      <c r="T13" s="6">
        <f t="shared" si="8"/>
        <v>554.66348646404356</v>
      </c>
      <c r="V13" s="13">
        <f t="shared" si="9"/>
        <v>2215.6726544599155</v>
      </c>
      <c r="W13">
        <f t="shared" si="2"/>
        <v>84950.039691323123</v>
      </c>
      <c r="X13">
        <f t="shared" si="10"/>
        <v>291.4619009258725</v>
      </c>
      <c r="Y13" s="6">
        <f t="shared" si="11"/>
        <v>571.26532581471008</v>
      </c>
      <c r="Z13" s="14">
        <f t="shared" si="12"/>
        <v>0.13154556036930384</v>
      </c>
    </row>
    <row r="14" spans="1:29" x14ac:dyDescent="0.3">
      <c r="A14" t="str">
        <f>'rockfish harvests'!A13</f>
        <v>SC</v>
      </c>
      <c r="B14">
        <f>'rockfish harvests'!B13</f>
        <v>2009</v>
      </c>
      <c r="C14" t="str">
        <f>'rockfish harvests'!C13</f>
        <v>AFOGNAK</v>
      </c>
      <c r="D14">
        <f>'rockfish harvests'!D13</f>
        <v>3763</v>
      </c>
      <c r="E14">
        <v>3206</v>
      </c>
      <c r="F14" s="27">
        <f t="shared" si="3"/>
        <v>0.73611111100000004</v>
      </c>
      <c r="G14" s="27">
        <f t="shared" si="3"/>
        <v>2.7359369999999999E-3</v>
      </c>
      <c r="H14" s="7">
        <f t="shared" si="14"/>
        <v>2359.9722218659999</v>
      </c>
      <c r="I14">
        <f t="shared" si="13"/>
        <v>28121.153354531998</v>
      </c>
      <c r="J14">
        <f t="shared" si="4"/>
        <v>167.69362943932009</v>
      </c>
      <c r="K14" s="6">
        <f t="shared" si="5"/>
        <v>328.67951370106738</v>
      </c>
      <c r="M14" s="2">
        <f>'rockfish harvests'!O13</f>
        <v>1026.6983318908196</v>
      </c>
      <c r="N14">
        <f>'rockfish harvests'!P13</f>
        <v>322679.89242321515</v>
      </c>
      <c r="O14" s="27">
        <f t="shared" si="0"/>
        <v>0.55882352899999999</v>
      </c>
      <c r="P14" s="27">
        <f t="shared" si="0"/>
        <v>3.6796979999999999E-3</v>
      </c>
      <c r="Q14" s="13">
        <f t="shared" si="1"/>
        <v>573.7431850456411</v>
      </c>
      <c r="R14" s="2">
        <f t="shared" si="6"/>
        <v>105833.85156385042</v>
      </c>
      <c r="S14">
        <f t="shared" si="7"/>
        <v>325.3211514240204</v>
      </c>
      <c r="T14" s="6">
        <f t="shared" si="8"/>
        <v>637.62945679107997</v>
      </c>
      <c r="V14" s="13">
        <f t="shared" si="9"/>
        <v>2933.7154069116409</v>
      </c>
      <c r="W14">
        <f t="shared" si="2"/>
        <v>133955.00491838242</v>
      </c>
      <c r="X14">
        <f t="shared" si="10"/>
        <v>365.99864059635854</v>
      </c>
      <c r="Y14" s="6">
        <f t="shared" si="11"/>
        <v>717.35733556886271</v>
      </c>
      <c r="Z14" s="14">
        <f t="shared" si="12"/>
        <v>0.12475601407487917</v>
      </c>
    </row>
    <row r="15" spans="1:29" x14ac:dyDescent="0.3">
      <c r="A15" t="str">
        <f>'rockfish harvests'!A14</f>
        <v>SC</v>
      </c>
      <c r="B15">
        <f>'rockfish harvests'!B14</f>
        <v>2010</v>
      </c>
      <c r="C15" t="str">
        <f>'rockfish harvests'!C14</f>
        <v>AFOGNAK</v>
      </c>
      <c r="D15">
        <f>'rockfish harvests'!D14</f>
        <v>3032</v>
      </c>
      <c r="E15">
        <v>1971</v>
      </c>
      <c r="F15" s="27">
        <f>F165</f>
        <v>0.53535353500000005</v>
      </c>
      <c r="G15" s="27">
        <f t="shared" si="3"/>
        <v>2.5382669999999999E-3</v>
      </c>
      <c r="H15" s="7">
        <f t="shared" si="14"/>
        <v>1055.181817485</v>
      </c>
      <c r="I15">
        <f t="shared" si="13"/>
        <v>9860.7637105470003</v>
      </c>
      <c r="J15">
        <f t="shared" si="4"/>
        <v>99.301378190571953</v>
      </c>
      <c r="K15" s="6">
        <f t="shared" si="5"/>
        <v>194.63070125352101</v>
      </c>
      <c r="M15" s="2">
        <f>'rockfish harvests'!O14</f>
        <v>827.25201761705193</v>
      </c>
      <c r="N15">
        <f>'rockfish harvests'!P14</f>
        <v>209489.30732140518</v>
      </c>
      <c r="O15" s="27">
        <f t="shared" si="0"/>
        <v>0.74806438500000005</v>
      </c>
      <c r="P15" s="27">
        <f t="shared" si="0"/>
        <v>6.3493509999999996E-3</v>
      </c>
      <c r="Q15" s="13">
        <f t="shared" si="1"/>
        <v>618.83777179870913</v>
      </c>
      <c r="R15" s="2">
        <f t="shared" si="6"/>
        <v>122905.55774525787</v>
      </c>
      <c r="S15">
        <f t="shared" si="7"/>
        <v>350.57888947462004</v>
      </c>
      <c r="T15" s="6">
        <f t="shared" si="8"/>
        <v>687.13462337025521</v>
      </c>
      <c r="V15" s="13">
        <f t="shared" si="9"/>
        <v>1674.0195892837091</v>
      </c>
      <c r="W15">
        <f t="shared" si="2"/>
        <v>132766.32145580486</v>
      </c>
      <c r="X15">
        <f t="shared" si="10"/>
        <v>364.37113147971104</v>
      </c>
      <c r="Y15" s="6">
        <f t="shared" si="11"/>
        <v>714.16741770023361</v>
      </c>
      <c r="Z15" s="14">
        <f t="shared" si="12"/>
        <v>0.21766240599109155</v>
      </c>
    </row>
    <row r="16" spans="1:29" x14ac:dyDescent="0.3">
      <c r="A16" t="str">
        <f>'rockfish harvests'!A15</f>
        <v>SC</v>
      </c>
      <c r="B16">
        <f>'rockfish harvests'!B15</f>
        <v>2011</v>
      </c>
      <c r="C16" t="str">
        <f>'rockfish harvests'!C15</f>
        <v>AFOGNAK</v>
      </c>
      <c r="D16">
        <f>'rockfish harvests'!D15</f>
        <v>3052</v>
      </c>
      <c r="E16">
        <v>2565</v>
      </c>
      <c r="F16" s="27">
        <f t="shared" si="3"/>
        <v>0.862318841</v>
      </c>
      <c r="G16" s="27">
        <f t="shared" si="3"/>
        <v>8.6660600000000002E-4</v>
      </c>
      <c r="H16" s="7">
        <f>E16*F16</f>
        <v>2211.8478271650001</v>
      </c>
      <c r="I16">
        <f t="shared" si="13"/>
        <v>5701.5958603500003</v>
      </c>
      <c r="J16">
        <f t="shared" si="4"/>
        <v>75.508912456411394</v>
      </c>
      <c r="K16" s="6">
        <f t="shared" si="5"/>
        <v>147.99746841456633</v>
      </c>
      <c r="M16" s="2">
        <f>'rockfish harvests'!O15</f>
        <v>852.74081958488568</v>
      </c>
      <c r="N16">
        <f>'rockfish harvests'!P15</f>
        <v>200039.3867927817</v>
      </c>
      <c r="O16" s="27">
        <f t="shared" si="0"/>
        <v>0.71830985899999999</v>
      </c>
      <c r="P16" s="27">
        <f t="shared" si="0"/>
        <v>2.890583E-3</v>
      </c>
      <c r="Q16" s="13">
        <f t="shared" si="1"/>
        <v>612.53213787956372</v>
      </c>
      <c r="R16" s="2">
        <f t="shared" si="6"/>
        <v>105894.29981917927</v>
      </c>
      <c r="S16">
        <f t="shared" si="7"/>
        <v>325.41404367233332</v>
      </c>
      <c r="T16" s="6">
        <f t="shared" si="8"/>
        <v>637.81152559777331</v>
      </c>
      <c r="V16" s="13">
        <f t="shared" si="9"/>
        <v>2824.379965044564</v>
      </c>
      <c r="W16">
        <f t="shared" si="2"/>
        <v>111595.89567952928</v>
      </c>
      <c r="X16">
        <f t="shared" si="10"/>
        <v>334.05971873233875</v>
      </c>
      <c r="Y16" s="6">
        <f t="shared" si="11"/>
        <v>654.75704871538392</v>
      </c>
      <c r="Z16" s="14">
        <f t="shared" si="12"/>
        <v>0.118277187512576</v>
      </c>
    </row>
    <row r="17" spans="1:28" x14ac:dyDescent="0.3">
      <c r="A17" t="str">
        <f>'rockfish harvests'!A16</f>
        <v>SC</v>
      </c>
      <c r="B17">
        <f>'rockfish harvests'!B16</f>
        <v>2012</v>
      </c>
      <c r="C17" t="str">
        <f>'rockfish harvests'!C16</f>
        <v>AFOGNAK</v>
      </c>
      <c r="D17">
        <f>'rockfish harvests'!D16</f>
        <v>3025</v>
      </c>
      <c r="E17">
        <v>2461</v>
      </c>
      <c r="F17" s="27">
        <f t="shared" si="3"/>
        <v>0.75524475499999999</v>
      </c>
      <c r="G17" s="27">
        <f t="shared" si="3"/>
        <v>1.301761E-3</v>
      </c>
      <c r="H17" s="7">
        <f t="shared" si="14"/>
        <v>1858.6573420550001</v>
      </c>
      <c r="I17">
        <f t="shared" si="13"/>
        <v>7884.1428334809998</v>
      </c>
      <c r="J17">
        <f t="shared" si="4"/>
        <v>88.792695834066208</v>
      </c>
      <c r="K17" s="6">
        <f t="shared" si="5"/>
        <v>174.03368383476976</v>
      </c>
      <c r="M17" s="2">
        <f>'rockfish harvests'!O16</f>
        <v>1110.7541899441339</v>
      </c>
      <c r="N17">
        <f>'rockfish harvests'!P16</f>
        <v>261396.56419933448</v>
      </c>
      <c r="O17" s="27">
        <f t="shared" si="0"/>
        <v>0.74509803900000005</v>
      </c>
      <c r="P17" s="27">
        <f t="shared" si="0"/>
        <v>1.2495189999999999E-3</v>
      </c>
      <c r="Q17" s="13">
        <f t="shared" si="1"/>
        <v>827.62076873840772</v>
      </c>
      <c r="R17" s="2">
        <f t="shared" si="6"/>
        <v>146988.05998913266</v>
      </c>
      <c r="S17">
        <f t="shared" si="7"/>
        <v>383.39021895339567</v>
      </c>
      <c r="T17" s="6">
        <f t="shared" si="8"/>
        <v>751.44482914865546</v>
      </c>
      <c r="V17" s="13">
        <f t="shared" si="9"/>
        <v>2686.2781107934079</v>
      </c>
      <c r="W17">
        <f t="shared" si="2"/>
        <v>154872.20282261365</v>
      </c>
      <c r="X17">
        <f t="shared" si="10"/>
        <v>393.53805765467416</v>
      </c>
      <c r="Y17" s="6">
        <f t="shared" si="11"/>
        <v>771.33459300316133</v>
      </c>
      <c r="Z17" s="14">
        <f t="shared" si="12"/>
        <v>0.14649937252343556</v>
      </c>
    </row>
    <row r="18" spans="1:28" x14ac:dyDescent="0.3">
      <c r="A18" t="str">
        <f>'rockfish harvests'!A17</f>
        <v>SC</v>
      </c>
      <c r="B18">
        <f>'rockfish harvests'!B17</f>
        <v>2013</v>
      </c>
      <c r="C18" t="str">
        <f>'rockfish harvests'!C17</f>
        <v>AFOGNAK</v>
      </c>
      <c r="D18">
        <f>'rockfish harvests'!D17</f>
        <v>2487</v>
      </c>
      <c r="E18">
        <v>2014</v>
      </c>
      <c r="F18" s="27">
        <f t="shared" si="3"/>
        <v>0.53982300900000002</v>
      </c>
      <c r="G18" s="27">
        <f t="shared" si="3"/>
        <v>5.5080699999999995E-4</v>
      </c>
      <c r="H18" s="7">
        <f t="shared" si="14"/>
        <v>1087.203540126</v>
      </c>
      <c r="I18">
        <f t="shared" si="13"/>
        <v>2234.1811501719999</v>
      </c>
      <c r="J18">
        <f t="shared" si="4"/>
        <v>47.267125469738481</v>
      </c>
      <c r="K18" s="6">
        <f t="shared" si="5"/>
        <v>92.643565920687422</v>
      </c>
      <c r="M18" s="2">
        <f>'rockfish harvests'!O17</f>
        <v>731.12895692786697</v>
      </c>
      <c r="N18">
        <f>'rockfish harvests'!P17</f>
        <v>125971.00775365347</v>
      </c>
      <c r="O18" s="27">
        <f t="shared" si="0"/>
        <v>0.66871165600000004</v>
      </c>
      <c r="P18" s="27">
        <f t="shared" si="0"/>
        <v>1.3675079999999999E-3</v>
      </c>
      <c r="Q18" s="13">
        <f t="shared" si="1"/>
        <v>488.91445553678665</v>
      </c>
      <c r="R18" s="2">
        <f t="shared" si="6"/>
        <v>57234.38767096847</v>
      </c>
      <c r="S18">
        <f t="shared" si="7"/>
        <v>239.23709509808145</v>
      </c>
      <c r="T18" s="6">
        <f t="shared" si="8"/>
        <v>468.90470639223963</v>
      </c>
      <c r="V18" s="13">
        <f t="shared" si="9"/>
        <v>1576.1179956627866</v>
      </c>
      <c r="W18">
        <f t="shared" si="2"/>
        <v>59468.56882114047</v>
      </c>
      <c r="X18">
        <f t="shared" si="10"/>
        <v>243.86178220693063</v>
      </c>
      <c r="Y18" s="6">
        <f t="shared" si="11"/>
        <v>477.96909312558404</v>
      </c>
      <c r="Z18" s="14">
        <f t="shared" si="12"/>
        <v>0.1547230492120498</v>
      </c>
    </row>
    <row r="19" spans="1:28" x14ac:dyDescent="0.3">
      <c r="A19" t="str">
        <f>'rockfish harvests'!A18</f>
        <v>SC</v>
      </c>
      <c r="B19">
        <f>'rockfish harvests'!B18</f>
        <v>2014</v>
      </c>
      <c r="C19" t="str">
        <f>'rockfish harvests'!C18</f>
        <v>AFOGNAK</v>
      </c>
      <c r="D19">
        <f>'rockfish harvests'!D18</f>
        <v>2843</v>
      </c>
      <c r="E19">
        <v>2263</v>
      </c>
      <c r="F19" s="27">
        <f t="shared" si="3"/>
        <v>0.81493506500000001</v>
      </c>
      <c r="G19" s="27">
        <f t="shared" si="3"/>
        <v>4.9125700000000004E-4</v>
      </c>
      <c r="H19" s="7">
        <f t="shared" si="14"/>
        <v>1844.1980520950001</v>
      </c>
      <c r="I19">
        <f t="shared" si="13"/>
        <v>2515.8101194330002</v>
      </c>
      <c r="J19">
        <f t="shared" si="4"/>
        <v>50.157852021722384</v>
      </c>
      <c r="K19" s="6">
        <f t="shared" si="5"/>
        <v>98.309389962575864</v>
      </c>
      <c r="M19" s="2">
        <f>'rockfish harvests'!O18</f>
        <v>1234.1607301869994</v>
      </c>
      <c r="N19">
        <f>'rockfish harvests'!P18</f>
        <v>268862.96198516607</v>
      </c>
      <c r="O19" s="27">
        <f t="shared" si="0"/>
        <v>0.77777777800000003</v>
      </c>
      <c r="P19" s="27">
        <f t="shared" si="0"/>
        <v>1.382716E-3</v>
      </c>
      <c r="Q19" s="13">
        <f t="shared" si="1"/>
        <v>959.902790419702</v>
      </c>
      <c r="R19" s="2">
        <f t="shared" si="6"/>
        <v>165123.34435388117</v>
      </c>
      <c r="S19">
        <f t="shared" si="7"/>
        <v>406.35371827249367</v>
      </c>
      <c r="T19" s="6">
        <f t="shared" si="8"/>
        <v>796.45328781408762</v>
      </c>
      <c r="V19" s="13">
        <f t="shared" si="9"/>
        <v>2804.100842514702</v>
      </c>
      <c r="W19">
        <f t="shared" si="2"/>
        <v>167639.15447331418</v>
      </c>
      <c r="X19">
        <f t="shared" si="10"/>
        <v>409.43760754639305</v>
      </c>
      <c r="Y19" s="6">
        <f t="shared" si="11"/>
        <v>802.49771079093034</v>
      </c>
      <c r="Z19" s="14">
        <f t="shared" si="12"/>
        <v>0.14601386702598459</v>
      </c>
    </row>
    <row r="20" spans="1:28" x14ac:dyDescent="0.3">
      <c r="A20" t="str">
        <f>'rockfish harvests'!A19</f>
        <v>SC</v>
      </c>
      <c r="B20">
        <f>'rockfish harvests'!B19</f>
        <v>2015</v>
      </c>
      <c r="C20" t="str">
        <f>'rockfish harvests'!C19</f>
        <v>AFOGNAK</v>
      </c>
      <c r="D20">
        <f>'rockfish harvests'!D19</f>
        <v>3919</v>
      </c>
      <c r="E20">
        <v>3289</v>
      </c>
      <c r="F20" s="27">
        <f t="shared" si="3"/>
        <v>0.699029126</v>
      </c>
      <c r="G20" s="27">
        <f t="shared" si="3"/>
        <v>2.0626220000000001E-3</v>
      </c>
      <c r="H20" s="7">
        <f t="shared" si="14"/>
        <v>2299.1067954139999</v>
      </c>
      <c r="I20">
        <f t="shared" si="13"/>
        <v>22312.456800062002</v>
      </c>
      <c r="J20">
        <f t="shared" si="4"/>
        <v>149.37354785925788</v>
      </c>
      <c r="K20" s="6">
        <f t="shared" si="5"/>
        <v>292.77215380414543</v>
      </c>
      <c r="M20" s="2">
        <f>'rockfish harvests'!O19</f>
        <v>1736.4958972529439</v>
      </c>
      <c r="N20">
        <f>'rockfish harvests'!P19</f>
        <v>1075446.4405794584</v>
      </c>
      <c r="O20" s="27">
        <f t="shared" si="0"/>
        <v>0.73157894700000003</v>
      </c>
      <c r="P20" s="27">
        <f t="shared" si="0"/>
        <v>5.1813E-4</v>
      </c>
      <c r="Q20" s="13">
        <f t="shared" si="1"/>
        <v>1270.3838399821288</v>
      </c>
      <c r="R20" s="2">
        <f t="shared" si="6"/>
        <v>577706.87542444037</v>
      </c>
      <c r="S20">
        <f t="shared" si="7"/>
        <v>760.07030952698074</v>
      </c>
      <c r="T20" s="6">
        <f t="shared" si="8"/>
        <v>1489.7378066728822</v>
      </c>
      <c r="V20" s="13">
        <f t="shared" si="9"/>
        <v>3569.4906353961287</v>
      </c>
      <c r="W20">
        <f t="shared" si="2"/>
        <v>600019.33222450234</v>
      </c>
      <c r="X20">
        <f t="shared" si="10"/>
        <v>774.60914803822345</v>
      </c>
      <c r="Y20" s="6">
        <f t="shared" si="11"/>
        <v>1518.233930154918</v>
      </c>
      <c r="Z20" s="14">
        <f t="shared" si="12"/>
        <v>0.21700831495591252</v>
      </c>
    </row>
    <row r="21" spans="1:28" x14ac:dyDescent="0.3">
      <c r="A21" t="str">
        <f>'rockfish harvests'!A20</f>
        <v>SC</v>
      </c>
      <c r="B21">
        <f>'rockfish harvests'!B20</f>
        <v>2016</v>
      </c>
      <c r="C21" t="str">
        <f>'rockfish harvests'!C20</f>
        <v>AFOGNAK</v>
      </c>
      <c r="D21">
        <f>'rockfish harvests'!D20</f>
        <v>5287</v>
      </c>
      <c r="E21">
        <v>4527</v>
      </c>
      <c r="F21" s="27">
        <f t="shared" si="3"/>
        <v>0.54517134</v>
      </c>
      <c r="G21" s="27">
        <f t="shared" si="3"/>
        <v>7.7487400000000005E-4</v>
      </c>
      <c r="H21" s="7">
        <f t="shared" si="14"/>
        <v>2467.9906561799999</v>
      </c>
      <c r="I21">
        <f t="shared" si="13"/>
        <v>15880.057765146001</v>
      </c>
      <c r="J21">
        <f t="shared" si="4"/>
        <v>126.01610121387664</v>
      </c>
      <c r="K21" s="6">
        <f t="shared" si="5"/>
        <v>246.99155837919821</v>
      </c>
      <c r="M21" s="2">
        <f>'rockfish harvests'!O20</f>
        <v>467.58654422040308</v>
      </c>
      <c r="N21">
        <f>'rockfish harvests'!P20</f>
        <v>63684.114088437818</v>
      </c>
      <c r="O21" s="27">
        <f t="shared" si="0"/>
        <v>0.83437499999999998</v>
      </c>
      <c r="P21" s="27">
        <f t="shared" si="0"/>
        <v>4.3320799999999998E-4</v>
      </c>
      <c r="Q21" s="13">
        <f t="shared" si="1"/>
        <v>390.14252283389879</v>
      </c>
      <c r="R21" s="2">
        <f t="shared" si="6"/>
        <v>44458.014869420505</v>
      </c>
      <c r="S21">
        <f t="shared" si="7"/>
        <v>210.85069331026756</v>
      </c>
      <c r="T21" s="6">
        <f t="shared" si="8"/>
        <v>413.26735888812442</v>
      </c>
      <c r="V21" s="13">
        <f t="shared" si="9"/>
        <v>2858.1331790138988</v>
      </c>
      <c r="W21">
        <f t="shared" si="2"/>
        <v>60338.072634566503</v>
      </c>
      <c r="X21">
        <f t="shared" si="10"/>
        <v>245.63809280029534</v>
      </c>
      <c r="Y21" s="6">
        <f t="shared" si="11"/>
        <v>481.45066188857885</v>
      </c>
      <c r="Z21" s="14">
        <f t="shared" si="12"/>
        <v>8.5943543360370758E-2</v>
      </c>
    </row>
    <row r="22" spans="1:28" x14ac:dyDescent="0.3">
      <c r="A22" t="str">
        <f>'rockfish harvests'!A21</f>
        <v>SC</v>
      </c>
      <c r="B22">
        <f>'rockfish harvests'!B21</f>
        <v>2017</v>
      </c>
      <c r="C22" t="str">
        <f>'rockfish harvests'!C21</f>
        <v>AFOGNAK</v>
      </c>
      <c r="D22">
        <f>'rockfish harvests'!D21</f>
        <v>4756</v>
      </c>
      <c r="E22">
        <v>4217</v>
      </c>
      <c r="F22" s="27">
        <f t="shared" si="3"/>
        <v>0.62343096200000003</v>
      </c>
      <c r="G22" s="27">
        <f t="shared" si="3"/>
        <v>9.8640699999999991E-4</v>
      </c>
      <c r="H22" s="7">
        <f t="shared" si="14"/>
        <v>2629.0083667540002</v>
      </c>
      <c r="I22">
        <f t="shared" si="13"/>
        <v>17541.363471222998</v>
      </c>
      <c r="J22">
        <f t="shared" si="4"/>
        <v>132.44381250637193</v>
      </c>
      <c r="K22" s="6">
        <f t="shared" si="5"/>
        <v>259.58987251248897</v>
      </c>
      <c r="M22" s="2">
        <f>'rockfish harvests'!O21</f>
        <v>537.74758244483019</v>
      </c>
      <c r="N22">
        <f>'rockfish harvests'!P21</f>
        <v>89663.784684390819</v>
      </c>
      <c r="O22" s="27">
        <f t="shared" si="0"/>
        <v>0.712121212</v>
      </c>
      <c r="P22" s="27">
        <f t="shared" si="0"/>
        <v>6.2311400000000002E-4</v>
      </c>
      <c r="Q22" s="13">
        <f t="shared" si="1"/>
        <v>382.94146016068242</v>
      </c>
      <c r="R22" s="2">
        <f t="shared" si="6"/>
        <v>45706.053646873806</v>
      </c>
      <c r="S22">
        <f t="shared" si="7"/>
        <v>213.78974167829898</v>
      </c>
      <c r="T22" s="6">
        <f t="shared" si="8"/>
        <v>419.027893689466</v>
      </c>
      <c r="V22" s="13">
        <f t="shared" si="9"/>
        <v>3011.9498269146825</v>
      </c>
      <c r="W22">
        <f t="shared" si="2"/>
        <v>63247.417118096804</v>
      </c>
      <c r="X22">
        <f t="shared" si="10"/>
        <v>251.49039170134671</v>
      </c>
      <c r="Y22" s="6">
        <f t="shared" si="11"/>
        <v>492.92116773463954</v>
      </c>
      <c r="Z22" s="14">
        <f t="shared" si="12"/>
        <v>8.3497536862678454E-2</v>
      </c>
    </row>
    <row r="23" spans="1:28" x14ac:dyDescent="0.3">
      <c r="A23" t="str">
        <f>'rockfish harvests'!A22</f>
        <v>SC</v>
      </c>
      <c r="B23">
        <f>'rockfish harvests'!B22</f>
        <v>2018</v>
      </c>
      <c r="C23" t="str">
        <f>'rockfish harvests'!C22</f>
        <v>AFOGNAK</v>
      </c>
      <c r="D23">
        <f>'rockfish harvests'!D22</f>
        <v>5694</v>
      </c>
      <c r="E23">
        <v>5092</v>
      </c>
      <c r="F23" s="43">
        <f>[1]species_comp_Region2_forR!AD$27</f>
        <v>0.55421686699999995</v>
      </c>
      <c r="G23" s="43">
        <f>[1]species_comp_Region2_forR!AE$27</f>
        <v>3.0129330000000002E-3</v>
      </c>
      <c r="H23" s="7">
        <f>E23*F23</f>
        <v>2822.0722867639997</v>
      </c>
      <c r="I23">
        <f t="shared" si="13"/>
        <v>78120.724824912002</v>
      </c>
      <c r="J23">
        <f t="shared" si="4"/>
        <v>279.50084941715653</v>
      </c>
      <c r="K23" s="6">
        <f t="shared" si="5"/>
        <v>547.82166485762684</v>
      </c>
      <c r="M23" s="2">
        <f>'rockfish harvests'!O22</f>
        <v>1496.4016172506736</v>
      </c>
      <c r="N23">
        <f>'rockfish harvests'!P22</f>
        <v>412259.26032139536</v>
      </c>
      <c r="O23" s="27">
        <f>O173</f>
        <v>0.75919732399999995</v>
      </c>
      <c r="P23" s="27">
        <f t="shared" si="0"/>
        <v>6.13479E-4</v>
      </c>
      <c r="Q23" s="13">
        <f>M23*O23</f>
        <v>1136.0641034459836</v>
      </c>
      <c r="R23" s="2">
        <f t="shared" si="6"/>
        <v>239244.85573786523</v>
      </c>
      <c r="S23">
        <f t="shared" si="7"/>
        <v>489.12662546406654</v>
      </c>
      <c r="T23" s="6">
        <f>(1.96*S23)</f>
        <v>958.68818590957039</v>
      </c>
      <c r="V23" s="13">
        <f>Q23+H23</f>
        <v>3958.1363902099833</v>
      </c>
      <c r="W23" s="2">
        <f>R23+I23</f>
        <v>317365.58056277724</v>
      </c>
      <c r="X23">
        <f>SQRT(W23)</f>
        <v>563.35209288932015</v>
      </c>
      <c r="Y23" s="6">
        <f t="shared" si="11"/>
        <v>1104.1701020630674</v>
      </c>
      <c r="Z23" s="14">
        <f t="shared" si="12"/>
        <v>0.14232761010527828</v>
      </c>
    </row>
    <row r="24" spans="1:28" x14ac:dyDescent="0.3">
      <c r="A24" t="str">
        <f>'rockfish harvests'!A23</f>
        <v>SC</v>
      </c>
      <c r="B24">
        <f>'rockfish harvests'!B23</f>
        <v>2019</v>
      </c>
      <c r="C24" t="str">
        <f>'rockfish harvests'!C23</f>
        <v>AFOGNAK</v>
      </c>
      <c r="D24">
        <f>'rockfish harvests'!D23</f>
        <v>6782</v>
      </c>
      <c r="E24">
        <v>5762</v>
      </c>
      <c r="F24" s="27">
        <f>F174</f>
        <v>0.792626728</v>
      </c>
      <c r="G24" s="27">
        <f t="shared" si="3"/>
        <v>7.6097000000000003E-4</v>
      </c>
      <c r="H24" s="7">
        <f>E24*F24</f>
        <v>4567.1152067359999</v>
      </c>
      <c r="I24">
        <f>(E24^2)*G24</f>
        <v>25264.694064679999</v>
      </c>
      <c r="J24">
        <f>SQRT(I24)</f>
        <v>158.94871520298614</v>
      </c>
      <c r="K24" s="6">
        <f>(1.96*J24)</f>
        <v>311.53948179785283</v>
      </c>
      <c r="M24" s="2">
        <f>'rockfish harvests'!O23</f>
        <v>4435.3764258555148</v>
      </c>
      <c r="N24">
        <f>'rockfish harvests'!P23</f>
        <v>3560251.2769631236</v>
      </c>
      <c r="O24" s="27">
        <f t="shared" si="0"/>
        <v>0.78749999999999998</v>
      </c>
      <c r="P24" s="27">
        <f t="shared" si="0"/>
        <v>7.0018299999999995E-4</v>
      </c>
      <c r="Q24" s="13">
        <f>M24*O24</f>
        <v>3492.8589353612178</v>
      </c>
      <c r="R24" s="2">
        <f t="shared" si="6"/>
        <v>2224179.3033055635</v>
      </c>
      <c r="S24">
        <f>SQRT(R24)</f>
        <v>1491.3682654882944</v>
      </c>
      <c r="T24" s="6">
        <f>(1.96*S24)</f>
        <v>2923.0818003570571</v>
      </c>
      <c r="V24" s="13">
        <f>Q24+H24</f>
        <v>8059.9741420972177</v>
      </c>
      <c r="W24">
        <f>R24+I24</f>
        <v>2249443.9973702435</v>
      </c>
      <c r="X24">
        <f>SQRT(W24)</f>
        <v>1499.8146543390765</v>
      </c>
      <c r="Y24" s="6">
        <f>(1.96*X24)</f>
        <v>2939.6367225045897</v>
      </c>
      <c r="Z24" s="14">
        <f t="shared" si="12"/>
        <v>0.18608181960603937</v>
      </c>
    </row>
    <row r="25" spans="1:28" x14ac:dyDescent="0.3">
      <c r="A25" t="str">
        <f>'rockfish harvests'!A24</f>
        <v>SC</v>
      </c>
      <c r="B25">
        <f>'rockfish harvests'!B24</f>
        <v>2020</v>
      </c>
      <c r="C25" t="str">
        <f>'rockfish harvests'!C24</f>
        <v>AFOGNAK</v>
      </c>
      <c r="D25">
        <f>'rockfish harvests'!D24</f>
        <v>5835</v>
      </c>
      <c r="E25">
        <v>5004</v>
      </c>
      <c r="F25" s="27">
        <f>F175</f>
        <v>0.743243243</v>
      </c>
      <c r="G25" s="27">
        <f t="shared" si="3"/>
        <v>2.6141469999999998E-3</v>
      </c>
      <c r="H25" s="7">
        <f t="shared" ref="H25" si="15">E25*F25</f>
        <v>3719.1891879720001</v>
      </c>
      <c r="I25">
        <f t="shared" ref="I25:I26" si="16">(E25^2)*G25</f>
        <v>65458.282706351994</v>
      </c>
      <c r="J25">
        <f t="shared" ref="J25:J26" si="17">SQRT(I25)</f>
        <v>255.84816338280015</v>
      </c>
      <c r="K25" s="6">
        <f t="shared" ref="K25:K26" si="18">(1.96*J25)</f>
        <v>501.46240023028827</v>
      </c>
      <c r="M25" s="2">
        <f>'rockfish harvests'!O24</f>
        <v>1752.4199820520489</v>
      </c>
      <c r="N25">
        <f>'rockfish harvests'!P24</f>
        <v>564645.39156800637</v>
      </c>
      <c r="O25" s="27">
        <f>O175</f>
        <v>0.72222222199999997</v>
      </c>
      <c r="P25" s="27">
        <f t="shared" si="0"/>
        <v>1.8749280000000001E-3</v>
      </c>
      <c r="Q25" s="13">
        <f t="shared" ref="Q25" si="19">M25*O25</f>
        <v>1265.6366533148309</v>
      </c>
      <c r="R25" s="2">
        <f t="shared" si="6"/>
        <v>301338.35239020031</v>
      </c>
      <c r="S25">
        <f t="shared" ref="S25:S26" si="20">SQRT(R25)</f>
        <v>548.94294092391817</v>
      </c>
      <c r="T25" s="6">
        <f t="shared" ref="T25" si="21">(1.96*S25)</f>
        <v>1075.9281642108797</v>
      </c>
      <c r="V25" s="13">
        <f t="shared" ref="V25" si="22">Q25+H25</f>
        <v>4984.8258412868308</v>
      </c>
      <c r="W25">
        <f t="shared" ref="W25" si="23">R25+I25</f>
        <v>366796.63509655232</v>
      </c>
      <c r="X25">
        <f t="shared" ref="X25" si="24">SQRT(W25)</f>
        <v>605.63737921016093</v>
      </c>
      <c r="Y25" s="6">
        <f t="shared" ref="Y25:Y26" si="25">(1.96*X25)</f>
        <v>1187.0492632519154</v>
      </c>
      <c r="Z25" s="14">
        <f t="shared" ref="Z25:Z26" si="26">X25/V25</f>
        <v>0.12149619635534065</v>
      </c>
    </row>
    <row r="26" spans="1:28" x14ac:dyDescent="0.3">
      <c r="A26" t="str">
        <f>'rockfish harvests'!A25</f>
        <v>SC</v>
      </c>
      <c r="B26">
        <f>'rockfish harvests'!B25</f>
        <v>2021</v>
      </c>
      <c r="C26" t="str">
        <f>'rockfish harvests'!C25</f>
        <v>AFOGNAK</v>
      </c>
      <c r="D26">
        <f>'rockfish harvests'!D25</f>
        <v>9007</v>
      </c>
      <c r="E26">
        <v>7930</v>
      </c>
      <c r="F26" s="43">
        <v>0.1875</v>
      </c>
      <c r="G26" s="43">
        <v>1.603618E-3</v>
      </c>
      <c r="H26" s="7">
        <f>E26*F26</f>
        <v>1486.875</v>
      </c>
      <c r="I26">
        <f t="shared" si="16"/>
        <v>100843.35756819999</v>
      </c>
      <c r="J26">
        <f t="shared" si="17"/>
        <v>317.55843173847546</v>
      </c>
      <c r="K26" s="6">
        <f t="shared" si="18"/>
        <v>622.41452620741188</v>
      </c>
      <c r="M26" s="2">
        <f>'rockfish harvests'!O25</f>
        <v>1406.6827148896191</v>
      </c>
      <c r="N26">
        <f>'rockfish harvests'!P25</f>
        <v>336808.63980312884</v>
      </c>
      <c r="O26" s="27">
        <f>O176</f>
        <v>0.89705882400000003</v>
      </c>
      <c r="P26" s="27">
        <f t="shared" si="0"/>
        <v>4.5489800000000002E-4</v>
      </c>
      <c r="Q26" s="13">
        <f>M26*O26</f>
        <v>1261.8771419600091</v>
      </c>
      <c r="R26" s="2">
        <f t="shared" si="6"/>
        <v>272088.15337274218</v>
      </c>
      <c r="S26">
        <f t="shared" si="20"/>
        <v>521.62069875795976</v>
      </c>
      <c r="T26" s="6">
        <f>(1.96*S26)</f>
        <v>1022.3765695656011</v>
      </c>
      <c r="V26" s="13">
        <f>Q26+H26</f>
        <v>2748.7521419600089</v>
      </c>
      <c r="W26" s="2">
        <f>R26+I26</f>
        <v>372931.51094094216</v>
      </c>
      <c r="X26">
        <f>SQRT(W26)</f>
        <v>610.68118600538378</v>
      </c>
      <c r="Y26" s="6">
        <f t="shared" si="25"/>
        <v>1196.9351245705523</v>
      </c>
      <c r="Z26" s="14">
        <f t="shared" si="26"/>
        <v>0.22216669763827271</v>
      </c>
    </row>
    <row r="27" spans="1:28" s="51" customFormat="1" x14ac:dyDescent="0.3">
      <c r="A27" s="51" t="s">
        <v>81</v>
      </c>
      <c r="B27" s="51">
        <v>2022</v>
      </c>
      <c r="C27" s="51" t="s">
        <v>45</v>
      </c>
      <c r="D27">
        <f>'rockfish harvests'!D26</f>
        <v>9241</v>
      </c>
      <c r="E27" s="51">
        <v>8311</v>
      </c>
      <c r="F27" s="27">
        <f>F177</f>
        <v>0.905511811</v>
      </c>
      <c r="G27" s="27">
        <f t="shared" si="3"/>
        <v>6.7904900000000004E-4</v>
      </c>
      <c r="H27" s="7">
        <f>E27*F27</f>
        <v>7525.7086612209996</v>
      </c>
      <c r="I27">
        <f t="shared" ref="I27" si="27">(E27^2)*G27</f>
        <v>46903.762122329004</v>
      </c>
      <c r="J27">
        <f t="shared" ref="J27" si="28">SQRT(I27)</f>
        <v>216.57276403631414</v>
      </c>
      <c r="K27" s="6">
        <f t="shared" ref="K27" si="29">(1.96*J27)</f>
        <v>424.4826175111757</v>
      </c>
      <c r="M27" s="2">
        <f>'rockfish harvests'!O26</f>
        <v>3527.878214229373</v>
      </c>
      <c r="N27">
        <f>'rockfish harvests'!P26</f>
        <v>2029671.2150868119</v>
      </c>
      <c r="O27" s="27">
        <f>O177</f>
        <v>0.946428571</v>
      </c>
      <c r="P27" s="27">
        <f t="shared" ref="P27" si="30">P177</f>
        <v>4.5677100000000002E-4</v>
      </c>
      <c r="Q27" s="13">
        <f>M27*O27</f>
        <v>3338.8847369551372</v>
      </c>
      <c r="R27" s="2">
        <f t="shared" si="6"/>
        <v>1824643.4220924566</v>
      </c>
      <c r="S27">
        <f t="shared" ref="S27" si="31">SQRT(R27)</f>
        <v>1350.7936267588977</v>
      </c>
      <c r="T27" s="6">
        <f>(1.96*S27)</f>
        <v>2647.5555084474395</v>
      </c>
      <c r="V27" s="13">
        <f>Q27+H27</f>
        <v>10864.593398176137</v>
      </c>
      <c r="W27" s="2">
        <f>R27+I27</f>
        <v>1871547.1842147857</v>
      </c>
      <c r="X27">
        <f>SQRT(W27)</f>
        <v>1368.0450227294371</v>
      </c>
      <c r="Y27" s="6">
        <f t="shared" ref="Y27" si="32">(1.96*X27)</f>
        <v>2681.3682445496966</v>
      </c>
      <c r="Z27" s="14">
        <f t="shared" ref="Z27" si="33">X27/V27</f>
        <v>0.12591773779211043</v>
      </c>
    </row>
    <row r="28" spans="1:28" x14ac:dyDescent="0.3">
      <c r="A28" t="str">
        <f>'rockfish harvests'!A27</f>
        <v>SC</v>
      </c>
      <c r="B28">
        <f>'rockfish harvests'!B27</f>
        <v>1998</v>
      </c>
      <c r="C28" t="str">
        <f>'rockfish harvests'!C27</f>
        <v>WKMA</v>
      </c>
      <c r="D28">
        <f>'rockfish harvests'!D27</f>
        <v>148</v>
      </c>
      <c r="E28">
        <v>117</v>
      </c>
      <c r="F28" s="27">
        <f t="shared" ref="F28:G52" si="34">F3</f>
        <v>0.80412371100000002</v>
      </c>
      <c r="G28" s="27">
        <f t="shared" si="34"/>
        <v>1.640716E-3</v>
      </c>
      <c r="H28" s="7">
        <f t="shared" si="14"/>
        <v>94.082474187000003</v>
      </c>
      <c r="I28">
        <f t="shared" si="13"/>
        <v>22.459761323999999</v>
      </c>
      <c r="J28">
        <f t="shared" si="4"/>
        <v>4.739173063309674</v>
      </c>
      <c r="K28" s="6">
        <f t="shared" si="5"/>
        <v>9.2887792040869606</v>
      </c>
      <c r="M28" s="2">
        <f>'rockfish harvests'!O27</f>
        <v>42.686604162511713</v>
      </c>
      <c r="N28">
        <f>'rockfish harvests'!P27</f>
        <v>681.09032990436276</v>
      </c>
      <c r="O28" s="27">
        <f t="shared" ref="O28:P52" si="35">O3</f>
        <v>0.83333333300000001</v>
      </c>
      <c r="P28" s="27">
        <f t="shared" si="35"/>
        <v>1.5605490000000001E-3</v>
      </c>
      <c r="Q28" s="13">
        <f t="shared" si="1"/>
        <v>35.572170121197559</v>
      </c>
      <c r="R28" s="2">
        <f t="shared" si="6"/>
        <v>476.88581861291311</v>
      </c>
      <c r="S28">
        <f t="shared" si="7"/>
        <v>21.837715508104623</v>
      </c>
      <c r="T28" s="6">
        <f t="shared" si="8"/>
        <v>42.801922395885057</v>
      </c>
      <c r="V28" s="13">
        <f t="shared" si="9"/>
        <v>129.65464430819756</v>
      </c>
      <c r="W28">
        <f t="shared" si="2"/>
        <v>499.34557993691311</v>
      </c>
      <c r="X28">
        <f t="shared" si="10"/>
        <v>22.346041706237664</v>
      </c>
      <c r="Y28" s="6">
        <f t="shared" si="11"/>
        <v>43.79824174422582</v>
      </c>
      <c r="Z28" s="14">
        <f>X28/V28</f>
        <v>0.17235049176579947</v>
      </c>
      <c r="AA28" s="68"/>
      <c r="AB28" s="2"/>
    </row>
    <row r="29" spans="1:28" x14ac:dyDescent="0.3">
      <c r="A29" t="str">
        <f>'rockfish harvests'!A28</f>
        <v>SC</v>
      </c>
      <c r="B29">
        <f>'rockfish harvests'!B28</f>
        <v>1999</v>
      </c>
      <c r="C29" t="str">
        <f>'rockfish harvests'!C28</f>
        <v>WKMA</v>
      </c>
      <c r="D29">
        <f>'rockfish harvests'!D28</f>
        <v>228</v>
      </c>
      <c r="E29">
        <v>223</v>
      </c>
      <c r="F29" s="27">
        <f t="shared" si="34"/>
        <v>0.876190476</v>
      </c>
      <c r="G29" s="27">
        <f t="shared" si="34"/>
        <v>1.0430839999999999E-3</v>
      </c>
      <c r="H29" s="7">
        <f t="shared" si="14"/>
        <v>195.390476148</v>
      </c>
      <c r="I29">
        <f t="shared" si="13"/>
        <v>51.871524235999992</v>
      </c>
      <c r="J29">
        <f t="shared" si="4"/>
        <v>7.202188850342651</v>
      </c>
      <c r="K29" s="6">
        <f t="shared" si="5"/>
        <v>14.116290146671595</v>
      </c>
      <c r="M29" s="2">
        <f>'rockfish harvests'!O28</f>
        <v>65.760444250355874</v>
      </c>
      <c r="N29">
        <f>'rockfish harvests'!P28</f>
        <v>1616.4079487649926</v>
      </c>
      <c r="O29" s="27">
        <f t="shared" si="35"/>
        <v>0.71300448400000005</v>
      </c>
      <c r="P29" s="27">
        <f t="shared" si="35"/>
        <v>9.2175299999999998E-4</v>
      </c>
      <c r="Q29" s="13">
        <f t="shared" si="1"/>
        <v>46.887491620335759</v>
      </c>
      <c r="R29" s="2">
        <f t="shared" si="6"/>
        <v>827.21801890617303</v>
      </c>
      <c r="S29">
        <f t="shared" si="7"/>
        <v>28.761398069394559</v>
      </c>
      <c r="T29" s="6">
        <f t="shared" si="8"/>
        <v>56.372340216013335</v>
      </c>
      <c r="V29" s="13">
        <f t="shared" si="9"/>
        <v>242.27796776833577</v>
      </c>
      <c r="W29">
        <f t="shared" si="2"/>
        <v>879.08954314217306</v>
      </c>
      <c r="X29">
        <f t="shared" si="10"/>
        <v>29.649444229903754</v>
      </c>
      <c r="Y29" s="6">
        <f t="shared" si="11"/>
        <v>58.112910690611358</v>
      </c>
      <c r="Z29" s="14">
        <f t="shared" si="12"/>
        <v>0.12237779812588784</v>
      </c>
      <c r="AA29" s="68"/>
      <c r="AB29" s="2"/>
    </row>
    <row r="30" spans="1:28" x14ac:dyDescent="0.3">
      <c r="A30" t="str">
        <f>'rockfish harvests'!A29</f>
        <v>SC</v>
      </c>
      <c r="B30">
        <f>'rockfish harvests'!B29</f>
        <v>2000</v>
      </c>
      <c r="C30" t="str">
        <f>'rockfish harvests'!C29</f>
        <v>WKMA</v>
      </c>
      <c r="D30">
        <f>'rockfish harvests'!D29</f>
        <v>386</v>
      </c>
      <c r="E30">
        <v>308</v>
      </c>
      <c r="F30" s="27">
        <f t="shared" si="34"/>
        <v>0.91176470600000004</v>
      </c>
      <c r="G30" s="27">
        <f t="shared" si="34"/>
        <v>7.9653299999999998E-4</v>
      </c>
      <c r="H30" s="7">
        <f t="shared" si="14"/>
        <v>280.82352944799999</v>
      </c>
      <c r="I30">
        <f t="shared" si="13"/>
        <v>75.562306511999992</v>
      </c>
      <c r="J30">
        <f t="shared" si="4"/>
        <v>8.6926581959720473</v>
      </c>
      <c r="K30" s="6">
        <f t="shared" si="5"/>
        <v>17.037610064105213</v>
      </c>
      <c r="M30" s="2">
        <f>'rockfish harvests'!O29</f>
        <v>111.33127842384812</v>
      </c>
      <c r="N30">
        <f>'rockfish harvests'!P29</f>
        <v>4632.9316469334572</v>
      </c>
      <c r="O30" s="27">
        <f t="shared" si="35"/>
        <v>0.743589744</v>
      </c>
      <c r="P30" s="27">
        <f t="shared" si="35"/>
        <v>9.828040000000001E-4</v>
      </c>
      <c r="Q30" s="13">
        <f t="shared" si="1"/>
        <v>82.784796822381949</v>
      </c>
      <c r="R30" s="2">
        <f t="shared" si="6"/>
        <v>2578.4017869803502</v>
      </c>
      <c r="S30">
        <f t="shared" si="7"/>
        <v>50.777965565591046</v>
      </c>
      <c r="T30" s="6">
        <f t="shared" si="8"/>
        <v>99.524812508558455</v>
      </c>
      <c r="V30" s="13">
        <f t="shared" si="9"/>
        <v>363.60832627038195</v>
      </c>
      <c r="W30">
        <f t="shared" si="2"/>
        <v>2653.96409349235</v>
      </c>
      <c r="X30">
        <f t="shared" si="10"/>
        <v>51.516638996467442</v>
      </c>
      <c r="Y30" s="6">
        <f t="shared" si="11"/>
        <v>100.97261243307618</v>
      </c>
      <c r="Z30" s="14">
        <f t="shared" si="12"/>
        <v>0.14168168128845121</v>
      </c>
      <c r="AA30" s="68"/>
      <c r="AB30" s="2"/>
    </row>
    <row r="31" spans="1:28" x14ac:dyDescent="0.3">
      <c r="A31" t="str">
        <f>'rockfish harvests'!A30</f>
        <v>SC</v>
      </c>
      <c r="B31">
        <f>'rockfish harvests'!B30</f>
        <v>2001</v>
      </c>
      <c r="C31" t="str">
        <f>'rockfish harvests'!C30</f>
        <v>WKMA</v>
      </c>
      <c r="D31">
        <f>'rockfish harvests'!D30</f>
        <v>1182</v>
      </c>
      <c r="E31">
        <v>1158</v>
      </c>
      <c r="F31" s="27">
        <f t="shared" si="34"/>
        <v>0.95081967199999995</v>
      </c>
      <c r="G31" s="27">
        <f t="shared" si="34"/>
        <v>7.7935999999999999E-4</v>
      </c>
      <c r="H31" s="7">
        <f t="shared" si="14"/>
        <v>1101.0491801759999</v>
      </c>
      <c r="I31">
        <f t="shared" si="13"/>
        <v>1045.09370304</v>
      </c>
      <c r="J31">
        <f t="shared" si="4"/>
        <v>32.327909042188303</v>
      </c>
      <c r="K31" s="6">
        <f t="shared" si="5"/>
        <v>63.362701722689074</v>
      </c>
      <c r="M31" s="2">
        <f>'rockfish harvests'!O30</f>
        <v>340.91598729789757</v>
      </c>
      <c r="N31">
        <f>'rockfish harvests'!P30</f>
        <v>43442.642717188777</v>
      </c>
      <c r="O31" s="27">
        <f t="shared" si="35"/>
        <v>0.82022471900000005</v>
      </c>
      <c r="P31" s="27">
        <f t="shared" si="35"/>
        <v>1.6756379999999999E-3</v>
      </c>
      <c r="Q31" s="13">
        <f t="shared" si="1"/>
        <v>279.62771988402562</v>
      </c>
      <c r="R31" s="2">
        <f t="shared" si="6"/>
        <v>29494.388480483511</v>
      </c>
      <c r="S31">
        <f t="shared" si="7"/>
        <v>171.73930383136968</v>
      </c>
      <c r="T31" s="6">
        <f t="shared" si="8"/>
        <v>336.60903550948456</v>
      </c>
      <c r="V31" s="13">
        <f t="shared" si="9"/>
        <v>1380.6769000600257</v>
      </c>
      <c r="W31">
        <f t="shared" si="2"/>
        <v>30539.482183523513</v>
      </c>
      <c r="X31">
        <f t="shared" si="10"/>
        <v>174.75549257040109</v>
      </c>
      <c r="Y31" s="6">
        <f t="shared" si="11"/>
        <v>342.52076543798614</v>
      </c>
      <c r="Z31" s="14">
        <f t="shared" si="12"/>
        <v>0.12657233025540118</v>
      </c>
      <c r="AA31" s="68"/>
      <c r="AB31" s="2"/>
    </row>
    <row r="32" spans="1:28" x14ac:dyDescent="0.3">
      <c r="A32" t="str">
        <f>'rockfish harvests'!A31</f>
        <v>SC</v>
      </c>
      <c r="B32">
        <f>'rockfish harvests'!B31</f>
        <v>2002</v>
      </c>
      <c r="C32" t="str">
        <f>'rockfish harvests'!C31</f>
        <v>WKMA</v>
      </c>
      <c r="D32">
        <f>'rockfish harvests'!D31</f>
        <v>880</v>
      </c>
      <c r="E32">
        <v>811</v>
      </c>
      <c r="F32" s="27">
        <f t="shared" si="34"/>
        <v>0.87719298199999995</v>
      </c>
      <c r="G32" s="27">
        <f t="shared" si="34"/>
        <v>1.923669E-3</v>
      </c>
      <c r="H32" s="7">
        <f t="shared" si="14"/>
        <v>711.40350840199994</v>
      </c>
      <c r="I32">
        <f t="shared" si="13"/>
        <v>1265.2374983489999</v>
      </c>
      <c r="J32">
        <f t="shared" si="4"/>
        <v>35.570177091898209</v>
      </c>
      <c r="K32" s="6">
        <f t="shared" si="5"/>
        <v>69.717547100120484</v>
      </c>
      <c r="M32" s="2">
        <f>'rockfish harvests'!O31</f>
        <v>253.8122409662858</v>
      </c>
      <c r="N32">
        <f>'rockfish harvests'!P31</f>
        <v>24079.453591943871</v>
      </c>
      <c r="O32" s="27">
        <f t="shared" si="35"/>
        <v>0.60843373499999998</v>
      </c>
      <c r="P32" s="27">
        <f t="shared" si="35"/>
        <v>1.443892E-3</v>
      </c>
      <c r="Q32" s="13">
        <f t="shared" si="1"/>
        <v>154.42792975983727</v>
      </c>
      <c r="R32" s="2">
        <f t="shared" si="6"/>
        <v>9041.7962872446096</v>
      </c>
      <c r="S32">
        <f t="shared" si="7"/>
        <v>95.088360419373146</v>
      </c>
      <c r="T32" s="6">
        <f t="shared" si="8"/>
        <v>186.37318642197135</v>
      </c>
      <c r="V32" s="13">
        <f t="shared" si="9"/>
        <v>865.83143816183724</v>
      </c>
      <c r="W32">
        <f t="shared" si="2"/>
        <v>10307.033785593609</v>
      </c>
      <c r="X32">
        <f t="shared" si="10"/>
        <v>101.52356271129185</v>
      </c>
      <c r="Y32" s="6">
        <f t="shared" si="11"/>
        <v>198.986182914132</v>
      </c>
      <c r="Z32" s="14">
        <f t="shared" si="12"/>
        <v>0.11725557451093099</v>
      </c>
      <c r="AA32" s="68"/>
      <c r="AB32" s="2"/>
    </row>
    <row r="33" spans="1:28" x14ac:dyDescent="0.3">
      <c r="A33" t="str">
        <f>'rockfish harvests'!A32</f>
        <v>SC</v>
      </c>
      <c r="B33">
        <f>'rockfish harvests'!B32</f>
        <v>2003</v>
      </c>
      <c r="C33" t="str">
        <f>'rockfish harvests'!C32</f>
        <v>WKMA</v>
      </c>
      <c r="D33">
        <f>'rockfish harvests'!D32</f>
        <v>1107</v>
      </c>
      <c r="E33">
        <v>958</v>
      </c>
      <c r="F33" s="27">
        <f t="shared" si="34"/>
        <v>0.85869565199999998</v>
      </c>
      <c r="G33" s="27">
        <f t="shared" si="34"/>
        <v>1.3333780000000001E-3</v>
      </c>
      <c r="H33" s="7">
        <f t="shared" si="14"/>
        <v>822.630434616</v>
      </c>
      <c r="I33">
        <f t="shared" si="13"/>
        <v>1223.726326792</v>
      </c>
      <c r="J33">
        <f t="shared" si="4"/>
        <v>34.981799936424082</v>
      </c>
      <c r="K33" s="6">
        <f t="shared" si="5"/>
        <v>68.5643278753912</v>
      </c>
      <c r="M33" s="2">
        <f>'rockfish harvests'!O32</f>
        <v>319.28426221554378</v>
      </c>
      <c r="N33">
        <f>'rockfish harvests'!P32</f>
        <v>38104.522630157575</v>
      </c>
      <c r="O33" s="27">
        <f t="shared" si="35"/>
        <v>0.73262032099999996</v>
      </c>
      <c r="P33" s="27">
        <f t="shared" si="35"/>
        <v>1.05316E-3</v>
      </c>
      <c r="Q33" s="13">
        <f t="shared" si="1"/>
        <v>233.91413867459985</v>
      </c>
      <c r="R33" s="2">
        <f t="shared" si="6"/>
        <v>20599.428875691163</v>
      </c>
      <c r="S33">
        <f t="shared" si="7"/>
        <v>143.52501132447668</v>
      </c>
      <c r="T33" s="6">
        <f t="shared" si="8"/>
        <v>281.30902219597431</v>
      </c>
      <c r="V33" s="13">
        <f t="shared" si="9"/>
        <v>1056.5445732905998</v>
      </c>
      <c r="W33">
        <f t="shared" si="2"/>
        <v>21823.155202483162</v>
      </c>
      <c r="X33">
        <f t="shared" si="10"/>
        <v>147.72662320138224</v>
      </c>
      <c r="Y33" s="6">
        <f t="shared" si="11"/>
        <v>289.54418147470921</v>
      </c>
      <c r="Z33" s="14">
        <f t="shared" si="12"/>
        <v>0.13982053094200164</v>
      </c>
      <c r="AA33" s="68"/>
      <c r="AB33" s="2"/>
    </row>
    <row r="34" spans="1:28" x14ac:dyDescent="0.3">
      <c r="A34" t="str">
        <f>'rockfish harvests'!A33</f>
        <v>SC</v>
      </c>
      <c r="B34">
        <f>'rockfish harvests'!B33</f>
        <v>2004</v>
      </c>
      <c r="C34" t="str">
        <f>'rockfish harvests'!C33</f>
        <v>WKMA</v>
      </c>
      <c r="D34">
        <f>'rockfish harvests'!D33</f>
        <v>810</v>
      </c>
      <c r="E34">
        <v>716</v>
      </c>
      <c r="F34" s="27">
        <f t="shared" si="34"/>
        <v>0.77564102599999996</v>
      </c>
      <c r="G34" s="27">
        <f t="shared" si="34"/>
        <v>1.122723E-3</v>
      </c>
      <c r="H34" s="7">
        <f t="shared" si="14"/>
        <v>555.35897461599995</v>
      </c>
      <c r="I34">
        <f t="shared" si="13"/>
        <v>575.57068228799994</v>
      </c>
      <c r="J34">
        <f t="shared" si="4"/>
        <v>23.99105421376893</v>
      </c>
      <c r="K34" s="6">
        <f t="shared" si="5"/>
        <v>47.022466258987102</v>
      </c>
      <c r="M34" s="2">
        <f>'rockfish harvests'!O33</f>
        <v>233.62263088942223</v>
      </c>
      <c r="N34">
        <f>'rockfish harvests'!P33</f>
        <v>20400.993674682817</v>
      </c>
      <c r="O34" s="27">
        <f t="shared" si="35"/>
        <v>0.77966101700000001</v>
      </c>
      <c r="P34" s="27">
        <f t="shared" si="35"/>
        <v>1.4682880000000001E-3</v>
      </c>
      <c r="Q34" s="13">
        <f t="shared" si="1"/>
        <v>182.14645799346255</v>
      </c>
      <c r="R34" s="2">
        <f t="shared" si="6"/>
        <v>12511.271584008531</v>
      </c>
      <c r="S34">
        <f t="shared" si="7"/>
        <v>111.85379557265158</v>
      </c>
      <c r="T34" s="6">
        <f t="shared" si="8"/>
        <v>219.23343932239709</v>
      </c>
      <c r="V34" s="13">
        <f t="shared" si="9"/>
        <v>737.50543260946256</v>
      </c>
      <c r="W34">
        <f t="shared" si="2"/>
        <v>13086.842266296531</v>
      </c>
      <c r="X34">
        <f t="shared" si="10"/>
        <v>114.39773715548979</v>
      </c>
      <c r="Y34" s="6">
        <f t="shared" si="11"/>
        <v>224.21956482476</v>
      </c>
      <c r="Z34" s="14">
        <f t="shared" si="12"/>
        <v>0.15511443319234203</v>
      </c>
      <c r="AA34" s="68"/>
      <c r="AB34" s="2"/>
    </row>
    <row r="35" spans="1:28" x14ac:dyDescent="0.3">
      <c r="A35" t="str">
        <f>'rockfish harvests'!A34</f>
        <v>SC</v>
      </c>
      <c r="B35">
        <f>'rockfish harvests'!B34</f>
        <v>2005</v>
      </c>
      <c r="C35" t="str">
        <f>'rockfish harvests'!C34</f>
        <v>WKMA</v>
      </c>
      <c r="D35">
        <f>'rockfish harvests'!D34</f>
        <v>1266</v>
      </c>
      <c r="E35">
        <v>1133</v>
      </c>
      <c r="F35" s="27">
        <f t="shared" si="34"/>
        <v>0.93277310899999999</v>
      </c>
      <c r="G35" s="27">
        <f t="shared" si="34"/>
        <v>5.3141899999999999E-4</v>
      </c>
      <c r="H35" s="7">
        <f t="shared" si="14"/>
        <v>1056.831932497</v>
      </c>
      <c r="I35">
        <f t="shared" si="13"/>
        <v>682.176724691</v>
      </c>
      <c r="J35">
        <f t="shared" si="4"/>
        <v>26.118513064318957</v>
      </c>
      <c r="K35" s="6">
        <f t="shared" si="5"/>
        <v>51.192285606065155</v>
      </c>
      <c r="M35" s="2">
        <f>'rockfish harvests'!O34</f>
        <v>365.14351939013386</v>
      </c>
      <c r="N35">
        <f>'rockfish harvests'!P34</f>
        <v>49836.633162719001</v>
      </c>
      <c r="O35" s="27">
        <f t="shared" si="35"/>
        <v>0.82183908000000006</v>
      </c>
      <c r="P35" s="27">
        <f t="shared" si="35"/>
        <v>8.4635600000000004E-4</v>
      </c>
      <c r="Q35" s="13">
        <f t="shared" si="1"/>
        <v>300.08921404354982</v>
      </c>
      <c r="R35" s="2">
        <f t="shared" si="6"/>
        <v>33815.656528585401</v>
      </c>
      <c r="S35">
        <f t="shared" si="7"/>
        <v>183.89033832310332</v>
      </c>
      <c r="T35" s="6">
        <f t="shared" si="8"/>
        <v>360.42506311328248</v>
      </c>
      <c r="V35" s="13">
        <f t="shared" si="9"/>
        <v>1356.9211465405499</v>
      </c>
      <c r="W35">
        <f t="shared" si="2"/>
        <v>34497.833253276403</v>
      </c>
      <c r="X35">
        <f t="shared" si="10"/>
        <v>185.7359234323732</v>
      </c>
      <c r="Y35" s="6">
        <f t="shared" si="11"/>
        <v>364.04240992745144</v>
      </c>
      <c r="Z35" s="14">
        <f t="shared" si="12"/>
        <v>0.1368804104099226</v>
      </c>
      <c r="AA35" s="68"/>
      <c r="AB35" s="2"/>
    </row>
    <row r="36" spans="1:28" x14ac:dyDescent="0.3">
      <c r="A36" t="str">
        <f>'rockfish harvests'!A35</f>
        <v>SC</v>
      </c>
      <c r="B36">
        <f>'rockfish harvests'!B35</f>
        <v>2006</v>
      </c>
      <c r="C36" t="str">
        <f>'rockfish harvests'!C35</f>
        <v>WKMA</v>
      </c>
      <c r="D36">
        <f>'rockfish harvests'!D35</f>
        <v>737</v>
      </c>
      <c r="E36">
        <v>582</v>
      </c>
      <c r="F36" s="27">
        <f t="shared" si="34"/>
        <v>0.866071429</v>
      </c>
      <c r="G36" s="27">
        <f t="shared" si="34"/>
        <v>1.0449700000000001E-3</v>
      </c>
      <c r="H36" s="7">
        <f t="shared" si="14"/>
        <v>504.05357167800003</v>
      </c>
      <c r="I36">
        <f t="shared" si="13"/>
        <v>353.95641828000004</v>
      </c>
      <c r="J36">
        <f t="shared" si="4"/>
        <v>18.813729515436329</v>
      </c>
      <c r="K36" s="6">
        <f t="shared" si="5"/>
        <v>36.8749098502552</v>
      </c>
      <c r="M36" s="2">
        <f>'rockfish harvests'!O35</f>
        <v>212.56775180926445</v>
      </c>
      <c r="N36">
        <f>'rockfish harvests'!P35</f>
        <v>16889.47924597438</v>
      </c>
      <c r="O36" s="27">
        <f t="shared" si="35"/>
        <v>0.79807692299999999</v>
      </c>
      <c r="P36" s="27">
        <f t="shared" si="35"/>
        <v>1.564565E-3</v>
      </c>
      <c r="Q36" s="13">
        <f t="shared" si="1"/>
        <v>169.64541729296545</v>
      </c>
      <c r="R36" s="2">
        <f t="shared" si="6"/>
        <v>10854.481182448715</v>
      </c>
      <c r="S36">
        <f t="shared" si="7"/>
        <v>104.18484142354258</v>
      </c>
      <c r="T36" s="6">
        <f t="shared" si="8"/>
        <v>204.20228919014346</v>
      </c>
      <c r="V36" s="13">
        <f t="shared" si="9"/>
        <v>673.6989889709655</v>
      </c>
      <c r="W36">
        <f t="shared" si="2"/>
        <v>11208.437600728716</v>
      </c>
      <c r="X36">
        <f t="shared" si="10"/>
        <v>105.86990885387932</v>
      </c>
      <c r="Y36" s="6">
        <f t="shared" si="11"/>
        <v>207.50502135360347</v>
      </c>
      <c r="Z36" s="14">
        <f t="shared" si="12"/>
        <v>0.15714719865557347</v>
      </c>
      <c r="AA36" s="68"/>
      <c r="AB36" s="2"/>
    </row>
    <row r="37" spans="1:28" x14ac:dyDescent="0.3">
      <c r="A37" t="str">
        <f>'rockfish harvests'!A36</f>
        <v>SC</v>
      </c>
      <c r="B37">
        <f>'rockfish harvests'!B36</f>
        <v>2007</v>
      </c>
      <c r="C37" t="str">
        <f>'rockfish harvests'!C36</f>
        <v>WKMA</v>
      </c>
      <c r="D37">
        <f>'rockfish harvests'!D36</f>
        <v>1645</v>
      </c>
      <c r="E37">
        <v>1308</v>
      </c>
      <c r="F37" s="27">
        <f t="shared" si="34"/>
        <v>0.62025316500000005</v>
      </c>
      <c r="G37" s="27">
        <f t="shared" si="34"/>
        <v>3.0197330000000001E-3</v>
      </c>
      <c r="H37" s="7">
        <f t="shared" si="14"/>
        <v>811.29113982000001</v>
      </c>
      <c r="I37">
        <f t="shared" si="13"/>
        <v>5166.3524793120005</v>
      </c>
      <c r="J37">
        <f t="shared" si="4"/>
        <v>71.877343296145838</v>
      </c>
      <c r="K37" s="6">
        <f t="shared" si="5"/>
        <v>140.87959286044585</v>
      </c>
      <c r="M37" s="2">
        <f>'rockfish harvests'!O36</f>
        <v>474.45583680629579</v>
      </c>
      <c r="N37">
        <f>'rockfish harvests'!P36</f>
        <v>84142.049852969925</v>
      </c>
      <c r="O37" s="27">
        <f t="shared" si="35"/>
        <v>0.89411764699999996</v>
      </c>
      <c r="P37" s="27">
        <f t="shared" si="35"/>
        <v>1.127039E-3</v>
      </c>
      <c r="Q37" s="13">
        <f t="shared" si="1"/>
        <v>424.21933641066119</v>
      </c>
      <c r="R37" s="2">
        <f t="shared" si="6"/>
        <v>67615.593291042576</v>
      </c>
      <c r="S37">
        <f t="shared" si="7"/>
        <v>260.02998536907734</v>
      </c>
      <c r="T37" s="6">
        <f t="shared" si="8"/>
        <v>509.65877132339159</v>
      </c>
      <c r="V37" s="13">
        <f t="shared" si="9"/>
        <v>1235.5104762306612</v>
      </c>
      <c r="W37">
        <f t="shared" si="2"/>
        <v>72781.945770354578</v>
      </c>
      <c r="X37">
        <f t="shared" si="10"/>
        <v>269.78129247661815</v>
      </c>
      <c r="Y37" s="6">
        <f t="shared" si="11"/>
        <v>528.77133325417151</v>
      </c>
      <c r="Z37" s="14">
        <f t="shared" si="12"/>
        <v>0.21835613510917073</v>
      </c>
      <c r="AA37" s="68"/>
      <c r="AB37" s="2"/>
    </row>
    <row r="38" spans="1:28" x14ac:dyDescent="0.3">
      <c r="A38" t="str">
        <f>'rockfish harvests'!A37</f>
        <v>SC</v>
      </c>
      <c r="B38">
        <f>'rockfish harvests'!B37</f>
        <v>2008</v>
      </c>
      <c r="C38" t="str">
        <f>'rockfish harvests'!C37</f>
        <v>WKMA</v>
      </c>
      <c r="D38">
        <f>'rockfish harvests'!D37</f>
        <v>1196</v>
      </c>
      <c r="E38">
        <v>900</v>
      </c>
      <c r="F38" s="27">
        <f t="shared" si="34"/>
        <v>0.82677165399999997</v>
      </c>
      <c r="G38" s="27">
        <f t="shared" si="34"/>
        <v>1.1366690000000001E-3</v>
      </c>
      <c r="H38" s="7">
        <f t="shared" si="14"/>
        <v>744.09448859999998</v>
      </c>
      <c r="I38">
        <f t="shared" si="13"/>
        <v>920.70189000000005</v>
      </c>
      <c r="J38">
        <f t="shared" si="4"/>
        <v>30.343069884242102</v>
      </c>
      <c r="K38" s="6">
        <f t="shared" si="5"/>
        <v>59.47241697311452</v>
      </c>
      <c r="M38" s="2">
        <f>'rockfish harvests'!O37</f>
        <v>344.95390931327029</v>
      </c>
      <c r="N38">
        <f>'rockfish harvests'!P37</f>
        <v>44477.835342425082</v>
      </c>
      <c r="O38" s="27">
        <f t="shared" si="35"/>
        <v>0.693333333</v>
      </c>
      <c r="P38" s="27">
        <f t="shared" si="35"/>
        <v>2.873273E-3</v>
      </c>
      <c r="Q38" s="13">
        <f t="shared" si="1"/>
        <v>239.16804367554943</v>
      </c>
      <c r="R38" s="2">
        <f t="shared" si="6"/>
        <v>21850.686537555484</v>
      </c>
      <c r="S38">
        <f t="shared" si="7"/>
        <v>147.81977722062595</v>
      </c>
      <c r="T38" s="6">
        <f t="shared" si="8"/>
        <v>289.72676335242687</v>
      </c>
      <c r="V38" s="13">
        <f t="shared" si="9"/>
        <v>983.26253227554935</v>
      </c>
      <c r="W38">
        <f t="shared" si="2"/>
        <v>22771.388427555485</v>
      </c>
      <c r="X38">
        <f t="shared" si="10"/>
        <v>150.9019165801266</v>
      </c>
      <c r="Y38" s="6">
        <f t="shared" si="11"/>
        <v>295.76775649704814</v>
      </c>
      <c r="Z38" s="14">
        <f t="shared" si="12"/>
        <v>0.15347062623335866</v>
      </c>
      <c r="AA38" s="68"/>
      <c r="AB38" s="2"/>
    </row>
    <row r="39" spans="1:28" x14ac:dyDescent="0.3">
      <c r="A39" t="str">
        <f>'rockfish harvests'!A38</f>
        <v>SC</v>
      </c>
      <c r="B39">
        <f>'rockfish harvests'!B38</f>
        <v>2009</v>
      </c>
      <c r="C39" t="str">
        <f>'rockfish harvests'!C38</f>
        <v>WKMA</v>
      </c>
      <c r="D39">
        <f>'rockfish harvests'!D38</f>
        <v>1849</v>
      </c>
      <c r="E39">
        <v>1517</v>
      </c>
      <c r="F39" s="27">
        <f t="shared" si="34"/>
        <v>0.73611111100000004</v>
      </c>
      <c r="G39" s="27">
        <f t="shared" si="34"/>
        <v>2.7359369999999999E-3</v>
      </c>
      <c r="H39" s="7">
        <f t="shared" si="14"/>
        <v>1116.6805553870001</v>
      </c>
      <c r="I39">
        <f t="shared" si="13"/>
        <v>6296.1817227929996</v>
      </c>
      <c r="J39">
        <f t="shared" si="4"/>
        <v>79.348482800826133</v>
      </c>
      <c r="K39" s="6">
        <f t="shared" si="5"/>
        <v>155.52302628961922</v>
      </c>
      <c r="M39" s="2">
        <f>'rockfish harvests'!O38</f>
        <v>533.29412903029834</v>
      </c>
      <c r="N39">
        <f>'rockfish harvests'!P38</f>
        <v>106305.34609967883</v>
      </c>
      <c r="O39" s="27">
        <f t="shared" si="35"/>
        <v>0.55882352899999999</v>
      </c>
      <c r="P39" s="27">
        <f t="shared" si="35"/>
        <v>3.6796979999999999E-3</v>
      </c>
      <c r="Q39" s="13">
        <f t="shared" si="1"/>
        <v>298.01730717969264</v>
      </c>
      <c r="R39" s="2">
        <f t="shared" si="6"/>
        <v>34635.118047831165</v>
      </c>
      <c r="S39">
        <f t="shared" si="7"/>
        <v>186.10512633409959</v>
      </c>
      <c r="T39" s="6">
        <f t="shared" si="8"/>
        <v>364.7660476148352</v>
      </c>
      <c r="V39" s="13">
        <f t="shared" si="9"/>
        <v>1414.6978625666927</v>
      </c>
      <c r="W39">
        <f t="shared" si="2"/>
        <v>40931.299770624166</v>
      </c>
      <c r="X39">
        <f t="shared" si="10"/>
        <v>202.3148530647816</v>
      </c>
      <c r="Y39" s="6">
        <f t="shared" si="11"/>
        <v>396.53711200697194</v>
      </c>
      <c r="Z39" s="14">
        <f t="shared" si="12"/>
        <v>0.14300923074678351</v>
      </c>
      <c r="AA39" s="68"/>
      <c r="AB39" s="2"/>
    </row>
    <row r="40" spans="1:28" x14ac:dyDescent="0.3">
      <c r="A40" t="str">
        <f>'rockfish harvests'!A39</f>
        <v>SC</v>
      </c>
      <c r="B40">
        <f>'rockfish harvests'!B39</f>
        <v>2010</v>
      </c>
      <c r="C40" t="str">
        <f>'rockfish harvests'!C39</f>
        <v>WKMA</v>
      </c>
      <c r="D40">
        <f>'rockfish harvests'!D39</f>
        <v>1266</v>
      </c>
      <c r="E40">
        <v>793</v>
      </c>
      <c r="F40" s="27">
        <f t="shared" si="34"/>
        <v>0.53535353500000005</v>
      </c>
      <c r="G40" s="27">
        <f t="shared" si="34"/>
        <v>2.5382669999999999E-3</v>
      </c>
      <c r="H40" s="7">
        <f t="shared" si="14"/>
        <v>424.53535325500002</v>
      </c>
      <c r="I40">
        <f t="shared" si="13"/>
        <v>1596.1866646829999</v>
      </c>
      <c r="J40">
        <f t="shared" si="4"/>
        <v>39.952304873223518</v>
      </c>
      <c r="K40" s="6">
        <f t="shared" si="5"/>
        <v>78.306517551518098</v>
      </c>
      <c r="M40" s="2">
        <f>'rockfish harvests'!O39</f>
        <v>365.14351939013386</v>
      </c>
      <c r="N40">
        <f>'rockfish harvests'!P39</f>
        <v>49836.633162719001</v>
      </c>
      <c r="O40" s="27">
        <f t="shared" si="35"/>
        <v>0.74806438500000005</v>
      </c>
      <c r="P40" s="27">
        <f t="shared" si="35"/>
        <v>6.3493509999999996E-3</v>
      </c>
      <c r="Q40" s="13">
        <f t="shared" si="1"/>
        <v>273.15086226931606</v>
      </c>
      <c r="R40" s="2">
        <f t="shared" si="6"/>
        <v>29051.583980684773</v>
      </c>
      <c r="S40">
        <f t="shared" si="7"/>
        <v>170.44525215060926</v>
      </c>
      <c r="T40" s="6">
        <f t="shared" si="8"/>
        <v>334.07269421519413</v>
      </c>
      <c r="V40" s="13">
        <f t="shared" si="9"/>
        <v>697.68621552431614</v>
      </c>
      <c r="W40">
        <f t="shared" si="2"/>
        <v>30647.770645367771</v>
      </c>
      <c r="X40">
        <f t="shared" si="10"/>
        <v>175.06504689791097</v>
      </c>
      <c r="Y40" s="6">
        <f t="shared" si="11"/>
        <v>343.12749191990548</v>
      </c>
      <c r="Z40" s="14">
        <f t="shared" si="12"/>
        <v>0.25092232439528472</v>
      </c>
      <c r="AA40" s="68"/>
      <c r="AB40" s="2"/>
    </row>
    <row r="41" spans="1:28" x14ac:dyDescent="0.3">
      <c r="A41" t="str">
        <f>'rockfish harvests'!A40</f>
        <v>SC</v>
      </c>
      <c r="B41">
        <f>'rockfish harvests'!B40</f>
        <v>2011</v>
      </c>
      <c r="C41" t="str">
        <f>'rockfish harvests'!C40</f>
        <v>WKMA</v>
      </c>
      <c r="D41">
        <f>'rockfish harvests'!D40</f>
        <v>1366</v>
      </c>
      <c r="E41">
        <v>1117</v>
      </c>
      <c r="F41" s="27">
        <f t="shared" si="34"/>
        <v>0.862318841</v>
      </c>
      <c r="G41" s="27">
        <f t="shared" si="34"/>
        <v>8.6660600000000002E-4</v>
      </c>
      <c r="H41" s="7">
        <f t="shared" si="14"/>
        <v>963.21014539700002</v>
      </c>
      <c r="I41">
        <f t="shared" si="13"/>
        <v>1081.2547735339999</v>
      </c>
      <c r="J41">
        <f t="shared" si="4"/>
        <v>32.882438679848548</v>
      </c>
      <c r="K41" s="6">
        <f t="shared" si="5"/>
        <v>64.449579812503146</v>
      </c>
      <c r="M41" s="2">
        <f>'rockfish harvests'!O40</f>
        <v>321.1685166498487</v>
      </c>
      <c r="N41">
        <f>'rockfish harvests'!P40</f>
        <v>51469.344301835146</v>
      </c>
      <c r="O41" s="27">
        <f t="shared" si="35"/>
        <v>0.71830985899999999</v>
      </c>
      <c r="P41" s="27">
        <f t="shared" si="35"/>
        <v>2.890583E-3</v>
      </c>
      <c r="Q41" s="13">
        <f t="shared" si="1"/>
        <v>230.69851190999196</v>
      </c>
      <c r="R41" s="2">
        <f t="shared" si="6"/>
        <v>27003.526647711893</v>
      </c>
      <c r="S41">
        <f t="shared" si="7"/>
        <v>164.32749814839843</v>
      </c>
      <c r="T41" s="6">
        <f t="shared" si="8"/>
        <v>322.08189637086093</v>
      </c>
      <c r="V41" s="13">
        <f t="shared" si="9"/>
        <v>1193.9086573069919</v>
      </c>
      <c r="W41">
        <f t="shared" si="2"/>
        <v>28084.781421245894</v>
      </c>
      <c r="X41">
        <f t="shared" si="10"/>
        <v>167.5851467799157</v>
      </c>
      <c r="Y41" s="6">
        <f t="shared" si="11"/>
        <v>328.46688768863476</v>
      </c>
      <c r="Z41" s="14">
        <f t="shared" si="12"/>
        <v>0.14036680758972353</v>
      </c>
      <c r="AA41" s="68"/>
      <c r="AB41" s="2"/>
    </row>
    <row r="42" spans="1:28" x14ac:dyDescent="0.3">
      <c r="A42" t="str">
        <f>'rockfish harvests'!A41</f>
        <v>SC</v>
      </c>
      <c r="B42">
        <f>'rockfish harvests'!B41</f>
        <v>2012</v>
      </c>
      <c r="C42" t="str">
        <f>'rockfish harvests'!C41</f>
        <v>WKMA</v>
      </c>
      <c r="D42">
        <f>'rockfish harvests'!D41</f>
        <v>1747</v>
      </c>
      <c r="E42">
        <v>1322</v>
      </c>
      <c r="F42" s="27">
        <f t="shared" si="34"/>
        <v>0.75524475499999999</v>
      </c>
      <c r="G42" s="27">
        <f t="shared" si="34"/>
        <v>1.301761E-3</v>
      </c>
      <c r="H42" s="7">
        <f t="shared" si="14"/>
        <v>998.43356611000002</v>
      </c>
      <c r="I42">
        <f t="shared" si="13"/>
        <v>2275.0668715239999</v>
      </c>
      <c r="J42">
        <f t="shared" si="4"/>
        <v>47.697661069742189</v>
      </c>
      <c r="K42" s="6">
        <f t="shared" si="5"/>
        <v>93.487415696694683</v>
      </c>
      <c r="M42" s="2">
        <f>'rockfish harvests'!O41</f>
        <v>1124.7026143790849</v>
      </c>
      <c r="N42">
        <f>'rockfish harvests'!P41</f>
        <v>412684.87548151758</v>
      </c>
      <c r="O42" s="27">
        <f t="shared" si="35"/>
        <v>0.74509803900000005</v>
      </c>
      <c r="P42" s="27">
        <f t="shared" si="35"/>
        <v>1.2495189999999999E-3</v>
      </c>
      <c r="Q42" s="13">
        <f t="shared" si="1"/>
        <v>838.01371243202948</v>
      </c>
      <c r="R42" s="2">
        <f t="shared" si="6"/>
        <v>231206.95531993973</v>
      </c>
      <c r="S42">
        <f t="shared" si="7"/>
        <v>480.83984373171461</v>
      </c>
      <c r="T42" s="6">
        <f t="shared" si="8"/>
        <v>942.44609371416061</v>
      </c>
      <c r="V42" s="13">
        <f t="shared" si="9"/>
        <v>1836.4472785420294</v>
      </c>
      <c r="W42">
        <f t="shared" si="2"/>
        <v>233482.02219146374</v>
      </c>
      <c r="X42">
        <f t="shared" si="10"/>
        <v>483.19977461859781</v>
      </c>
      <c r="Y42" s="6">
        <f t="shared" si="11"/>
        <v>947.07155825245172</v>
      </c>
      <c r="Z42" s="14">
        <f t="shared" si="12"/>
        <v>0.26311660577711443</v>
      </c>
      <c r="AA42" s="68"/>
      <c r="AB42" s="2"/>
    </row>
    <row r="43" spans="1:28" x14ac:dyDescent="0.3">
      <c r="A43" t="str">
        <f>'rockfish harvests'!A42</f>
        <v>SC</v>
      </c>
      <c r="B43">
        <f>'rockfish harvests'!B42</f>
        <v>2013</v>
      </c>
      <c r="C43" t="str">
        <f>'rockfish harvests'!C42</f>
        <v>WKMA</v>
      </c>
      <c r="D43">
        <f>'rockfish harvests'!D42</f>
        <v>1983</v>
      </c>
      <c r="E43">
        <v>1626</v>
      </c>
      <c r="F43" s="27">
        <f t="shared" si="34"/>
        <v>0.53982300900000002</v>
      </c>
      <c r="G43" s="27">
        <f t="shared" si="34"/>
        <v>5.5080699999999995E-4</v>
      </c>
      <c r="H43" s="7">
        <f t="shared" si="14"/>
        <v>877.75221263399999</v>
      </c>
      <c r="I43">
        <f t="shared" si="13"/>
        <v>1456.2654079319998</v>
      </c>
      <c r="J43">
        <f t="shared" si="4"/>
        <v>38.161045687087764</v>
      </c>
      <c r="K43" s="6">
        <f t="shared" si="5"/>
        <v>74.795649546692019</v>
      </c>
      <c r="M43" s="2">
        <f>'rockfish harvests'!O42</f>
        <v>401.95945945945914</v>
      </c>
      <c r="N43">
        <f>'rockfish harvests'!P42</f>
        <v>69446.330827502126</v>
      </c>
      <c r="O43" s="27">
        <f t="shared" si="35"/>
        <v>0.66871165600000004</v>
      </c>
      <c r="P43" s="27">
        <f t="shared" si="35"/>
        <v>1.3675079999999999E-3</v>
      </c>
      <c r="Q43" s="13">
        <f t="shared" si="1"/>
        <v>268.79497577999979</v>
      </c>
      <c r="R43" s="2">
        <f t="shared" si="6"/>
        <v>31370.600958992698</v>
      </c>
      <c r="S43">
        <f t="shared" si="7"/>
        <v>177.11747784731099</v>
      </c>
      <c r="T43" s="6">
        <f t="shared" si="8"/>
        <v>347.15025658072955</v>
      </c>
      <c r="V43" s="13">
        <f t="shared" si="9"/>
        <v>1146.5471884139997</v>
      </c>
      <c r="W43">
        <f t="shared" si="2"/>
        <v>32826.866366924696</v>
      </c>
      <c r="X43">
        <f t="shared" si="10"/>
        <v>181.18185992787659</v>
      </c>
      <c r="Y43" s="6">
        <f t="shared" si="11"/>
        <v>355.11644545863811</v>
      </c>
      <c r="Z43" s="14">
        <f t="shared" si="12"/>
        <v>0.15802390146584594</v>
      </c>
      <c r="AA43" s="68"/>
      <c r="AB43" s="2"/>
    </row>
    <row r="44" spans="1:28" x14ac:dyDescent="0.3">
      <c r="A44" t="str">
        <f>'rockfish harvests'!A43</f>
        <v>SC</v>
      </c>
      <c r="B44">
        <f>'rockfish harvests'!B43</f>
        <v>2014</v>
      </c>
      <c r="C44" t="str">
        <f>'rockfish harvests'!C43</f>
        <v>WKMA</v>
      </c>
      <c r="D44">
        <f>'rockfish harvests'!D43</f>
        <v>2396</v>
      </c>
      <c r="E44">
        <v>1757</v>
      </c>
      <c r="F44" s="27">
        <f t="shared" si="34"/>
        <v>0.81493506500000001</v>
      </c>
      <c r="G44" s="27">
        <f t="shared" si="34"/>
        <v>4.9125700000000004E-4</v>
      </c>
      <c r="H44" s="7">
        <f t="shared" si="14"/>
        <v>1431.8409092050001</v>
      </c>
      <c r="I44">
        <f t="shared" si="13"/>
        <v>1516.534430593</v>
      </c>
      <c r="J44">
        <f t="shared" si="4"/>
        <v>38.942707027028824</v>
      </c>
      <c r="K44" s="6">
        <f t="shared" si="5"/>
        <v>76.3277057729765</v>
      </c>
      <c r="M44" s="2">
        <f>'rockfish harvests'!O43</f>
        <v>806.87092451987473</v>
      </c>
      <c r="N44">
        <f>'rockfish harvests'!P43</f>
        <v>244720.20702808804</v>
      </c>
      <c r="O44" s="27">
        <f t="shared" si="35"/>
        <v>0.77777777800000003</v>
      </c>
      <c r="P44" s="27">
        <f t="shared" si="35"/>
        <v>1.382716E-3</v>
      </c>
      <c r="Q44" s="13">
        <f t="shared" si="1"/>
        <v>627.56627480587395</v>
      </c>
      <c r="R44" s="2">
        <f t="shared" si="6"/>
        <v>149279.2020738539</v>
      </c>
      <c r="S44">
        <f t="shared" si="7"/>
        <v>386.36666791255931</v>
      </c>
      <c r="T44" s="6">
        <f t="shared" si="8"/>
        <v>757.27866910861621</v>
      </c>
      <c r="V44" s="13">
        <f t="shared" si="9"/>
        <v>2059.4071840108741</v>
      </c>
      <c r="W44">
        <f t="shared" si="2"/>
        <v>150795.73650444689</v>
      </c>
      <c r="X44">
        <f t="shared" si="10"/>
        <v>388.32426721033914</v>
      </c>
      <c r="Y44" s="6">
        <f t="shared" si="11"/>
        <v>761.11556373226472</v>
      </c>
      <c r="Z44" s="14">
        <f t="shared" si="12"/>
        <v>0.18856118897965771</v>
      </c>
      <c r="AA44" s="68"/>
      <c r="AB44" s="2"/>
    </row>
    <row r="45" spans="1:28" x14ac:dyDescent="0.3">
      <c r="A45" t="str">
        <f>'rockfish harvests'!A44</f>
        <v>SC</v>
      </c>
      <c r="B45">
        <f>'rockfish harvests'!B44</f>
        <v>2015</v>
      </c>
      <c r="C45" t="str">
        <f>'rockfish harvests'!C44</f>
        <v>WKMA</v>
      </c>
      <c r="D45">
        <f>'rockfish harvests'!D44</f>
        <v>2031</v>
      </c>
      <c r="E45">
        <v>1664</v>
      </c>
      <c r="F45" s="27">
        <f t="shared" si="34"/>
        <v>0.699029126</v>
      </c>
      <c r="G45" s="27">
        <f t="shared" si="34"/>
        <v>2.0626220000000001E-3</v>
      </c>
      <c r="H45" s="7">
        <f t="shared" si="14"/>
        <v>1163.1844656640001</v>
      </c>
      <c r="I45">
        <f t="shared" si="13"/>
        <v>5711.1858053120004</v>
      </c>
      <c r="J45">
        <f t="shared" si="4"/>
        <v>75.572387849743109</v>
      </c>
      <c r="K45" s="6">
        <f t="shared" si="5"/>
        <v>148.12188018549648</v>
      </c>
      <c r="M45" s="2">
        <f>'rockfish harvests'!O44</f>
        <v>924.55105533371352</v>
      </c>
      <c r="N45">
        <f>'rockfish harvests'!P44</f>
        <v>669754.36895301775</v>
      </c>
      <c r="O45" s="27">
        <f t="shared" si="35"/>
        <v>0.73157894700000003</v>
      </c>
      <c r="P45" s="27">
        <f t="shared" si="35"/>
        <v>5.1813E-4</v>
      </c>
      <c r="Q45" s="13">
        <f t="shared" si="1"/>
        <v>676.38208750877686</v>
      </c>
      <c r="R45" s="2">
        <f t="shared" si="6"/>
        <v>359247.6472585678</v>
      </c>
      <c r="S45">
        <f t="shared" si="7"/>
        <v>599.37271147305978</v>
      </c>
      <c r="T45" s="6">
        <f t="shared" si="8"/>
        <v>1174.7705144871973</v>
      </c>
      <c r="V45" s="13">
        <f t="shared" si="9"/>
        <v>1839.5665531727768</v>
      </c>
      <c r="W45">
        <f t="shared" si="2"/>
        <v>364958.83306387981</v>
      </c>
      <c r="X45">
        <f t="shared" si="10"/>
        <v>604.11822772026983</v>
      </c>
      <c r="Y45" s="6">
        <f t="shared" si="11"/>
        <v>1184.0717263317288</v>
      </c>
      <c r="Z45" s="14">
        <f t="shared" si="12"/>
        <v>0.32840248518235016</v>
      </c>
      <c r="AA45" s="68"/>
      <c r="AB45" s="2"/>
    </row>
    <row r="46" spans="1:28" x14ac:dyDescent="0.3">
      <c r="A46" t="str">
        <f>'rockfish harvests'!A45</f>
        <v>SC</v>
      </c>
      <c r="B46">
        <f>'rockfish harvests'!B45</f>
        <v>2016</v>
      </c>
      <c r="C46" t="str">
        <f>'rockfish harvests'!C45</f>
        <v>WKMA</v>
      </c>
      <c r="D46">
        <f>'rockfish harvests'!D45</f>
        <v>3337</v>
      </c>
      <c r="E46">
        <v>2644</v>
      </c>
      <c r="F46" s="27">
        <f t="shared" si="34"/>
        <v>0.54517134</v>
      </c>
      <c r="G46" s="27">
        <f t="shared" si="34"/>
        <v>7.7487400000000005E-4</v>
      </c>
      <c r="H46" s="7">
        <f t="shared" si="14"/>
        <v>1441.43302296</v>
      </c>
      <c r="I46">
        <f t="shared" si="13"/>
        <v>5416.9395672640003</v>
      </c>
      <c r="J46">
        <f t="shared" si="4"/>
        <v>73.599861190521281</v>
      </c>
      <c r="K46" s="6">
        <f t="shared" si="5"/>
        <v>144.2557279334217</v>
      </c>
      <c r="M46" s="2">
        <f>'rockfish harvests'!O45</f>
        <v>295.12697145138736</v>
      </c>
      <c r="N46">
        <f>'rockfish harvests'!P45</f>
        <v>25370.25919469192</v>
      </c>
      <c r="O46" s="27">
        <f t="shared" si="35"/>
        <v>0.83437499999999998</v>
      </c>
      <c r="P46" s="27">
        <f t="shared" si="35"/>
        <v>4.3320799999999998E-4</v>
      </c>
      <c r="Q46" s="13">
        <f t="shared" si="1"/>
        <v>246.24656680475132</v>
      </c>
      <c r="R46" s="2">
        <f t="shared" si="6"/>
        <v>17711.031654650022</v>
      </c>
      <c r="S46">
        <f t="shared" si="7"/>
        <v>133.08279999552917</v>
      </c>
      <c r="T46" s="6">
        <f t="shared" si="8"/>
        <v>260.84228799123719</v>
      </c>
      <c r="V46" s="13">
        <f t="shared" si="9"/>
        <v>1687.6795897647514</v>
      </c>
      <c r="W46">
        <f t="shared" si="2"/>
        <v>23127.97122191402</v>
      </c>
      <c r="X46">
        <f t="shared" si="10"/>
        <v>152.07883226114677</v>
      </c>
      <c r="Y46" s="6">
        <f t="shared" si="11"/>
        <v>298.07451123184768</v>
      </c>
      <c r="Z46" s="14">
        <f t="shared" si="12"/>
        <v>9.011119953304958E-2</v>
      </c>
      <c r="AA46" s="68"/>
      <c r="AB46" s="2"/>
    </row>
    <row r="47" spans="1:28" x14ac:dyDescent="0.3">
      <c r="A47" t="str">
        <f>'rockfish harvests'!A46</f>
        <v>SC</v>
      </c>
      <c r="B47">
        <f>'rockfish harvests'!B46</f>
        <v>2017</v>
      </c>
      <c r="C47" t="str">
        <f>'rockfish harvests'!C46</f>
        <v>WKMA</v>
      </c>
      <c r="D47">
        <f>'rockfish harvests'!D46</f>
        <v>2899</v>
      </c>
      <c r="E47">
        <v>2301</v>
      </c>
      <c r="F47" s="27">
        <f t="shared" si="34"/>
        <v>0.62343096200000003</v>
      </c>
      <c r="G47" s="27">
        <f t="shared" si="34"/>
        <v>9.8640699999999991E-4</v>
      </c>
      <c r="H47" s="7">
        <f t="shared" si="14"/>
        <v>1434.5146435620002</v>
      </c>
      <c r="I47">
        <f t="shared" si="13"/>
        <v>5222.6314886069995</v>
      </c>
      <c r="J47">
        <f t="shared" si="4"/>
        <v>72.267776281043822</v>
      </c>
      <c r="K47" s="6">
        <f t="shared" si="5"/>
        <v>141.64484151084588</v>
      </c>
      <c r="M47" s="2">
        <f>'rockfish harvests'!O46</f>
        <v>997.88339552238813</v>
      </c>
      <c r="N47">
        <f>'rockfish harvests'!P46</f>
        <v>341376.2270959196</v>
      </c>
      <c r="O47" s="27">
        <f t="shared" si="35"/>
        <v>0.712121212</v>
      </c>
      <c r="P47" s="27">
        <f t="shared" si="35"/>
        <v>6.2311400000000002E-4</v>
      </c>
      <c r="Q47" s="13">
        <f t="shared" si="1"/>
        <v>710.61393305407842</v>
      </c>
      <c r="R47" s="2">
        <f t="shared" si="6"/>
        <v>173950.75395751797</v>
      </c>
      <c r="S47">
        <f t="shared" si="7"/>
        <v>417.07403893975226</v>
      </c>
      <c r="T47" s="6">
        <f t="shared" si="8"/>
        <v>817.46511632191437</v>
      </c>
      <c r="V47" s="13">
        <f t="shared" si="9"/>
        <v>2145.1285766160786</v>
      </c>
      <c r="W47">
        <f t="shared" si="2"/>
        <v>179173.38544612497</v>
      </c>
      <c r="X47">
        <f t="shared" si="10"/>
        <v>423.28877311609028</v>
      </c>
      <c r="Y47" s="6">
        <f t="shared" si="11"/>
        <v>829.64599530753696</v>
      </c>
      <c r="Z47" s="14">
        <f t="shared" si="12"/>
        <v>0.19732559517892609</v>
      </c>
      <c r="AA47" s="69"/>
      <c r="AB47" s="2"/>
    </row>
    <row r="48" spans="1:28" x14ac:dyDescent="0.3">
      <c r="A48" t="str">
        <f>'rockfish harvests'!A47</f>
        <v>SC</v>
      </c>
      <c r="B48">
        <f>'rockfish harvests'!B47</f>
        <v>2018</v>
      </c>
      <c r="C48" t="str">
        <f>'rockfish harvests'!C47</f>
        <v>WKMA</v>
      </c>
      <c r="D48">
        <f>'rockfish harvests'!D47</f>
        <v>4291</v>
      </c>
      <c r="E48">
        <v>3583</v>
      </c>
      <c r="F48" s="27">
        <f t="shared" si="34"/>
        <v>0.55421686699999995</v>
      </c>
      <c r="G48" s="27">
        <f t="shared" si="34"/>
        <v>3.0129330000000002E-3</v>
      </c>
      <c r="H48" s="7">
        <f t="shared" si="14"/>
        <v>1985.7590344609998</v>
      </c>
      <c r="I48">
        <f t="shared" si="13"/>
        <v>38679.699418437005</v>
      </c>
      <c r="J48">
        <f t="shared" si="4"/>
        <v>196.67155213308558</v>
      </c>
      <c r="K48" s="6">
        <f t="shared" si="5"/>
        <v>385.47624218084775</v>
      </c>
      <c r="M48" s="2">
        <f>'rockfish harvests'!O47</f>
        <v>688.36627310061613</v>
      </c>
      <c r="N48">
        <f>'rockfish harvests'!P47</f>
        <v>176905.35655507445</v>
      </c>
      <c r="O48" s="27">
        <f t="shared" si="35"/>
        <v>0.75919732399999995</v>
      </c>
      <c r="P48" s="27">
        <f t="shared" si="35"/>
        <v>6.13479E-4</v>
      </c>
      <c r="Q48" s="13">
        <f t="shared" si="1"/>
        <v>522.60583246984095</v>
      </c>
      <c r="R48" s="2">
        <f t="shared" si="6"/>
        <v>102364.03504038618</v>
      </c>
      <c r="S48">
        <f t="shared" si="7"/>
        <v>319.9437998155085</v>
      </c>
      <c r="T48" s="6">
        <f t="shared" si="8"/>
        <v>627.08984763839669</v>
      </c>
      <c r="V48" s="13">
        <f t="shared" si="9"/>
        <v>2508.3648669308409</v>
      </c>
      <c r="W48">
        <f t="shared" si="2"/>
        <v>141043.73445882319</v>
      </c>
      <c r="X48">
        <f t="shared" si="10"/>
        <v>375.55789761210349</v>
      </c>
      <c r="Y48" s="6">
        <f t="shared" si="11"/>
        <v>736.09347931972286</v>
      </c>
      <c r="Z48" s="14">
        <f t="shared" si="12"/>
        <v>0.14972219654456601</v>
      </c>
      <c r="AA48" s="69"/>
      <c r="AB48" s="2"/>
    </row>
    <row r="49" spans="1:28" x14ac:dyDescent="0.3">
      <c r="A49" t="str">
        <f>'rockfish harvests'!A48</f>
        <v>SC</v>
      </c>
      <c r="B49">
        <f>'rockfish harvests'!B48</f>
        <v>2019</v>
      </c>
      <c r="C49" t="str">
        <f>'rockfish harvests'!C48</f>
        <v>WKMA</v>
      </c>
      <c r="D49">
        <f>'rockfish harvests'!D48</f>
        <v>6954</v>
      </c>
      <c r="E49">
        <v>5644</v>
      </c>
      <c r="F49" s="27">
        <f t="shared" si="34"/>
        <v>0.792626728</v>
      </c>
      <c r="G49" s="27">
        <f t="shared" si="34"/>
        <v>7.6097000000000003E-4</v>
      </c>
      <c r="H49" s="7">
        <f>E49*F49</f>
        <v>4473.5852528320002</v>
      </c>
      <c r="I49">
        <f>(E49^2)*G49</f>
        <v>24240.498453920001</v>
      </c>
      <c r="J49">
        <f>SQRT(I49)</f>
        <v>155.69360440917282</v>
      </c>
      <c r="K49" s="6">
        <f>(1.96*J49)</f>
        <v>305.15946464197873</v>
      </c>
      <c r="M49" s="2">
        <f>'rockfish harvests'!O48</f>
        <v>4547.8631178707237</v>
      </c>
      <c r="N49">
        <f>'rockfish harvests'!P48</f>
        <v>3743126.0537553802</v>
      </c>
      <c r="O49" s="27">
        <f t="shared" si="35"/>
        <v>0.78749999999999998</v>
      </c>
      <c r="P49" s="27">
        <f t="shared" si="35"/>
        <v>7.0018299999999995E-4</v>
      </c>
      <c r="Q49" s="13">
        <f>M49*O49</f>
        <v>3581.4422053231947</v>
      </c>
      <c r="R49" s="2">
        <f t="shared" si="6"/>
        <v>2338425.8162609395</v>
      </c>
      <c r="S49">
        <f>SQRT(R49)</f>
        <v>1529.1912294611618</v>
      </c>
      <c r="T49" s="6">
        <f>(1.96*S49)</f>
        <v>2997.2148097438771</v>
      </c>
      <c r="V49" s="13">
        <f>Q49+H49</f>
        <v>8055.0274581551948</v>
      </c>
      <c r="W49">
        <f>R49+I49</f>
        <v>2362666.3147148592</v>
      </c>
      <c r="X49">
        <f>SQRT(W49)</f>
        <v>1537.0967161225931</v>
      </c>
      <c r="Y49" s="6">
        <f>(1.96*X49)</f>
        <v>3012.7095636002823</v>
      </c>
      <c r="Z49" s="14">
        <f t="shared" si="12"/>
        <v>0.19082451600663161</v>
      </c>
      <c r="AA49" s="70"/>
      <c r="AB49" s="2"/>
    </row>
    <row r="50" spans="1:28" x14ac:dyDescent="0.3">
      <c r="A50" t="str">
        <f>'rockfish harvests'!A49</f>
        <v>SC</v>
      </c>
      <c r="B50">
        <f>'rockfish harvests'!B49</f>
        <v>2020</v>
      </c>
      <c r="C50" t="str">
        <f>'rockfish harvests'!C49</f>
        <v>WKMA</v>
      </c>
      <c r="D50">
        <f>'rockfish harvests'!D49</f>
        <v>4035</v>
      </c>
      <c r="E50">
        <v>3456</v>
      </c>
      <c r="F50" s="27">
        <f t="shared" si="34"/>
        <v>0.743243243</v>
      </c>
      <c r="G50" s="27">
        <f t="shared" si="34"/>
        <v>2.6141469999999998E-3</v>
      </c>
      <c r="H50" s="7">
        <f t="shared" ref="H50:H51" si="36">E50*F50</f>
        <v>2568.6486478080001</v>
      </c>
      <c r="I50">
        <f t="shared" ref="I50:I51" si="37">(E50^2)*G50</f>
        <v>31223.204462591999</v>
      </c>
      <c r="J50">
        <f t="shared" ref="J50:J51" si="38">SQRT(I50)</f>
        <v>176.7008898183368</v>
      </c>
      <c r="K50" s="6">
        <f t="shared" ref="K50:K51" si="39">(1.96*J50)</f>
        <v>346.33374404394016</v>
      </c>
      <c r="M50" s="2">
        <f>'rockfish harvests'!O49</f>
        <v>763.28309305373477</v>
      </c>
      <c r="N50">
        <f>'rockfish harvests'!P49</f>
        <v>145836.37674785985</v>
      </c>
      <c r="O50" s="27">
        <f t="shared" si="35"/>
        <v>0.72222222199999997</v>
      </c>
      <c r="P50" s="27">
        <f t="shared" si="35"/>
        <v>1.8749280000000001E-3</v>
      </c>
      <c r="Q50" s="13">
        <f t="shared" ref="Q50:Q51" si="40">M50*O50</f>
        <v>551.26001148030105</v>
      </c>
      <c r="R50" s="2">
        <f t="shared" si="6"/>
        <v>77434.742028681256</v>
      </c>
      <c r="S50">
        <f t="shared" ref="S50:S51" si="41">SQRT(R50)</f>
        <v>278.27098668147431</v>
      </c>
      <c r="T50" s="6">
        <f t="shared" ref="T50:T51" si="42">(1.96*S50)</f>
        <v>545.41113389568966</v>
      </c>
      <c r="V50" s="13">
        <f t="shared" ref="V50:V51" si="43">Q50+H50</f>
        <v>3119.9086592883014</v>
      </c>
      <c r="W50">
        <f t="shared" ref="W50:W51" si="44">R50+I50</f>
        <v>108657.94649127325</v>
      </c>
      <c r="X50">
        <f t="shared" ref="X50:X51" si="45">SQRT(W50)</f>
        <v>329.6330482389065</v>
      </c>
      <c r="Y50" s="6">
        <f t="shared" ref="Y50:Y51" si="46">(1.96*X50)</f>
        <v>646.08077454825673</v>
      </c>
      <c r="Z50" s="14">
        <f t="shared" ref="Z50:Z51" si="47">X50/V50</f>
        <v>0.10565471115878784</v>
      </c>
      <c r="AA50" s="70"/>
      <c r="AB50" s="2"/>
    </row>
    <row r="51" spans="1:28" x14ac:dyDescent="0.3">
      <c r="A51" t="str">
        <f>'rockfish harvests'!A50</f>
        <v>SC</v>
      </c>
      <c r="B51">
        <f>'rockfish harvests'!B50</f>
        <v>2021</v>
      </c>
      <c r="C51" t="str">
        <f>'rockfish harvests'!C50</f>
        <v>WKMA</v>
      </c>
      <c r="D51">
        <f>'rockfish harvests'!D50</f>
        <v>7924</v>
      </c>
      <c r="E51">
        <v>6893</v>
      </c>
      <c r="F51" s="27">
        <f t="shared" si="34"/>
        <v>0.1875</v>
      </c>
      <c r="G51" s="27">
        <f t="shared" si="34"/>
        <v>1.603618E-3</v>
      </c>
      <c r="H51" s="7">
        <f t="shared" si="36"/>
        <v>1292.4375</v>
      </c>
      <c r="I51">
        <f t="shared" si="37"/>
        <v>76193.422058482</v>
      </c>
      <c r="J51">
        <f t="shared" si="38"/>
        <v>276.0315598957518</v>
      </c>
      <c r="K51" s="6">
        <f t="shared" si="39"/>
        <v>541.02185739567346</v>
      </c>
      <c r="M51" s="2">
        <f>'rockfish harvests'!O50</f>
        <v>1237.5434476279934</v>
      </c>
      <c r="N51">
        <f>'rockfish harvests'!P50</f>
        <v>260682.47263099358</v>
      </c>
      <c r="O51" s="27">
        <f t="shared" si="35"/>
        <v>0.89705882400000003</v>
      </c>
      <c r="P51" s="27">
        <f t="shared" si="35"/>
        <v>4.5489800000000002E-4</v>
      </c>
      <c r="Q51" s="13">
        <f t="shared" si="40"/>
        <v>1110.1492697780734</v>
      </c>
      <c r="R51" s="2">
        <f t="shared" si="6"/>
        <v>210590.2409043503</v>
      </c>
      <c r="S51">
        <f t="shared" si="41"/>
        <v>458.90112323282705</v>
      </c>
      <c r="T51" s="6">
        <f t="shared" si="42"/>
        <v>899.44620153634105</v>
      </c>
      <c r="V51" s="13">
        <f t="shared" si="43"/>
        <v>2402.5867697780732</v>
      </c>
      <c r="W51">
        <f t="shared" si="44"/>
        <v>286783.66296283231</v>
      </c>
      <c r="X51">
        <f t="shared" si="45"/>
        <v>535.52186039678372</v>
      </c>
      <c r="Y51" s="6">
        <f t="shared" si="46"/>
        <v>1049.6228463776961</v>
      </c>
      <c r="Z51" s="14">
        <f t="shared" si="47"/>
        <v>0.22289386886378712</v>
      </c>
      <c r="AA51" s="70"/>
      <c r="AB51" s="2"/>
    </row>
    <row r="52" spans="1:28" s="51" customFormat="1" x14ac:dyDescent="0.3">
      <c r="A52" s="51" t="s">
        <v>81</v>
      </c>
      <c r="B52" s="51">
        <v>2022</v>
      </c>
      <c r="C52" s="51" t="s">
        <v>54</v>
      </c>
      <c r="D52">
        <f>'rockfish harvests'!D51</f>
        <v>11146</v>
      </c>
      <c r="E52" s="51">
        <v>9724</v>
      </c>
      <c r="F52" s="27">
        <f t="shared" si="34"/>
        <v>0.905511811</v>
      </c>
      <c r="G52" s="27">
        <f t="shared" si="34"/>
        <v>6.7904900000000004E-4</v>
      </c>
      <c r="H52" s="7">
        <f t="shared" ref="H52" si="48">E52*F52</f>
        <v>8805.1968501640004</v>
      </c>
      <c r="I52">
        <f t="shared" ref="I52" si="49">(E52^2)*G52</f>
        <v>64208.276756624</v>
      </c>
      <c r="J52">
        <f t="shared" ref="J52" si="50">SQRT(I52)</f>
        <v>253.39352153641181</v>
      </c>
      <c r="K52" s="6">
        <f t="shared" ref="K52" si="51">(1.96*J52)</f>
        <v>496.65130221136712</v>
      </c>
      <c r="M52" s="2">
        <f>'rockfish harvests'!O51</f>
        <v>4525.7248322147643</v>
      </c>
      <c r="N52">
        <f>'rockfish harvests'!P51</f>
        <v>4143553.5425617779</v>
      </c>
      <c r="O52" s="27">
        <f t="shared" si="35"/>
        <v>0.946428571</v>
      </c>
      <c r="P52" s="27">
        <f t="shared" si="35"/>
        <v>4.5677100000000002E-4</v>
      </c>
      <c r="Q52" s="13">
        <f t="shared" ref="Q52" si="52">M52*O52</f>
        <v>4283.2752856922343</v>
      </c>
      <c r="R52" s="2">
        <f t="shared" si="6"/>
        <v>3722741.2731186966</v>
      </c>
      <c r="S52">
        <f t="shared" ref="S52" si="53">SQRT(R52)</f>
        <v>1929.4406632800856</v>
      </c>
      <c r="T52" s="6">
        <f t="shared" ref="T52" si="54">(1.96*S52)</f>
        <v>3781.7037000289674</v>
      </c>
      <c r="V52" s="13">
        <f t="shared" ref="V52" si="55">Q52+H52</f>
        <v>13088.472135856235</v>
      </c>
      <c r="W52">
        <f t="shared" ref="W52" si="56">R52+I52</f>
        <v>3786949.5498753209</v>
      </c>
      <c r="X52">
        <f t="shared" ref="X52" si="57">SQRT(W52)</f>
        <v>1946.0086201955326</v>
      </c>
      <c r="Y52" s="6">
        <f t="shared" ref="Y52" si="58">(1.96*X52)</f>
        <v>3814.1768955832435</v>
      </c>
      <c r="Z52" s="14">
        <f t="shared" ref="Z52" si="59">X52/V52</f>
        <v>0.1486811141893627</v>
      </c>
      <c r="AA52" s="80"/>
      <c r="AB52" s="76"/>
    </row>
    <row r="53" spans="1:28" x14ac:dyDescent="0.3">
      <c r="A53" t="str">
        <f>'rockfish harvests'!A52</f>
        <v>SC</v>
      </c>
      <c r="B53">
        <f>'rockfish harvests'!B52</f>
        <v>1998</v>
      </c>
      <c r="C53" t="str">
        <f>'rockfish harvests'!C52</f>
        <v>SKMA</v>
      </c>
      <c r="D53">
        <f>'rockfish harvests'!D52</f>
        <v>27</v>
      </c>
      <c r="E53">
        <v>22</v>
      </c>
      <c r="F53" s="27">
        <f t="shared" ref="F53:G77" si="60">F103</f>
        <v>0.94230769199999997</v>
      </c>
      <c r="G53" s="27">
        <f t="shared" si="60"/>
        <v>2.7272310000000001E-3</v>
      </c>
      <c r="H53" s="7">
        <f t="shared" si="14"/>
        <v>20.730769223999999</v>
      </c>
      <c r="I53">
        <f t="shared" si="13"/>
        <v>1.3199798040000001</v>
      </c>
      <c r="J53">
        <f t="shared" si="4"/>
        <v>1.1489037400931377</v>
      </c>
      <c r="K53" s="6">
        <f t="shared" si="5"/>
        <v>2.2518513305825496</v>
      </c>
      <c r="M53" s="2">
        <f>'rockfish harvests'!O52</f>
        <v>7.9215011476053405</v>
      </c>
      <c r="N53">
        <f>'rockfish harvests'!P52</f>
        <v>23.019267226088481</v>
      </c>
      <c r="O53" s="27">
        <f t="shared" ref="O53:P77" si="61">O103</f>
        <v>0.83333333300000001</v>
      </c>
      <c r="P53" s="27">
        <f t="shared" si="61"/>
        <v>1.5605490000000001E-3</v>
      </c>
      <c r="Q53" s="13">
        <f t="shared" si="1"/>
        <v>6.6012509536972832</v>
      </c>
      <c r="R53" s="2">
        <f t="shared" si="6"/>
        <v>16.119449653323365</v>
      </c>
      <c r="S53">
        <f t="shared" si="7"/>
        <v>4.0149034425902901</v>
      </c>
      <c r="T53" s="6">
        <f t="shared" si="8"/>
        <v>7.8692107474769681</v>
      </c>
      <c r="V53" s="13">
        <f t="shared" si="9"/>
        <v>27.332020177697281</v>
      </c>
      <c r="W53">
        <f t="shared" si="2"/>
        <v>17.439429457323364</v>
      </c>
      <c r="X53">
        <f t="shared" si="10"/>
        <v>4.1760542929089608</v>
      </c>
      <c r="Y53" s="6">
        <f t="shared" si="11"/>
        <v>8.1850664141015628</v>
      </c>
      <c r="Z53" s="14">
        <f>X53/V53</f>
        <v>0.15278981450176848</v>
      </c>
    </row>
    <row r="54" spans="1:28" x14ac:dyDescent="0.3">
      <c r="A54" t="str">
        <f>'rockfish harvests'!A53</f>
        <v>SC</v>
      </c>
      <c r="B54">
        <f>'rockfish harvests'!B53</f>
        <v>1999</v>
      </c>
      <c r="C54" t="str">
        <f>'rockfish harvests'!C53</f>
        <v>SKMA</v>
      </c>
      <c r="D54">
        <f>'rockfish harvests'!D53</f>
        <v>88</v>
      </c>
      <c r="E54">
        <v>73</v>
      </c>
      <c r="F54" s="27">
        <f t="shared" si="60"/>
        <v>0.94230769199999997</v>
      </c>
      <c r="G54" s="27">
        <f t="shared" si="60"/>
        <v>2.7272310000000001E-3</v>
      </c>
      <c r="H54" s="7">
        <f t="shared" si="14"/>
        <v>68.788461515999998</v>
      </c>
      <c r="I54">
        <f t="shared" si="13"/>
        <v>14.533413999</v>
      </c>
      <c r="J54">
        <f t="shared" si="4"/>
        <v>3.8122715012181385</v>
      </c>
      <c r="K54" s="6">
        <f t="shared" si="5"/>
        <v>7.4720521423875512</v>
      </c>
      <c r="M54" s="2">
        <f>'rockfish harvests'!O53</f>
        <v>25.818225962565563</v>
      </c>
      <c r="N54">
        <f>'rockfish harvests'!P53</f>
        <v>244.52840246752979</v>
      </c>
      <c r="O54" s="27">
        <f t="shared" si="61"/>
        <v>0.71300448400000005</v>
      </c>
      <c r="P54" s="27">
        <f t="shared" si="61"/>
        <v>9.2175299999999998E-4</v>
      </c>
      <c r="Q54" s="13">
        <f t="shared" ref="Q54:Q123" si="62">M54*O54</f>
        <v>18.408510880234463</v>
      </c>
      <c r="R54" s="2">
        <f t="shared" si="6"/>
        <v>125.15204063172438</v>
      </c>
      <c r="S54">
        <f t="shared" si="7"/>
        <v>11.187137284923448</v>
      </c>
      <c r="T54" s="6">
        <f t="shared" si="8"/>
        <v>21.926789078449957</v>
      </c>
      <c r="V54" s="13">
        <f t="shared" ref="V54:V123" si="63">Q54+H54</f>
        <v>87.196972396234457</v>
      </c>
      <c r="W54">
        <f t="shared" ref="W54:W123" si="64">R54+I54</f>
        <v>139.68545463072437</v>
      </c>
      <c r="X54">
        <f t="shared" si="10"/>
        <v>11.818860124001992</v>
      </c>
      <c r="Y54" s="6">
        <f t="shared" si="11"/>
        <v>23.164965843043902</v>
      </c>
      <c r="Z54" s="14">
        <f t="shared" ref="Z54:Z74" si="65">X54/V54</f>
        <v>0.13554209279532717</v>
      </c>
    </row>
    <row r="55" spans="1:28" x14ac:dyDescent="0.3">
      <c r="A55" t="str">
        <f>'rockfish harvests'!A54</f>
        <v>SC</v>
      </c>
      <c r="B55">
        <f>'rockfish harvests'!B54</f>
        <v>2000</v>
      </c>
      <c r="C55" t="str">
        <f>'rockfish harvests'!C54</f>
        <v>SKMA</v>
      </c>
      <c r="D55">
        <f>'rockfish harvests'!D54</f>
        <v>65</v>
      </c>
      <c r="E55">
        <v>5</v>
      </c>
      <c r="F55" s="27">
        <f t="shared" si="60"/>
        <v>0.94230769199999997</v>
      </c>
      <c r="G55" s="27">
        <f t="shared" si="60"/>
        <v>2.7272310000000001E-3</v>
      </c>
      <c r="H55" s="7">
        <f t="shared" ref="H55:H123" si="66">E55*F55</f>
        <v>4.7115384599999999</v>
      </c>
      <c r="I55">
        <f t="shared" si="13"/>
        <v>6.8180774999999999E-2</v>
      </c>
      <c r="J55">
        <f t="shared" ref="J55:J123" si="67">SQRT(I55)</f>
        <v>0.261114486384804</v>
      </c>
      <c r="K55" s="6">
        <f t="shared" ref="K55:K123" si="68">(1.96*J55)</f>
        <v>0.51178439331421588</v>
      </c>
      <c r="M55" s="2">
        <f>'rockfish harvests'!O54</f>
        <v>19.070280540531371</v>
      </c>
      <c r="N55">
        <f>'rockfish harvests'!P54</f>
        <v>133.41070511690512</v>
      </c>
      <c r="O55" s="27">
        <f t="shared" si="61"/>
        <v>0.743589744</v>
      </c>
      <c r="P55" s="27">
        <f t="shared" si="61"/>
        <v>9.828040000000001E-4</v>
      </c>
      <c r="Q55" s="13">
        <f t="shared" si="62"/>
        <v>14.180465025141904</v>
      </c>
      <c r="R55" s="2">
        <f t="shared" si="6"/>
        <v>74.254746908004748</v>
      </c>
      <c r="S55">
        <f t="shared" ref="S55:S123" si="69">SQRT(R55)</f>
        <v>8.6171194089443102</v>
      </c>
      <c r="T55" s="6">
        <f t="shared" ref="T55:T123" si="70">(1.96*S55)</f>
        <v>16.889554041530847</v>
      </c>
      <c r="V55" s="13">
        <f t="shared" si="63"/>
        <v>18.892003485141906</v>
      </c>
      <c r="W55">
        <f t="shared" si="64"/>
        <v>74.32292768300475</v>
      </c>
      <c r="X55">
        <f t="shared" ref="X55:X123" si="71">SQRT(W55)</f>
        <v>8.6210746246047982</v>
      </c>
      <c r="Y55" s="6">
        <f t="shared" ref="Y55:Y123" si="72">(1.96*X55)</f>
        <v>16.897306264225403</v>
      </c>
      <c r="Z55" s="14">
        <f t="shared" si="65"/>
        <v>0.45633458787920828</v>
      </c>
    </row>
    <row r="56" spans="1:28" x14ac:dyDescent="0.3">
      <c r="A56" t="str">
        <f>'rockfish harvests'!A55</f>
        <v>SC</v>
      </c>
      <c r="B56">
        <f>'rockfish harvests'!B55</f>
        <v>2001</v>
      </c>
      <c r="C56" t="str">
        <f>'rockfish harvests'!C55</f>
        <v>SKMA</v>
      </c>
      <c r="D56">
        <f>'rockfish harvests'!D55</f>
        <v>27</v>
      </c>
      <c r="E56">
        <v>8</v>
      </c>
      <c r="F56" s="27">
        <f t="shared" si="60"/>
        <v>0.94230769199999997</v>
      </c>
      <c r="G56" s="27">
        <f t="shared" si="60"/>
        <v>2.7272310000000001E-3</v>
      </c>
      <c r="H56" s="7">
        <f t="shared" si="66"/>
        <v>7.5384615359999998</v>
      </c>
      <c r="I56">
        <f t="shared" ref="I56:I123" si="73">(E56^2)*G56</f>
        <v>0.17454278400000001</v>
      </c>
      <c r="J56">
        <f t="shared" si="67"/>
        <v>0.41778317821568645</v>
      </c>
      <c r="K56" s="6">
        <f t="shared" si="68"/>
        <v>0.81885502930274545</v>
      </c>
      <c r="M56" s="2">
        <f>'rockfish harvests'!O55</f>
        <v>7.9215011476053405</v>
      </c>
      <c r="N56">
        <f>'rockfish harvests'!P55</f>
        <v>23.019267226088481</v>
      </c>
      <c r="O56" s="27">
        <f t="shared" si="61"/>
        <v>0.82022471900000005</v>
      </c>
      <c r="P56" s="27">
        <f t="shared" si="61"/>
        <v>1.6756379999999999E-3</v>
      </c>
      <c r="Q56" s="13">
        <f t="shared" si="62"/>
        <v>6.497411052852768</v>
      </c>
      <c r="R56" s="2">
        <f t="shared" si="6"/>
        <v>15.630358492404737</v>
      </c>
      <c r="S56">
        <f t="shared" si="69"/>
        <v>3.9535248187414656</v>
      </c>
      <c r="T56" s="6">
        <f t="shared" si="70"/>
        <v>7.7489086447332722</v>
      </c>
      <c r="V56" s="13">
        <f t="shared" si="63"/>
        <v>14.035872588852769</v>
      </c>
      <c r="W56">
        <f t="shared" si="64"/>
        <v>15.804901276404737</v>
      </c>
      <c r="X56">
        <f t="shared" si="71"/>
        <v>3.9755378600140054</v>
      </c>
      <c r="Y56" s="6">
        <f t="shared" si="72"/>
        <v>7.7920542056274504</v>
      </c>
      <c r="Z56" s="14">
        <f t="shared" si="65"/>
        <v>0.28324123312228988</v>
      </c>
    </row>
    <row r="57" spans="1:28" x14ac:dyDescent="0.3">
      <c r="A57" t="str">
        <f>'rockfish harvests'!A56</f>
        <v>SC</v>
      </c>
      <c r="B57">
        <f>'rockfish harvests'!B56</f>
        <v>2002</v>
      </c>
      <c r="C57" t="str">
        <f>'rockfish harvests'!C56</f>
        <v>SKMA</v>
      </c>
      <c r="D57">
        <f>'rockfish harvests'!D56</f>
        <v>99</v>
      </c>
      <c r="E57">
        <v>88</v>
      </c>
      <c r="F57" s="27">
        <f t="shared" si="60"/>
        <v>0.94230769199999997</v>
      </c>
      <c r="G57" s="27">
        <f t="shared" si="60"/>
        <v>2.7272310000000001E-3</v>
      </c>
      <c r="H57" s="7">
        <f t="shared" si="66"/>
        <v>82.923076895999998</v>
      </c>
      <c r="I57">
        <f t="shared" si="73"/>
        <v>21.119676864000002</v>
      </c>
      <c r="J57">
        <f t="shared" si="67"/>
        <v>4.5956149603725507</v>
      </c>
      <c r="K57" s="6">
        <f t="shared" si="68"/>
        <v>9.0074053223301984</v>
      </c>
      <c r="M57" s="2">
        <f>'rockfish harvests'!O56</f>
        <v>29.045504207886239</v>
      </c>
      <c r="N57">
        <f>'rockfish harvests'!P56</f>
        <v>309.48125937296737</v>
      </c>
      <c r="O57" s="27">
        <f t="shared" si="61"/>
        <v>0.60843373499999998</v>
      </c>
      <c r="P57" s="27">
        <f t="shared" si="61"/>
        <v>1.443892E-3</v>
      </c>
      <c r="Q57" s="13">
        <f t="shared" si="62"/>
        <v>17.67226461016244</v>
      </c>
      <c r="R57" s="2">
        <f t="shared" si="6"/>
        <v>116.23235009655048</v>
      </c>
      <c r="S57">
        <f t="shared" si="69"/>
        <v>10.781110800680535</v>
      </c>
      <c r="T57" s="6">
        <f t="shared" si="70"/>
        <v>21.13097716933385</v>
      </c>
      <c r="V57" s="13">
        <f t="shared" si="63"/>
        <v>100.59534150616244</v>
      </c>
      <c r="W57">
        <f t="shared" si="64"/>
        <v>137.35202696055049</v>
      </c>
      <c r="X57">
        <f t="shared" si="71"/>
        <v>11.719728109497698</v>
      </c>
      <c r="Y57" s="6">
        <f t="shared" si="72"/>
        <v>22.970667094615486</v>
      </c>
      <c r="Z57" s="14">
        <f t="shared" si="65"/>
        <v>0.11650368629425797</v>
      </c>
    </row>
    <row r="58" spans="1:28" x14ac:dyDescent="0.3">
      <c r="A58" t="str">
        <f>'rockfish harvests'!A57</f>
        <v>SC</v>
      </c>
      <c r="B58">
        <f>'rockfish harvests'!B57</f>
        <v>2003</v>
      </c>
      <c r="C58" t="str">
        <f>'rockfish harvests'!C57</f>
        <v>SKMA</v>
      </c>
      <c r="D58">
        <f>'rockfish harvests'!D57</f>
        <v>144</v>
      </c>
      <c r="E58">
        <v>104</v>
      </c>
      <c r="F58" s="27">
        <f t="shared" si="60"/>
        <v>0.94230769199999997</v>
      </c>
      <c r="G58" s="27">
        <f t="shared" si="60"/>
        <v>2.7272310000000001E-3</v>
      </c>
      <c r="H58" s="7">
        <f t="shared" si="66"/>
        <v>97.999999967999997</v>
      </c>
      <c r="I58">
        <f t="shared" si="73"/>
        <v>29.497730496000003</v>
      </c>
      <c r="J58">
        <f t="shared" si="67"/>
        <v>5.431181316803924</v>
      </c>
      <c r="K58" s="6">
        <f t="shared" si="68"/>
        <v>10.645115380935691</v>
      </c>
      <c r="M58" s="2">
        <f>'rockfish harvests'!O57</f>
        <v>42.248006120561826</v>
      </c>
      <c r="N58">
        <f>'rockfish harvests'!P57</f>
        <v>654.77026776429454</v>
      </c>
      <c r="O58" s="27">
        <f t="shared" si="61"/>
        <v>0.73262032099999996</v>
      </c>
      <c r="P58" s="27">
        <f t="shared" si="61"/>
        <v>1.05316E-3</v>
      </c>
      <c r="Q58" s="13">
        <f t="shared" si="62"/>
        <v>30.951747805655966</v>
      </c>
      <c r="R58" s="2">
        <f t="shared" si="6"/>
        <v>354.00586233344819</v>
      </c>
      <c r="S58">
        <f t="shared" si="69"/>
        <v>18.815043511335503</v>
      </c>
      <c r="T58" s="6">
        <f t="shared" si="70"/>
        <v>36.877485282217584</v>
      </c>
      <c r="V58" s="13">
        <f t="shared" si="63"/>
        <v>128.95174777365597</v>
      </c>
      <c r="W58">
        <f t="shared" si="64"/>
        <v>383.50359282944817</v>
      </c>
      <c r="X58">
        <f t="shared" si="71"/>
        <v>19.583247759997526</v>
      </c>
      <c r="Y58" s="6">
        <f t="shared" si="72"/>
        <v>38.383165609595153</v>
      </c>
      <c r="Z58" s="14">
        <f t="shared" si="65"/>
        <v>0.15186492698316309</v>
      </c>
    </row>
    <row r="59" spans="1:28" x14ac:dyDescent="0.3">
      <c r="A59" t="str">
        <f>'rockfish harvests'!A58</f>
        <v>SC</v>
      </c>
      <c r="B59">
        <f>'rockfish harvests'!B58</f>
        <v>2004</v>
      </c>
      <c r="C59" t="str">
        <f>'rockfish harvests'!C58</f>
        <v>SKMA</v>
      </c>
      <c r="D59">
        <f>'rockfish harvests'!D58</f>
        <v>200</v>
      </c>
      <c r="E59">
        <v>159</v>
      </c>
      <c r="F59" s="27">
        <f t="shared" si="60"/>
        <v>0.94230769199999997</v>
      </c>
      <c r="G59" s="27">
        <f t="shared" si="60"/>
        <v>2.7272310000000001E-3</v>
      </c>
      <c r="H59" s="7">
        <f t="shared" si="66"/>
        <v>149.82692302800001</v>
      </c>
      <c r="I59">
        <f t="shared" si="73"/>
        <v>68.947126910999998</v>
      </c>
      <c r="J59">
        <f t="shared" si="67"/>
        <v>8.3034406670367673</v>
      </c>
      <c r="K59" s="6">
        <f t="shared" si="68"/>
        <v>16.274743707392062</v>
      </c>
      <c r="M59" s="2">
        <f>'rockfish harvests'!O58</f>
        <v>58.677786278558074</v>
      </c>
      <c r="N59">
        <f>'rockfish harvests'!P58</f>
        <v>1263.059930100877</v>
      </c>
      <c r="O59" s="27">
        <f t="shared" si="61"/>
        <v>0.77966101700000001</v>
      </c>
      <c r="P59" s="27">
        <f t="shared" si="61"/>
        <v>1.4682880000000001E-3</v>
      </c>
      <c r="Q59" s="13">
        <f t="shared" si="62"/>
        <v>45.748782525249233</v>
      </c>
      <c r="R59" s="2">
        <f t="shared" si="6"/>
        <v>774.687856100825</v>
      </c>
      <c r="S59">
        <f t="shared" si="69"/>
        <v>27.833214979603508</v>
      </c>
      <c r="T59" s="6">
        <f t="shared" si="70"/>
        <v>54.553101360022872</v>
      </c>
      <c r="V59" s="13">
        <f t="shared" si="63"/>
        <v>195.57570555324924</v>
      </c>
      <c r="W59">
        <f t="shared" si="64"/>
        <v>843.63498301182494</v>
      </c>
      <c r="X59">
        <f t="shared" si="71"/>
        <v>29.045395211837366</v>
      </c>
      <c r="Y59" s="6">
        <f t="shared" si="72"/>
        <v>56.928974615201234</v>
      </c>
      <c r="Z59" s="14">
        <f t="shared" si="65"/>
        <v>0.14851228648094639</v>
      </c>
    </row>
    <row r="60" spans="1:28" x14ac:dyDescent="0.3">
      <c r="A60" t="str">
        <f>'rockfish harvests'!A59</f>
        <v>SC</v>
      </c>
      <c r="B60">
        <f>'rockfish harvests'!B59</f>
        <v>2005</v>
      </c>
      <c r="C60" t="str">
        <f>'rockfish harvests'!C59</f>
        <v>SKMA</v>
      </c>
      <c r="D60">
        <f>'rockfish harvests'!D59</f>
        <v>287</v>
      </c>
      <c r="E60">
        <v>128</v>
      </c>
      <c r="F60" s="27">
        <f t="shared" si="60"/>
        <v>0.94230769199999997</v>
      </c>
      <c r="G60" s="27">
        <f t="shared" si="60"/>
        <v>2.7272310000000001E-3</v>
      </c>
      <c r="H60" s="7">
        <f t="shared" si="66"/>
        <v>120.615384576</v>
      </c>
      <c r="I60">
        <f t="shared" si="73"/>
        <v>44.682952704000002</v>
      </c>
      <c r="J60">
        <f t="shared" si="67"/>
        <v>6.6845308514509831</v>
      </c>
      <c r="K60" s="6">
        <f t="shared" si="68"/>
        <v>13.101680468843927</v>
      </c>
      <c r="M60" s="2">
        <f>'rockfish harvests'!O59</f>
        <v>84.202623309730882</v>
      </c>
      <c r="N60">
        <f>'rockfish harvests'!P59</f>
        <v>2600.9245845619785</v>
      </c>
      <c r="O60" s="27">
        <f t="shared" si="61"/>
        <v>0.82183908000000006</v>
      </c>
      <c r="P60" s="27">
        <f t="shared" si="61"/>
        <v>8.4635600000000004E-4</v>
      </c>
      <c r="Q60" s="13">
        <f t="shared" si="62"/>
        <v>69.201006474455781</v>
      </c>
      <c r="R60" s="2">
        <f t="shared" si="6"/>
        <v>1764.917154673738</v>
      </c>
      <c r="S60">
        <f t="shared" si="69"/>
        <v>42.010917089177404</v>
      </c>
      <c r="T60" s="6">
        <f t="shared" si="70"/>
        <v>82.341397494787714</v>
      </c>
      <c r="V60" s="13">
        <f t="shared" si="63"/>
        <v>189.81639105045576</v>
      </c>
      <c r="W60">
        <f t="shared" si="64"/>
        <v>1809.6001073777379</v>
      </c>
      <c r="X60">
        <f t="shared" si="71"/>
        <v>42.539394769762978</v>
      </c>
      <c r="Y60" s="6">
        <f t="shared" si="72"/>
        <v>83.377213748735443</v>
      </c>
      <c r="Z60" s="14">
        <f t="shared" si="65"/>
        <v>0.22410812119199669</v>
      </c>
    </row>
    <row r="61" spans="1:28" x14ac:dyDescent="0.3">
      <c r="A61" t="str">
        <f>'rockfish harvests'!A60</f>
        <v>SC</v>
      </c>
      <c r="B61">
        <f>'rockfish harvests'!B60</f>
        <v>2006</v>
      </c>
      <c r="C61" t="str">
        <f>'rockfish harvests'!C60</f>
        <v>SKMA</v>
      </c>
      <c r="D61">
        <f>'rockfish harvests'!D60</f>
        <v>303</v>
      </c>
      <c r="E61">
        <v>191</v>
      </c>
      <c r="F61" s="27">
        <f t="shared" si="60"/>
        <v>0.94230769199999997</v>
      </c>
      <c r="G61" s="27">
        <f t="shared" si="60"/>
        <v>2.7272310000000001E-3</v>
      </c>
      <c r="H61" s="7">
        <f t="shared" si="66"/>
        <v>179.98076917200001</v>
      </c>
      <c r="I61">
        <f t="shared" si="73"/>
        <v>99.492114111000006</v>
      </c>
      <c r="J61">
        <f t="shared" si="67"/>
        <v>9.974573379899514</v>
      </c>
      <c r="K61" s="6">
        <f t="shared" si="68"/>
        <v>19.550163824603047</v>
      </c>
      <c r="M61" s="2">
        <f>'rockfish harvests'!O60</f>
        <v>88.896846212015475</v>
      </c>
      <c r="N61">
        <f>'rockfish harvests'!P60</f>
        <v>2899.0067280657854</v>
      </c>
      <c r="O61" s="27">
        <f t="shared" si="61"/>
        <v>0.79807692299999999</v>
      </c>
      <c r="P61" s="27">
        <f t="shared" si="61"/>
        <v>1.564565E-3</v>
      </c>
      <c r="Q61" s="13">
        <f t="shared" si="62"/>
        <v>70.946521489289509</v>
      </c>
      <c r="R61" s="2">
        <f t="shared" si="6"/>
        <v>1863.3548989941951</v>
      </c>
      <c r="S61">
        <f t="shared" si="69"/>
        <v>43.166594711584501</v>
      </c>
      <c r="T61" s="6">
        <f t="shared" si="70"/>
        <v>84.606525634705619</v>
      </c>
      <c r="V61" s="13">
        <f t="shared" si="63"/>
        <v>250.92729066128953</v>
      </c>
      <c r="W61">
        <f t="shared" si="64"/>
        <v>1962.8470131051952</v>
      </c>
      <c r="X61">
        <f t="shared" si="71"/>
        <v>44.304029310043518</v>
      </c>
      <c r="Y61" s="6">
        <f t="shared" si="72"/>
        <v>86.835897447685298</v>
      </c>
      <c r="Z61" s="14">
        <f t="shared" si="65"/>
        <v>0.17656122294743401</v>
      </c>
    </row>
    <row r="62" spans="1:28" x14ac:dyDescent="0.3">
      <c r="A62" t="str">
        <f>'rockfish harvests'!A61</f>
        <v>SC</v>
      </c>
      <c r="B62">
        <f>'rockfish harvests'!B61</f>
        <v>2007</v>
      </c>
      <c r="C62" t="str">
        <f>'rockfish harvests'!C61</f>
        <v>SKMA</v>
      </c>
      <c r="D62">
        <f>'rockfish harvests'!D61</f>
        <v>1148</v>
      </c>
      <c r="E62">
        <v>969</v>
      </c>
      <c r="F62" s="27">
        <f t="shared" si="60"/>
        <v>0.94230769199999997</v>
      </c>
      <c r="G62" s="27">
        <f t="shared" si="60"/>
        <v>2.7272310000000001E-3</v>
      </c>
      <c r="H62" s="7">
        <f t="shared" si="66"/>
        <v>913.09615354799996</v>
      </c>
      <c r="I62">
        <f t="shared" si="73"/>
        <v>2560.7635469910001</v>
      </c>
      <c r="J62">
        <f t="shared" si="67"/>
        <v>50.60398746137502</v>
      </c>
      <c r="K62" s="6">
        <f t="shared" si="68"/>
        <v>99.183815424295034</v>
      </c>
      <c r="M62" s="2">
        <f>'rockfish harvests'!O61</f>
        <v>336.81049323892353</v>
      </c>
      <c r="N62">
        <f>'rockfish harvests'!P61</f>
        <v>41614.793352991655</v>
      </c>
      <c r="O62" s="27">
        <f t="shared" si="61"/>
        <v>0.89411764699999996</v>
      </c>
      <c r="P62" s="27">
        <f t="shared" si="61"/>
        <v>1.127039E-3</v>
      </c>
      <c r="Q62" s="13">
        <f t="shared" si="62"/>
        <v>301.14820569969572</v>
      </c>
      <c r="R62" s="2">
        <f t="shared" si="6"/>
        <v>33443.54961986954</v>
      </c>
      <c r="S62">
        <f t="shared" si="69"/>
        <v>182.87577647099559</v>
      </c>
      <c r="T62" s="6">
        <f t="shared" si="70"/>
        <v>358.43652188315133</v>
      </c>
      <c r="V62" s="13">
        <f t="shared" si="63"/>
        <v>1214.2443592476957</v>
      </c>
      <c r="W62">
        <f t="shared" si="64"/>
        <v>36004.313166860542</v>
      </c>
      <c r="X62">
        <f t="shared" si="71"/>
        <v>189.74802546234977</v>
      </c>
      <c r="Y62" s="6">
        <f t="shared" si="72"/>
        <v>371.90612990620554</v>
      </c>
      <c r="Z62" s="14">
        <f t="shared" si="65"/>
        <v>0.15626840183956972</v>
      </c>
    </row>
    <row r="63" spans="1:28" x14ac:dyDescent="0.3">
      <c r="A63" t="str">
        <f>'rockfish harvests'!A62</f>
        <v>SC</v>
      </c>
      <c r="B63">
        <f>'rockfish harvests'!B62</f>
        <v>2008</v>
      </c>
      <c r="C63" t="str">
        <f>'rockfish harvests'!C62</f>
        <v>SKMA</v>
      </c>
      <c r="D63">
        <f>'rockfish harvests'!D62</f>
        <v>1130</v>
      </c>
      <c r="E63">
        <v>1042</v>
      </c>
      <c r="F63" s="27">
        <f t="shared" si="60"/>
        <v>0.94230769199999997</v>
      </c>
      <c r="G63" s="27">
        <f t="shared" si="60"/>
        <v>2.7272310000000001E-3</v>
      </c>
      <c r="H63" s="7">
        <f t="shared" si="66"/>
        <v>981.88461506399995</v>
      </c>
      <c r="I63">
        <f t="shared" si="73"/>
        <v>2961.1292394840002</v>
      </c>
      <c r="J63">
        <f t="shared" si="67"/>
        <v>54.416258962593162</v>
      </c>
      <c r="K63" s="6">
        <f t="shared" si="68"/>
        <v>106.6558675666826</v>
      </c>
      <c r="M63" s="2">
        <f>'rockfish harvests'!O62</f>
        <v>331.52949247385322</v>
      </c>
      <c r="N63">
        <f>'rockfish harvests'!P62</f>
        <v>40320.030618645244</v>
      </c>
      <c r="O63" s="27">
        <f t="shared" si="61"/>
        <v>0.693333333</v>
      </c>
      <c r="P63" s="27">
        <f t="shared" si="61"/>
        <v>2.873273E-3</v>
      </c>
      <c r="Q63" s="13">
        <f t="shared" si="62"/>
        <v>229.86044800469506</v>
      </c>
      <c r="R63" s="2">
        <f t="shared" si="6"/>
        <v>19813.943775328142</v>
      </c>
      <c r="S63">
        <f t="shared" si="69"/>
        <v>140.76201112277468</v>
      </c>
      <c r="T63" s="6">
        <f t="shared" si="70"/>
        <v>275.89354180063839</v>
      </c>
      <c r="V63" s="13">
        <f t="shared" si="63"/>
        <v>1211.7450630686949</v>
      </c>
      <c r="W63">
        <f t="shared" si="64"/>
        <v>22775.073014812144</v>
      </c>
      <c r="X63">
        <f t="shared" si="71"/>
        <v>150.91412463653674</v>
      </c>
      <c r="Y63" s="6">
        <f t="shared" si="72"/>
        <v>295.79168428761199</v>
      </c>
      <c r="Z63" s="14">
        <f t="shared" si="65"/>
        <v>0.12454280131693121</v>
      </c>
    </row>
    <row r="64" spans="1:28" x14ac:dyDescent="0.3">
      <c r="A64" t="str">
        <f>'rockfish harvests'!A63</f>
        <v>SC</v>
      </c>
      <c r="B64">
        <f>'rockfish harvests'!B63</f>
        <v>2009</v>
      </c>
      <c r="C64" t="str">
        <f>'rockfish harvests'!C63</f>
        <v>SKMA</v>
      </c>
      <c r="D64">
        <f>'rockfish harvests'!D63</f>
        <v>810</v>
      </c>
      <c r="E64">
        <v>721</v>
      </c>
      <c r="F64" s="27">
        <f t="shared" si="60"/>
        <v>1</v>
      </c>
      <c r="G64" s="27">
        <f t="shared" si="60"/>
        <v>0</v>
      </c>
      <c r="H64" s="7">
        <f t="shared" si="66"/>
        <v>721</v>
      </c>
      <c r="I64">
        <f t="shared" si="73"/>
        <v>0</v>
      </c>
      <c r="J64">
        <f t="shared" si="67"/>
        <v>0</v>
      </c>
      <c r="K64" s="6">
        <f t="shared" si="68"/>
        <v>0</v>
      </c>
      <c r="M64" s="2">
        <f>'rockfish harvests'!O63</f>
        <v>237.64503442816022</v>
      </c>
      <c r="N64">
        <f>'rockfish harvests'!P63</f>
        <v>20717.340503479634</v>
      </c>
      <c r="O64" s="27">
        <f t="shared" si="61"/>
        <v>0.55882352899999999</v>
      </c>
      <c r="P64" s="27">
        <f t="shared" si="61"/>
        <v>3.6796979999999999E-3</v>
      </c>
      <c r="Q64" s="13">
        <f t="shared" si="62"/>
        <v>132.80163678847097</v>
      </c>
      <c r="R64" s="2">
        <f t="shared" si="6"/>
        <v>6753.7336026017092</v>
      </c>
      <c r="S64">
        <f t="shared" si="69"/>
        <v>82.181102466453382</v>
      </c>
      <c r="T64" s="6">
        <f t="shared" si="70"/>
        <v>161.07496083424863</v>
      </c>
      <c r="V64" s="13">
        <f t="shared" si="63"/>
        <v>853.801636788471</v>
      </c>
      <c r="W64">
        <f t="shared" si="64"/>
        <v>6753.7336026017092</v>
      </c>
      <c r="X64">
        <f t="shared" si="71"/>
        <v>82.181102466453382</v>
      </c>
      <c r="Y64" s="6">
        <f t="shared" si="72"/>
        <v>161.07496083424863</v>
      </c>
      <c r="Z64" s="14">
        <f t="shared" si="65"/>
        <v>9.625315638369257E-2</v>
      </c>
    </row>
    <row r="65" spans="1:26" x14ac:dyDescent="0.3">
      <c r="A65" t="str">
        <f>'rockfish harvests'!A64</f>
        <v>SC</v>
      </c>
      <c r="B65">
        <f>'rockfish harvests'!B64</f>
        <v>2010</v>
      </c>
      <c r="C65" t="str">
        <f>'rockfish harvests'!C64</f>
        <v>SKMA</v>
      </c>
      <c r="D65">
        <f>'rockfish harvests'!D64</f>
        <v>644</v>
      </c>
      <c r="E65">
        <v>400</v>
      </c>
      <c r="F65" s="27">
        <f t="shared" si="60"/>
        <v>0.94230769199999997</v>
      </c>
      <c r="G65" s="27">
        <f t="shared" si="60"/>
        <v>2.7272310000000001E-3</v>
      </c>
      <c r="H65" s="7">
        <f t="shared" si="66"/>
        <v>376.92307679999999</v>
      </c>
      <c r="I65">
        <f t="shared" si="73"/>
        <v>436.35696000000002</v>
      </c>
      <c r="J65">
        <f t="shared" si="67"/>
        <v>20.889158910784321</v>
      </c>
      <c r="K65" s="6">
        <f t="shared" si="68"/>
        <v>40.94275146513727</v>
      </c>
      <c r="M65" s="2">
        <f>'rockfish harvests'!O64</f>
        <v>188.94247181695698</v>
      </c>
      <c r="N65">
        <f>'rockfish harvests'!P64</f>
        <v>13095.910579257932</v>
      </c>
      <c r="O65" s="27">
        <f t="shared" si="61"/>
        <v>0.74806438500000005</v>
      </c>
      <c r="P65" s="27">
        <f t="shared" si="61"/>
        <v>6.3493509999999996E-3</v>
      </c>
      <c r="Q65" s="13">
        <f t="shared" si="62"/>
        <v>141.34113398013176</v>
      </c>
      <c r="R65" s="2">
        <f t="shared" si="6"/>
        <v>7638.2934548400635</v>
      </c>
      <c r="S65">
        <f t="shared" si="69"/>
        <v>87.397330936591331</v>
      </c>
      <c r="T65" s="6">
        <f t="shared" si="70"/>
        <v>171.298768635719</v>
      </c>
      <c r="V65" s="13">
        <f t="shared" si="63"/>
        <v>518.26421078013175</v>
      </c>
      <c r="W65">
        <f t="shared" si="64"/>
        <v>8074.6504148400636</v>
      </c>
      <c r="X65">
        <f t="shared" si="71"/>
        <v>89.859058613141855</v>
      </c>
      <c r="Y65" s="6">
        <f t="shared" si="72"/>
        <v>176.12375488175803</v>
      </c>
      <c r="Z65" s="14">
        <f t="shared" si="65"/>
        <v>0.17338464965172684</v>
      </c>
    </row>
    <row r="66" spans="1:26" x14ac:dyDescent="0.3">
      <c r="A66" t="str">
        <f>'rockfish harvests'!A65</f>
        <v>SC</v>
      </c>
      <c r="B66">
        <f>'rockfish harvests'!B65</f>
        <v>2011</v>
      </c>
      <c r="C66" t="str">
        <f>'rockfish harvests'!C65</f>
        <v>SKMA</v>
      </c>
      <c r="D66">
        <f>'rockfish harvests'!D65</f>
        <v>689</v>
      </c>
      <c r="E66">
        <v>552</v>
      </c>
      <c r="F66" s="27">
        <f t="shared" si="60"/>
        <v>0.94230769199999997</v>
      </c>
      <c r="G66" s="27">
        <f t="shared" si="60"/>
        <v>2.7272310000000001E-3</v>
      </c>
      <c r="H66" s="7">
        <f t="shared" si="66"/>
        <v>520.15384598399999</v>
      </c>
      <c r="I66">
        <f t="shared" si="73"/>
        <v>830.99819462400001</v>
      </c>
      <c r="J66">
        <f t="shared" si="67"/>
        <v>28.827039296882361</v>
      </c>
      <c r="K66" s="6">
        <f t="shared" si="68"/>
        <v>56.500997021889425</v>
      </c>
      <c r="M66" s="2">
        <f>'rockfish harvests'!O65</f>
        <v>161.99495459132186</v>
      </c>
      <c r="N66">
        <f>'rockfish harvests'!P65</f>
        <v>13094.402331197241</v>
      </c>
      <c r="O66" s="27">
        <f t="shared" si="61"/>
        <v>0.71830985899999999</v>
      </c>
      <c r="P66" s="27">
        <f t="shared" si="61"/>
        <v>2.890583E-3</v>
      </c>
      <c r="Q66" s="13">
        <f t="shared" si="62"/>
        <v>116.36257299120381</v>
      </c>
      <c r="R66" s="2">
        <f t="shared" si="6"/>
        <v>6870.0125692826823</v>
      </c>
      <c r="S66">
        <f t="shared" si="69"/>
        <v>82.885538963577247</v>
      </c>
      <c r="T66" s="6">
        <f t="shared" si="70"/>
        <v>162.45565636861141</v>
      </c>
      <c r="V66" s="13">
        <f t="shared" si="63"/>
        <v>636.51641897520381</v>
      </c>
      <c r="W66">
        <f t="shared" si="64"/>
        <v>7701.0107639066828</v>
      </c>
      <c r="X66">
        <f t="shared" si="71"/>
        <v>87.755403046802101</v>
      </c>
      <c r="Y66" s="6">
        <f t="shared" si="72"/>
        <v>172.00058997173213</v>
      </c>
      <c r="Z66" s="14">
        <f t="shared" si="65"/>
        <v>0.13786824727646296</v>
      </c>
    </row>
    <row r="67" spans="1:26" x14ac:dyDescent="0.3">
      <c r="A67" t="str">
        <f>'rockfish harvests'!A66</f>
        <v>SC</v>
      </c>
      <c r="B67">
        <f>'rockfish harvests'!B66</f>
        <v>2012</v>
      </c>
      <c r="C67" t="str">
        <f>'rockfish harvests'!C66</f>
        <v>SKMA</v>
      </c>
      <c r="D67">
        <f>'rockfish harvests'!D66</f>
        <v>918</v>
      </c>
      <c r="E67">
        <v>568</v>
      </c>
      <c r="F67" s="27">
        <f t="shared" si="60"/>
        <v>0.94230769199999997</v>
      </c>
      <c r="G67" s="27">
        <f t="shared" si="60"/>
        <v>2.7272310000000001E-3</v>
      </c>
      <c r="H67" s="7">
        <f t="shared" si="66"/>
        <v>535.23076905599999</v>
      </c>
      <c r="I67">
        <f t="shared" si="73"/>
        <v>879.87017414400009</v>
      </c>
      <c r="J67">
        <f t="shared" si="67"/>
        <v>29.662605653313737</v>
      </c>
      <c r="K67" s="6">
        <f t="shared" si="68"/>
        <v>58.138707080494925</v>
      </c>
      <c r="M67" s="2">
        <f>'rockfish harvests'!O66</f>
        <v>591</v>
      </c>
      <c r="N67">
        <f>'rockfish harvests'!P66</f>
        <v>113950.9906442892</v>
      </c>
      <c r="O67" s="27">
        <f t="shared" si="61"/>
        <v>0.74509803900000005</v>
      </c>
      <c r="P67" s="27">
        <f t="shared" si="61"/>
        <v>1.2495189999999999E-3</v>
      </c>
      <c r="Q67" s="13">
        <f t="shared" si="62"/>
        <v>440.35294104900004</v>
      </c>
      <c r="R67" s="2">
        <f t="shared" si="6"/>
        <v>63841.11259666695</v>
      </c>
      <c r="S67">
        <f t="shared" si="69"/>
        <v>252.66798886417519</v>
      </c>
      <c r="T67" s="6">
        <f t="shared" si="70"/>
        <v>495.22925817378336</v>
      </c>
      <c r="V67" s="13">
        <f t="shared" si="63"/>
        <v>975.58371010500002</v>
      </c>
      <c r="W67">
        <f t="shared" si="64"/>
        <v>64720.982770810951</v>
      </c>
      <c r="X67">
        <f t="shared" si="71"/>
        <v>254.40318938804788</v>
      </c>
      <c r="Y67" s="6">
        <f t="shared" si="72"/>
        <v>498.63025120057381</v>
      </c>
      <c r="Z67" s="14">
        <f t="shared" si="65"/>
        <v>0.26077023094273172</v>
      </c>
    </row>
    <row r="68" spans="1:26" x14ac:dyDescent="0.3">
      <c r="A68" t="str">
        <f>'rockfish harvests'!A67</f>
        <v>SC</v>
      </c>
      <c r="B68">
        <f>'rockfish harvests'!B67</f>
        <v>2013</v>
      </c>
      <c r="C68" t="str">
        <f>'rockfish harvests'!C67</f>
        <v>SKMA</v>
      </c>
      <c r="D68">
        <f>'rockfish harvests'!D67</f>
        <v>1035</v>
      </c>
      <c r="E68">
        <v>868</v>
      </c>
      <c r="F68" s="27">
        <f t="shared" si="60"/>
        <v>0.94230769199999997</v>
      </c>
      <c r="G68" s="27">
        <f t="shared" si="60"/>
        <v>2.7272310000000001E-3</v>
      </c>
      <c r="H68" s="7">
        <f t="shared" si="66"/>
        <v>817.92307665599992</v>
      </c>
      <c r="I68">
        <f t="shared" si="73"/>
        <v>2054.7612889440002</v>
      </c>
      <c r="J68">
        <f t="shared" si="67"/>
        <v>45.329474836401978</v>
      </c>
      <c r="K68" s="6">
        <f t="shared" si="68"/>
        <v>88.845770679347879</v>
      </c>
      <c r="M68" s="2">
        <f>'rockfish harvests'!O67</f>
        <v>209.79729729729729</v>
      </c>
      <c r="N68">
        <f>'rockfish harvests'!P67</f>
        <v>18918.407507863983</v>
      </c>
      <c r="O68" s="27">
        <f t="shared" si="61"/>
        <v>0.66871165600000004</v>
      </c>
      <c r="P68" s="27">
        <f t="shared" si="61"/>
        <v>1.3675079999999999E-3</v>
      </c>
      <c r="Q68" s="13">
        <f t="shared" si="62"/>
        <v>140.29389810000001</v>
      </c>
      <c r="R68" s="2">
        <f t="shared" ref="R68:R131" si="74">(M68^2)*P68+(O68^2)*N68+(P68*N68)</f>
        <v>8545.9059627349234</v>
      </c>
      <c r="S68">
        <f t="shared" si="69"/>
        <v>92.444069375676676</v>
      </c>
      <c r="T68" s="6">
        <f t="shared" si="70"/>
        <v>181.19037597632629</v>
      </c>
      <c r="V68" s="13">
        <f t="shared" si="63"/>
        <v>958.2169747559999</v>
      </c>
      <c r="W68">
        <f t="shared" si="64"/>
        <v>10600.667251678924</v>
      </c>
      <c r="X68">
        <f t="shared" si="71"/>
        <v>102.95954181948812</v>
      </c>
      <c r="Y68" s="6">
        <f t="shared" si="72"/>
        <v>201.80070196619673</v>
      </c>
      <c r="Z68" s="14">
        <f t="shared" si="65"/>
        <v>0.10744908985327223</v>
      </c>
    </row>
    <row r="69" spans="1:26" x14ac:dyDescent="0.3">
      <c r="A69" t="str">
        <f>'rockfish harvests'!A68</f>
        <v>SC</v>
      </c>
      <c r="B69">
        <f>'rockfish harvests'!B68</f>
        <v>2014</v>
      </c>
      <c r="C69" t="str">
        <f>'rockfish harvests'!C68</f>
        <v>SKMA</v>
      </c>
      <c r="D69">
        <f>'rockfish harvests'!D68</f>
        <v>653</v>
      </c>
      <c r="E69">
        <v>557</v>
      </c>
      <c r="F69" s="27">
        <f t="shared" si="60"/>
        <v>0.94230769199999997</v>
      </c>
      <c r="G69" s="27">
        <f t="shared" si="60"/>
        <v>2.7272310000000001E-3</v>
      </c>
      <c r="H69" s="7">
        <f t="shared" si="66"/>
        <v>524.86538444400003</v>
      </c>
      <c r="I69">
        <f t="shared" si="73"/>
        <v>846.12069051900005</v>
      </c>
      <c r="J69">
        <f t="shared" si="67"/>
        <v>29.088153783267167</v>
      </c>
      <c r="K69" s="6">
        <f t="shared" si="68"/>
        <v>57.012781415203648</v>
      </c>
      <c r="M69" s="2">
        <f>'rockfish harvests'!O68</f>
        <v>219.90263510495754</v>
      </c>
      <c r="N69">
        <f>'rockfish harvests'!P68</f>
        <v>18177.015037346606</v>
      </c>
      <c r="O69" s="27">
        <f t="shared" si="61"/>
        <v>0.77777777800000003</v>
      </c>
      <c r="P69" s="27">
        <f t="shared" si="61"/>
        <v>1.382716E-3</v>
      </c>
      <c r="Q69" s="13">
        <f t="shared" si="62"/>
        <v>171.03538290827868</v>
      </c>
      <c r="R69" s="2">
        <f t="shared" si="74"/>
        <v>11087.969946626048</v>
      </c>
      <c r="S69">
        <f t="shared" si="69"/>
        <v>105.2994299444496</v>
      </c>
      <c r="T69" s="6">
        <f t="shared" si="70"/>
        <v>206.3868826911212</v>
      </c>
      <c r="V69" s="13">
        <f t="shared" si="63"/>
        <v>695.90076735227876</v>
      </c>
      <c r="W69">
        <f t="shared" si="64"/>
        <v>11934.090637145047</v>
      </c>
      <c r="X69">
        <f t="shared" si="71"/>
        <v>109.2432635778749</v>
      </c>
      <c r="Y69" s="6">
        <f t="shared" si="72"/>
        <v>214.1167966126348</v>
      </c>
      <c r="Z69" s="14">
        <f t="shared" si="65"/>
        <v>0.1569810937175958</v>
      </c>
    </row>
    <row r="70" spans="1:26" x14ac:dyDescent="0.3">
      <c r="A70" t="str">
        <f>'rockfish harvests'!A69</f>
        <v>SC</v>
      </c>
      <c r="B70">
        <f>'rockfish harvests'!B69</f>
        <v>2015</v>
      </c>
      <c r="C70" t="str">
        <f>'rockfish harvests'!C69</f>
        <v>SKMA</v>
      </c>
      <c r="D70">
        <f>'rockfish harvests'!D69</f>
        <v>619</v>
      </c>
      <c r="E70">
        <v>547</v>
      </c>
      <c r="F70" s="27">
        <f t="shared" si="60"/>
        <v>0.94230769199999997</v>
      </c>
      <c r="G70" s="27">
        <f t="shared" si="60"/>
        <v>2.7272310000000001E-3</v>
      </c>
      <c r="H70" s="7">
        <f t="shared" si="66"/>
        <v>515.44230752399994</v>
      </c>
      <c r="I70">
        <f t="shared" si="73"/>
        <v>816.01206027900002</v>
      </c>
      <c r="J70">
        <f t="shared" si="67"/>
        <v>28.56592481049756</v>
      </c>
      <c r="K70" s="6">
        <f t="shared" si="68"/>
        <v>55.989212628575217</v>
      </c>
      <c r="M70" s="2">
        <f>'rockfish harvests'!O69</f>
        <v>281.78094694808897</v>
      </c>
      <c r="N70">
        <f>'rockfish harvests'!P69</f>
        <v>62212.407283949418</v>
      </c>
      <c r="O70" s="27">
        <f t="shared" si="61"/>
        <v>0.73157894700000003</v>
      </c>
      <c r="P70" s="27">
        <f t="shared" si="61"/>
        <v>5.1813E-4</v>
      </c>
      <c r="Q70" s="13">
        <f t="shared" si="62"/>
        <v>206.1450084529458</v>
      </c>
      <c r="R70" s="2">
        <f t="shared" si="74"/>
        <v>33369.936775460454</v>
      </c>
      <c r="S70">
        <f t="shared" si="69"/>
        <v>182.67440098563469</v>
      </c>
      <c r="T70" s="6">
        <f t="shared" si="70"/>
        <v>358.04182593184396</v>
      </c>
      <c r="V70" s="13">
        <f t="shared" si="63"/>
        <v>721.58731597694577</v>
      </c>
      <c r="W70">
        <f t="shared" si="64"/>
        <v>34185.948835739451</v>
      </c>
      <c r="X70">
        <f t="shared" si="71"/>
        <v>184.8944261889456</v>
      </c>
      <c r="Y70" s="6">
        <f t="shared" si="72"/>
        <v>362.39307533033337</v>
      </c>
      <c r="Z70" s="14">
        <f t="shared" si="65"/>
        <v>0.25623292163696076</v>
      </c>
    </row>
    <row r="71" spans="1:26" x14ac:dyDescent="0.3">
      <c r="A71" t="str">
        <f>'rockfish harvests'!A70</f>
        <v>SC</v>
      </c>
      <c r="B71">
        <f>'rockfish harvests'!B70</f>
        <v>2016</v>
      </c>
      <c r="C71" t="str">
        <f>'rockfish harvests'!C70</f>
        <v>SKMA</v>
      </c>
      <c r="D71">
        <f>'rockfish harvests'!D70</f>
        <v>804</v>
      </c>
      <c r="E71">
        <v>713</v>
      </c>
      <c r="F71" s="27">
        <f t="shared" si="60"/>
        <v>0.90384615400000001</v>
      </c>
      <c r="G71" s="27">
        <f t="shared" si="60"/>
        <v>1.704084E-3</v>
      </c>
      <c r="H71" s="7">
        <f t="shared" si="66"/>
        <v>644.44230780199996</v>
      </c>
      <c r="I71">
        <f t="shared" si="73"/>
        <v>866.30347899599997</v>
      </c>
      <c r="J71">
        <f t="shared" si="67"/>
        <v>29.433033805504998</v>
      </c>
      <c r="K71" s="6">
        <f t="shared" si="68"/>
        <v>57.688746258789791</v>
      </c>
      <c r="M71" s="2">
        <f>'rockfish harvests'!O70</f>
        <v>94.418789808917268</v>
      </c>
      <c r="N71">
        <f>'rockfish harvests'!P70</f>
        <v>4384.8563398414108</v>
      </c>
      <c r="O71" s="27">
        <f t="shared" si="61"/>
        <v>0.83437499999999998</v>
      </c>
      <c r="P71" s="27">
        <f t="shared" si="61"/>
        <v>4.3320799999999998E-4</v>
      </c>
      <c r="Q71" s="13">
        <f t="shared" si="62"/>
        <v>78.780677746815343</v>
      </c>
      <c r="R71" s="2">
        <f t="shared" si="74"/>
        <v>3058.4180448291008</v>
      </c>
      <c r="S71">
        <f t="shared" si="69"/>
        <v>55.302965967740832</v>
      </c>
      <c r="T71" s="6">
        <f t="shared" si="70"/>
        <v>108.39381329677202</v>
      </c>
      <c r="V71" s="13">
        <f t="shared" si="63"/>
        <v>723.22298554881536</v>
      </c>
      <c r="W71">
        <f t="shared" si="64"/>
        <v>3924.721523825101</v>
      </c>
      <c r="X71">
        <f t="shared" si="71"/>
        <v>62.647597909457801</v>
      </c>
      <c r="Y71" s="6">
        <f t="shared" si="72"/>
        <v>122.78929190253729</v>
      </c>
      <c r="Z71" s="14">
        <f t="shared" si="65"/>
        <v>8.6622797064335386E-2</v>
      </c>
    </row>
    <row r="72" spans="1:26" x14ac:dyDescent="0.3">
      <c r="A72" t="str">
        <f>'rockfish harvests'!A71</f>
        <v>SC</v>
      </c>
      <c r="B72">
        <f>'rockfish harvests'!B71</f>
        <v>2017</v>
      </c>
      <c r="C72" t="str">
        <f>'rockfish harvests'!C71</f>
        <v>SKMA</v>
      </c>
      <c r="D72">
        <f>'rockfish harvests'!D71</f>
        <v>666</v>
      </c>
      <c r="E72">
        <v>607</v>
      </c>
      <c r="F72" s="27">
        <f>F122</f>
        <v>0.92307692299999999</v>
      </c>
      <c r="G72" s="27">
        <f t="shared" si="60"/>
        <v>6.1211999999999996E-4</v>
      </c>
      <c r="H72" s="7">
        <f t="shared" si="66"/>
        <v>560.30769226099994</v>
      </c>
      <c r="I72">
        <f t="shared" si="73"/>
        <v>225.53500187999998</v>
      </c>
      <c r="J72">
        <f t="shared" si="67"/>
        <v>15.017822807584327</v>
      </c>
      <c r="K72" s="6">
        <f t="shared" si="68"/>
        <v>29.434932702865282</v>
      </c>
      <c r="M72" s="2">
        <f>'rockfish harvests'!O71</f>
        <v>229.24813432835822</v>
      </c>
      <c r="N72">
        <f>'rockfish harvests'!P71</f>
        <v>18017.117128178837</v>
      </c>
      <c r="O72" s="27">
        <f t="shared" si="61"/>
        <v>0.712121212</v>
      </c>
      <c r="P72" s="27">
        <f t="shared" si="61"/>
        <v>6.2311400000000002E-4</v>
      </c>
      <c r="Q72" s="13">
        <f t="shared" si="62"/>
        <v>163.25245926664925</v>
      </c>
      <c r="R72" s="2">
        <f t="shared" si="74"/>
        <v>9180.7538423201495</v>
      </c>
      <c r="S72">
        <f t="shared" si="69"/>
        <v>95.816250408373577</v>
      </c>
      <c r="T72" s="6">
        <f t="shared" si="70"/>
        <v>187.7998508004122</v>
      </c>
      <c r="V72" s="13">
        <f t="shared" si="63"/>
        <v>723.56015152764917</v>
      </c>
      <c r="W72">
        <f t="shared" si="64"/>
        <v>9406.2888442001495</v>
      </c>
      <c r="X72">
        <f t="shared" si="71"/>
        <v>96.986023963250233</v>
      </c>
      <c r="Y72" s="6">
        <f t="shared" si="72"/>
        <v>190.09260696797045</v>
      </c>
      <c r="Z72" s="14">
        <f t="shared" si="65"/>
        <v>0.13404002937210416</v>
      </c>
    </row>
    <row r="73" spans="1:26" x14ac:dyDescent="0.3">
      <c r="A73" t="str">
        <f>'rockfish harvests'!A72</f>
        <v>SC</v>
      </c>
      <c r="B73">
        <f>'rockfish harvests'!B72</f>
        <v>2018</v>
      </c>
      <c r="C73" t="str">
        <f>'rockfish harvests'!C72</f>
        <v>SKMA</v>
      </c>
      <c r="D73">
        <f>'rockfish harvests'!D72</f>
        <v>671</v>
      </c>
      <c r="E73">
        <v>599</v>
      </c>
      <c r="F73" s="27">
        <f t="shared" si="60"/>
        <v>0.94230769199999997</v>
      </c>
      <c r="G73" s="27">
        <f t="shared" si="60"/>
        <v>2.7272310000000001E-3</v>
      </c>
      <c r="H73" s="7">
        <f t="shared" si="66"/>
        <v>564.442307508</v>
      </c>
      <c r="I73">
        <f t="shared" si="73"/>
        <v>978.53321003100007</v>
      </c>
      <c r="J73">
        <f t="shared" si="67"/>
        <v>31.281515468899521</v>
      </c>
      <c r="K73" s="6">
        <f t="shared" si="68"/>
        <v>61.311770319043056</v>
      </c>
      <c r="M73" s="2">
        <f>'rockfish harvests'!O72</f>
        <v>107.64245379876797</v>
      </c>
      <c r="N73">
        <f>'rockfish harvests'!P72</f>
        <v>4325.8254808581805</v>
      </c>
      <c r="O73" s="27">
        <f t="shared" si="61"/>
        <v>0.75919732399999995</v>
      </c>
      <c r="P73" s="27">
        <f t="shared" si="61"/>
        <v>6.13479E-4</v>
      </c>
      <c r="Q73" s="13">
        <f t="shared" si="62"/>
        <v>81.721862872818278</v>
      </c>
      <c r="R73" s="2">
        <f t="shared" si="74"/>
        <v>2503.0839072603562</v>
      </c>
      <c r="S73">
        <f t="shared" si="69"/>
        <v>50.030829567980945</v>
      </c>
      <c r="T73" s="6">
        <f t="shared" si="70"/>
        <v>98.060425953242657</v>
      </c>
      <c r="V73" s="13">
        <f t="shared" si="63"/>
        <v>646.16417038081829</v>
      </c>
      <c r="W73">
        <f t="shared" si="64"/>
        <v>3481.6171172913564</v>
      </c>
      <c r="X73">
        <f t="shared" si="71"/>
        <v>59.005229575787233</v>
      </c>
      <c r="Y73" s="6">
        <f t="shared" si="72"/>
        <v>115.65024996854298</v>
      </c>
      <c r="Z73" s="14">
        <f t="shared" si="65"/>
        <v>9.1316158153758931E-2</v>
      </c>
    </row>
    <row r="74" spans="1:26" x14ac:dyDescent="0.3">
      <c r="A74" t="str">
        <f>'rockfish harvests'!A73</f>
        <v>SC</v>
      </c>
      <c r="B74">
        <f>'rockfish harvests'!B73</f>
        <v>2019</v>
      </c>
      <c r="C74" t="str">
        <f>'rockfish harvests'!C73</f>
        <v>SKMA</v>
      </c>
      <c r="D74">
        <f>'rockfish harvests'!D73</f>
        <v>716</v>
      </c>
      <c r="E74">
        <v>588</v>
      </c>
      <c r="F74" s="27">
        <f>F124</f>
        <v>0.94230769199999997</v>
      </c>
      <c r="G74" s="27">
        <f t="shared" si="60"/>
        <v>2.7314359999999998E-3</v>
      </c>
      <c r="H74" s="7">
        <f>E74*F74</f>
        <v>554.07692289600004</v>
      </c>
      <c r="I74">
        <f>(E74^2)*G74</f>
        <v>944.37760838399993</v>
      </c>
      <c r="J74">
        <f>SQRT(I74)</f>
        <v>30.730727430114634</v>
      </c>
      <c r="K74" s="6">
        <f>(1.96*J74)</f>
        <v>60.23222576302468</v>
      </c>
      <c r="M74" s="2">
        <f>'rockfish harvests'!O73</f>
        <v>230.32441288913162</v>
      </c>
      <c r="N74">
        <f>'rockfish harvests'!P73</f>
        <v>30814.691102249373</v>
      </c>
      <c r="O74" s="27">
        <f t="shared" si="61"/>
        <v>0.78749999999999998</v>
      </c>
      <c r="P74" s="27">
        <f t="shared" si="61"/>
        <v>7.0018299999999995E-4</v>
      </c>
      <c r="Q74" s="63">
        <f>M74*O74</f>
        <v>181.38047515019116</v>
      </c>
      <c r="R74" s="2">
        <f t="shared" si="74"/>
        <v>19168.643444388628</v>
      </c>
      <c r="S74">
        <f>SQRT(R74)</f>
        <v>138.450870146737</v>
      </c>
      <c r="T74" s="6">
        <f>(1.96*S74)</f>
        <v>271.36370548760453</v>
      </c>
      <c r="V74" s="63">
        <f>Q74+H74</f>
        <v>735.4573980461912</v>
      </c>
      <c r="W74">
        <f>R74+I74</f>
        <v>20113.021052772627</v>
      </c>
      <c r="X74">
        <f>SQRT(W74)</f>
        <v>141.82038306524427</v>
      </c>
      <c r="Y74" s="6">
        <f>(1.96*X74)</f>
        <v>277.96795080787876</v>
      </c>
      <c r="Z74" s="14">
        <f t="shared" si="65"/>
        <v>0.19283290023596594</v>
      </c>
    </row>
    <row r="75" spans="1:26" x14ac:dyDescent="0.3">
      <c r="A75" t="str">
        <f>'rockfish harvests'!A74</f>
        <v>SC</v>
      </c>
      <c r="B75">
        <f>'rockfish harvests'!B74</f>
        <v>2020</v>
      </c>
      <c r="C75" t="str">
        <f>'rockfish harvests'!C74</f>
        <v>SKMA</v>
      </c>
      <c r="D75">
        <f>'rockfish harvests'!D74</f>
        <v>302</v>
      </c>
      <c r="E75">
        <v>255</v>
      </c>
      <c r="F75" s="27">
        <f t="shared" si="60"/>
        <v>0.94230769199999997</v>
      </c>
      <c r="G75" s="27">
        <f t="shared" si="60"/>
        <v>2.7272310000000001E-3</v>
      </c>
      <c r="H75" s="7">
        <f t="shared" ref="H75:H76" si="75">E75*F75</f>
        <v>240.28846146000001</v>
      </c>
      <c r="I75">
        <f t="shared" ref="I75:I76" si="76">(E75^2)*G75</f>
        <v>177.338195775</v>
      </c>
      <c r="J75">
        <f t="shared" ref="J75:J76" si="77">SQRT(I75)</f>
        <v>13.316838805625006</v>
      </c>
      <c r="K75" s="6">
        <f t="shared" ref="K75:K76" si="78">(1.96*J75)</f>
        <v>26.101004059025012</v>
      </c>
      <c r="M75" s="2">
        <f>'rockfish harvests'!O74</f>
        <v>57.128003494975985</v>
      </c>
      <c r="N75">
        <f>'rockfish harvests'!P74</f>
        <v>816.94472651239755</v>
      </c>
      <c r="O75" s="27">
        <f>O125</f>
        <v>0.72222222199999997</v>
      </c>
      <c r="P75" s="27">
        <f t="shared" si="61"/>
        <v>1.8749280000000001E-3</v>
      </c>
      <c r="Q75" s="13">
        <f t="shared" ref="Q75:Q76" si="79">M75*O75</f>
        <v>41.259113622565323</v>
      </c>
      <c r="R75" s="2">
        <f t="shared" si="74"/>
        <v>433.77314741266986</v>
      </c>
      <c r="S75">
        <f t="shared" ref="S75:S76" si="80">SQRT(R75)</f>
        <v>20.827221308006258</v>
      </c>
      <c r="T75" s="6">
        <f t="shared" ref="T75:T76" si="81">(1.96*S75)</f>
        <v>40.821353763692265</v>
      </c>
      <c r="V75" s="13">
        <f t="shared" ref="V75:V76" si="82">Q75+H75</f>
        <v>281.54757508256534</v>
      </c>
      <c r="W75">
        <f t="shared" ref="W75:W76" si="83">R75+I75</f>
        <v>611.11134318766983</v>
      </c>
      <c r="X75">
        <f t="shared" ref="X75:X76" si="84">SQRT(W75)</f>
        <v>24.720666317631284</v>
      </c>
      <c r="Y75" s="6">
        <f t="shared" ref="Y75:Y76" si="85">(1.96*X75)</f>
        <v>48.452505982557319</v>
      </c>
      <c r="Z75" s="14">
        <f t="shared" ref="Z75:Z76" si="86">X75/V75</f>
        <v>8.7802803168813712E-2</v>
      </c>
    </row>
    <row r="76" spans="1:26" ht="13.2" customHeight="1" x14ac:dyDescent="0.3">
      <c r="A76" t="str">
        <f>'rockfish harvests'!A75</f>
        <v>SC</v>
      </c>
      <c r="B76">
        <f>'rockfish harvests'!B75</f>
        <v>2021</v>
      </c>
      <c r="C76" t="str">
        <f>'rockfish harvests'!C75</f>
        <v>SKMA</v>
      </c>
      <c r="D76">
        <f>'rockfish harvests'!D75</f>
        <v>1622</v>
      </c>
      <c r="E76">
        <v>1428</v>
      </c>
      <c r="F76" s="27">
        <f t="shared" si="60"/>
        <v>0.94230769199999997</v>
      </c>
      <c r="G76" s="27">
        <f t="shared" si="60"/>
        <v>2.7272310000000001E-3</v>
      </c>
      <c r="H76" s="7">
        <f t="shared" si="75"/>
        <v>1345.6153841759999</v>
      </c>
      <c r="I76">
        <f t="shared" si="76"/>
        <v>5561.3258195039998</v>
      </c>
      <c r="J76">
        <f t="shared" si="77"/>
        <v>74.574297311500018</v>
      </c>
      <c r="K76" s="6">
        <f t="shared" si="78"/>
        <v>146.16562273054004</v>
      </c>
      <c r="M76" s="2">
        <f>'rockfish harvests'!O75</f>
        <v>253.31845937059643</v>
      </c>
      <c r="N76">
        <f>'rockfish harvests'!P75</f>
        <v>10922.563990757333</v>
      </c>
      <c r="O76" s="27">
        <f t="shared" si="61"/>
        <v>0.89705882400000003</v>
      </c>
      <c r="P76" s="27">
        <f t="shared" si="61"/>
        <v>4.5489800000000002E-4</v>
      </c>
      <c r="Q76" s="13">
        <f t="shared" si="79"/>
        <v>227.24155926047902</v>
      </c>
      <c r="R76" s="2">
        <f t="shared" si="74"/>
        <v>8823.7055560032713</v>
      </c>
      <c r="S76">
        <f t="shared" si="80"/>
        <v>93.934581257401007</v>
      </c>
      <c r="T76" s="6">
        <f t="shared" si="81"/>
        <v>184.11177926450597</v>
      </c>
      <c r="V76" s="13">
        <f t="shared" si="82"/>
        <v>1572.856943436479</v>
      </c>
      <c r="W76">
        <f t="shared" si="83"/>
        <v>14385.031375507271</v>
      </c>
      <c r="X76">
        <f t="shared" si="84"/>
        <v>119.93761451482713</v>
      </c>
      <c r="Y76" s="6">
        <f t="shared" si="85"/>
        <v>235.07772444906118</v>
      </c>
      <c r="Z76" s="14">
        <f t="shared" si="86"/>
        <v>7.6254623801182905E-2</v>
      </c>
    </row>
    <row r="77" spans="1:26" s="51" customFormat="1" ht="13.2" customHeight="1" x14ac:dyDescent="0.3">
      <c r="A77" s="51" t="s">
        <v>81</v>
      </c>
      <c r="B77" s="51">
        <v>2022</v>
      </c>
      <c r="C77" s="51" t="s">
        <v>82</v>
      </c>
      <c r="D77">
        <f>'rockfish harvests'!D76</f>
        <v>1321</v>
      </c>
      <c r="E77" s="87">
        <v>1112</v>
      </c>
      <c r="F77" s="27">
        <f t="shared" si="60"/>
        <v>0.94230769199999997</v>
      </c>
      <c r="G77" s="27">
        <f t="shared" si="60"/>
        <v>2.7272310000000001E-3</v>
      </c>
      <c r="H77" s="7">
        <f t="shared" ref="H77" si="87">E77*F77</f>
        <v>1047.8461535040001</v>
      </c>
      <c r="I77">
        <f t="shared" ref="I77" si="88">(E77^2)*G77</f>
        <v>3372.3411296640002</v>
      </c>
      <c r="J77">
        <f t="shared" ref="J77" si="89">SQRT(I77)</f>
        <v>58.071861771980416</v>
      </c>
      <c r="K77" s="6">
        <f t="shared" ref="K77" si="90">(1.96*J77)</f>
        <v>113.82084907308162</v>
      </c>
      <c r="M77" s="2">
        <f>'rockfish harvests'!O76</f>
        <v>504.30982804858809</v>
      </c>
      <c r="N77">
        <f>'rockfish harvests'!P76</f>
        <v>41475.667798459108</v>
      </c>
      <c r="O77" s="27">
        <f t="shared" si="61"/>
        <v>0.946428571</v>
      </c>
      <c r="P77" s="27">
        <f t="shared" si="61"/>
        <v>4.5677100000000002E-4</v>
      </c>
      <c r="Q77" s="13">
        <f t="shared" ref="Q77" si="91">M77*O77</f>
        <v>477.29322990128094</v>
      </c>
      <c r="R77" s="2">
        <f t="shared" si="74"/>
        <v>37285.991870419013</v>
      </c>
      <c r="S77">
        <f t="shared" ref="S77" si="92">SQRT(R77)</f>
        <v>193.09581007991605</v>
      </c>
      <c r="T77" s="6">
        <f t="shared" ref="T77" si="93">(1.96*S77)</f>
        <v>378.46778775663546</v>
      </c>
      <c r="V77" s="13">
        <f t="shared" ref="V77" si="94">Q77+H77</f>
        <v>1525.139383405281</v>
      </c>
      <c r="W77">
        <f t="shared" ref="W77" si="95">R77+I77</f>
        <v>40658.33300008301</v>
      </c>
      <c r="X77">
        <f t="shared" ref="X77" si="96">SQRT(W77)</f>
        <v>201.63911574911006</v>
      </c>
      <c r="Y77" s="6">
        <f t="shared" ref="Y77" si="97">(1.96*X77)</f>
        <v>395.21266686825572</v>
      </c>
      <c r="Z77" s="14">
        <f t="shared" ref="Z77" si="98">X77/V77</f>
        <v>0.13221028710103655</v>
      </c>
    </row>
    <row r="78" spans="1:26" x14ac:dyDescent="0.3">
      <c r="A78" t="str">
        <f>'rockfish harvests'!A77</f>
        <v>SC</v>
      </c>
      <c r="B78">
        <f>'rockfish harvests'!B77</f>
        <v>1998</v>
      </c>
      <c r="C78" t="str">
        <f>'rockfish harvests'!C77</f>
        <v>CI</v>
      </c>
      <c r="D78">
        <f>'rockfish harvests'!D77</f>
        <v>994</v>
      </c>
      <c r="E78">
        <v>723</v>
      </c>
      <c r="F78" s="32">
        <v>0.41886961900000003</v>
      </c>
      <c r="G78" s="32">
        <v>1.4755447E-2</v>
      </c>
      <c r="H78" s="7">
        <f t="shared" si="66"/>
        <v>302.84273453700001</v>
      </c>
      <c r="I78">
        <f t="shared" si="73"/>
        <v>7713.100054863</v>
      </c>
      <c r="J78">
        <f t="shared" si="67"/>
        <v>87.824256642814802</v>
      </c>
      <c r="K78" s="6">
        <f t="shared" si="68"/>
        <v>172.13554301991701</v>
      </c>
      <c r="M78" s="2">
        <f>'rockfish harvests'!O77</f>
        <v>692.47589516408812</v>
      </c>
      <c r="N78">
        <f>'rockfish harvests'!P77</f>
        <v>44240.136597187789</v>
      </c>
      <c r="O78" s="32">
        <v>0.39812478499999998</v>
      </c>
      <c r="P78" s="32">
        <v>2.2348521999999999E-2</v>
      </c>
      <c r="Q78" s="13">
        <f t="shared" si="62"/>
        <v>275.6918168798851</v>
      </c>
      <c r="R78" s="2">
        <f t="shared" si="74"/>
        <v>18717.538581298737</v>
      </c>
      <c r="S78">
        <f t="shared" si="69"/>
        <v>136.81205568698519</v>
      </c>
      <c r="T78" s="6">
        <f t="shared" si="70"/>
        <v>268.15162914649096</v>
      </c>
      <c r="V78" s="13">
        <f t="shared" si="63"/>
        <v>578.53455141688505</v>
      </c>
      <c r="W78">
        <f t="shared" si="64"/>
        <v>26430.638636161737</v>
      </c>
      <c r="X78">
        <f t="shared" si="71"/>
        <v>162.57502463835502</v>
      </c>
      <c r="Y78" s="6">
        <f t="shared" si="72"/>
        <v>318.64704829117585</v>
      </c>
      <c r="Z78" s="14">
        <f>X78/V78</f>
        <v>0.28101178095619983</v>
      </c>
    </row>
    <row r="79" spans="1:26" x14ac:dyDescent="0.3">
      <c r="A79" t="str">
        <f>'rockfish harvests'!A78</f>
        <v>SC</v>
      </c>
      <c r="B79">
        <f>'rockfish harvests'!B78</f>
        <v>1999</v>
      </c>
      <c r="C79" t="str">
        <f>'rockfish harvests'!C78</f>
        <v>CI</v>
      </c>
      <c r="D79">
        <f>'rockfish harvests'!D78</f>
        <v>911</v>
      </c>
      <c r="E79">
        <v>809</v>
      </c>
      <c r="F79" s="32">
        <v>0.41886961900000003</v>
      </c>
      <c r="G79" s="32">
        <v>1.4755447E-2</v>
      </c>
      <c r="H79" s="7">
        <f t="shared" si="66"/>
        <v>338.86552177100003</v>
      </c>
      <c r="I79">
        <f t="shared" si="73"/>
        <v>9657.1597080070005</v>
      </c>
      <c r="J79">
        <f t="shared" si="67"/>
        <v>98.27084871927687</v>
      </c>
      <c r="K79" s="6">
        <f t="shared" si="68"/>
        <v>192.61086348978267</v>
      </c>
      <c r="M79" s="2">
        <f>'rockfish harvests'!O78</f>
        <v>634.65346126205668</v>
      </c>
      <c r="N79">
        <f>'rockfish harvests'!P78</f>
        <v>37160.4054962316</v>
      </c>
      <c r="O79">
        <f>IF([1]species_comp_Region2_forR!$D89&gt;49,[1]species_comp_Region2_forR!$N89,[1]species_comp_Region2_forR!$P89)</f>
        <v>0.65</v>
      </c>
      <c r="P79">
        <f>IF([1]species_comp_Region2_forR!$D89&gt;49,[1]species_comp_Region2_forR!$O89,[1]species_comp_Region2_forR!$Q89)</f>
        <v>3.8559319999999998E-3</v>
      </c>
      <c r="Q79" s="13">
        <f t="shared" si="62"/>
        <v>412.52474982033687</v>
      </c>
      <c r="R79" s="2">
        <f t="shared" si="74"/>
        <v>17396.670950741867</v>
      </c>
      <c r="S79">
        <f t="shared" si="69"/>
        <v>131.89644025045507</v>
      </c>
      <c r="T79" s="6">
        <f t="shared" si="70"/>
        <v>258.51702289089195</v>
      </c>
      <c r="V79" s="13">
        <f t="shared" si="63"/>
        <v>751.39027159133684</v>
      </c>
      <c r="W79">
        <f t="shared" si="64"/>
        <v>27053.83065874887</v>
      </c>
      <c r="X79">
        <f t="shared" si="71"/>
        <v>164.48048716716787</v>
      </c>
      <c r="Y79" s="6">
        <f t="shared" si="72"/>
        <v>322.38175484764901</v>
      </c>
      <c r="Z79" s="14">
        <f t="shared" ref="Z79:Z124" si="99">X79/V79</f>
        <v>0.2189015394341236</v>
      </c>
    </row>
    <row r="80" spans="1:26" x14ac:dyDescent="0.3">
      <c r="A80" t="str">
        <f>'rockfish harvests'!A79</f>
        <v>SC</v>
      </c>
      <c r="B80">
        <f>'rockfish harvests'!B79</f>
        <v>2000</v>
      </c>
      <c r="C80" t="str">
        <f>'rockfish harvests'!C79</f>
        <v>CI</v>
      </c>
      <c r="D80">
        <f>'rockfish harvests'!D79</f>
        <v>1400</v>
      </c>
      <c r="E80">
        <v>1225</v>
      </c>
      <c r="F80" s="32">
        <v>0.41886961900000003</v>
      </c>
      <c r="G80" s="32">
        <v>1.4755447E-2</v>
      </c>
      <c r="H80" s="7">
        <f t="shared" si="66"/>
        <v>513.11528327500002</v>
      </c>
      <c r="I80">
        <f t="shared" si="73"/>
        <v>22142.392654374999</v>
      </c>
      <c r="J80">
        <f t="shared" si="67"/>
        <v>148.80320108913986</v>
      </c>
      <c r="K80" s="6">
        <f t="shared" si="68"/>
        <v>291.65427413471411</v>
      </c>
      <c r="M80" s="2">
        <f>'rockfish harvests'!O79</f>
        <v>975.31816220294104</v>
      </c>
      <c r="N80">
        <f>'rockfish harvests'!P79</f>
        <v>87760.635979344952</v>
      </c>
      <c r="O80" s="32">
        <v>0.39812478499999998</v>
      </c>
      <c r="P80" s="32">
        <v>2.2348521999999999E-2</v>
      </c>
      <c r="Q80" s="13">
        <f t="shared" si="62"/>
        <v>388.29833363364099</v>
      </c>
      <c r="R80" s="2">
        <f t="shared" si="74"/>
        <v>37130.606191824518</v>
      </c>
      <c r="S80">
        <f t="shared" si="69"/>
        <v>192.6930361788524</v>
      </c>
      <c r="T80" s="6">
        <f t="shared" si="70"/>
        <v>377.67835091055071</v>
      </c>
      <c r="V80" s="13">
        <f t="shared" si="63"/>
        <v>901.41361690864096</v>
      </c>
      <c r="W80">
        <f t="shared" si="64"/>
        <v>59272.998846199516</v>
      </c>
      <c r="X80">
        <f t="shared" si="71"/>
        <v>243.46046670085786</v>
      </c>
      <c r="Y80" s="6">
        <f t="shared" si="72"/>
        <v>477.18251473368139</v>
      </c>
      <c r="Z80" s="14">
        <f t="shared" si="99"/>
        <v>0.27008740730564401</v>
      </c>
    </row>
    <row r="81" spans="1:26" x14ac:dyDescent="0.3">
      <c r="A81" t="str">
        <f>'rockfish harvests'!A80</f>
        <v>SC</v>
      </c>
      <c r="B81">
        <f>'rockfish harvests'!B80</f>
        <v>2001</v>
      </c>
      <c r="C81" t="str">
        <f>'rockfish harvests'!C80</f>
        <v>CI</v>
      </c>
      <c r="D81">
        <f>'rockfish harvests'!D80</f>
        <v>763</v>
      </c>
      <c r="E81">
        <v>694</v>
      </c>
      <c r="F81" s="32">
        <v>0.41886961900000003</v>
      </c>
      <c r="G81" s="32">
        <v>1.4755447E-2</v>
      </c>
      <c r="H81" s="7">
        <f t="shared" si="66"/>
        <v>290.695515586</v>
      </c>
      <c r="I81">
        <f t="shared" si="73"/>
        <v>7106.7544712919998</v>
      </c>
      <c r="J81">
        <f t="shared" si="67"/>
        <v>84.30156861703108</v>
      </c>
      <c r="K81" s="6">
        <f t="shared" si="68"/>
        <v>165.23107448938092</v>
      </c>
      <c r="M81" s="2">
        <f>'rockfish harvests'!O80</f>
        <v>531.54839840060276</v>
      </c>
      <c r="N81">
        <f>'rockfish harvests'!P80</f>
        <v>26067.102901764931</v>
      </c>
      <c r="O81">
        <f>IF([1]species_comp_Region2_forR!$D91&gt;49,[1]species_comp_Region2_forR!$N91,[1]species_comp_Region2_forR!$P91)</f>
        <v>0.53571428600000004</v>
      </c>
      <c r="P81">
        <f>IF([1]species_comp_Region2_forR!$D91&gt;49,[1]species_comp_Region2_forR!$O91,[1]species_comp_Region2_forR!$Q91)</f>
        <v>4.5222630000000003E-3</v>
      </c>
      <c r="Q81" s="13">
        <f t="shared" si="62"/>
        <v>284.7580707236225</v>
      </c>
      <c r="R81" s="2">
        <f t="shared" si="74"/>
        <v>8876.6117645898648</v>
      </c>
      <c r="S81">
        <f t="shared" si="69"/>
        <v>94.215772376974471</v>
      </c>
      <c r="T81" s="6">
        <f t="shared" si="70"/>
        <v>184.66291385886996</v>
      </c>
      <c r="V81" s="13">
        <f t="shared" si="63"/>
        <v>575.45358630962255</v>
      </c>
      <c r="W81">
        <f t="shared" si="64"/>
        <v>15983.366235881866</v>
      </c>
      <c r="X81">
        <f t="shared" si="71"/>
        <v>126.4253385832202</v>
      </c>
      <c r="Y81" s="6">
        <f t="shared" si="72"/>
        <v>247.79366362311157</v>
      </c>
      <c r="Z81" s="14">
        <f t="shared" si="99"/>
        <v>0.21969684713233692</v>
      </c>
    </row>
    <row r="82" spans="1:26" x14ac:dyDescent="0.3">
      <c r="A82" t="str">
        <f>'rockfish harvests'!A81</f>
        <v>SC</v>
      </c>
      <c r="B82">
        <f>'rockfish harvests'!B81</f>
        <v>2002</v>
      </c>
      <c r="C82" t="str">
        <f>'rockfish harvests'!C81</f>
        <v>CI</v>
      </c>
      <c r="D82">
        <f>'rockfish harvests'!D81</f>
        <v>2378</v>
      </c>
      <c r="E82">
        <v>2107</v>
      </c>
      <c r="F82" s="32">
        <v>0.41886961900000003</v>
      </c>
      <c r="G82" s="32">
        <v>1.4755447E-2</v>
      </c>
      <c r="H82" s="7">
        <f t="shared" si="66"/>
        <v>882.5582872330001</v>
      </c>
      <c r="I82">
        <f t="shared" si="73"/>
        <v>65506.054428702999</v>
      </c>
      <c r="J82">
        <f t="shared" si="67"/>
        <v>255.94150587332058</v>
      </c>
      <c r="K82" s="6">
        <f t="shared" si="68"/>
        <v>501.64535151170833</v>
      </c>
      <c r="M82" s="2">
        <f>'rockfish harvests'!O81</f>
        <v>1656.6475640847098</v>
      </c>
      <c r="N82">
        <f>'rockfish harvests'!P81</f>
        <v>253202.15113746023</v>
      </c>
      <c r="O82" s="32">
        <v>0.39812478499999998</v>
      </c>
      <c r="P82" s="32">
        <v>2.2348521999999999E-2</v>
      </c>
      <c r="Q82" s="13">
        <f t="shared" si="62"/>
        <v>659.55245527199872</v>
      </c>
      <c r="R82" s="2">
        <f t="shared" si="74"/>
        <v>107127.17901247417</v>
      </c>
      <c r="S82">
        <f t="shared" si="69"/>
        <v>327.30288573807928</v>
      </c>
      <c r="T82" s="6">
        <f t="shared" si="70"/>
        <v>641.51365604663533</v>
      </c>
      <c r="V82" s="13">
        <f t="shared" si="63"/>
        <v>1542.1107425049988</v>
      </c>
      <c r="W82">
        <f t="shared" si="64"/>
        <v>172633.23344117717</v>
      </c>
      <c r="X82">
        <f t="shared" si="71"/>
        <v>415.49155640178441</v>
      </c>
      <c r="Y82" s="6">
        <f t="shared" si="72"/>
        <v>814.36345054749745</v>
      </c>
      <c r="Z82" s="14">
        <f t="shared" si="99"/>
        <v>0.26943042736792139</v>
      </c>
    </row>
    <row r="83" spans="1:26" x14ac:dyDescent="0.3">
      <c r="A83" t="str">
        <f>'rockfish harvests'!A82</f>
        <v>SC</v>
      </c>
      <c r="B83">
        <f>'rockfish harvests'!B82</f>
        <v>2003</v>
      </c>
      <c r="C83" t="str">
        <f>'rockfish harvests'!C82</f>
        <v>CI</v>
      </c>
      <c r="D83">
        <f>'rockfish harvests'!D82</f>
        <v>4623</v>
      </c>
      <c r="E83">
        <v>4247</v>
      </c>
      <c r="F83">
        <f>IF([1]species_comp_Region2_forR!$G66&gt;49,[1]species_comp_Region2_forR!$AD66,[1]species_comp_Region2_forR!$AF66)</f>
        <v>0.59615384599999999</v>
      </c>
      <c r="G83">
        <f>IF([1]species_comp_Region2_forR!$G66&gt;49,[1]species_comp_Region2_forR!$AE66,[1]species_comp_Region2_forR!$AG66)</f>
        <v>4.7206749999999997E-3</v>
      </c>
      <c r="H83" s="7">
        <f t="shared" si="66"/>
        <v>2531.8653839620001</v>
      </c>
      <c r="I83">
        <f t="shared" si="73"/>
        <v>85146.857461074993</v>
      </c>
      <c r="J83">
        <f t="shared" si="67"/>
        <v>291.79934451789813</v>
      </c>
      <c r="K83" s="6">
        <f t="shared" si="68"/>
        <v>571.92671525508035</v>
      </c>
      <c r="M83" s="2">
        <f>'rockfish harvests'!O82</f>
        <v>3220.6399027601401</v>
      </c>
      <c r="N83">
        <f>'rockfish harvests'!P82</f>
        <v>956954.91493500082</v>
      </c>
      <c r="O83" s="32">
        <v>0.39812478499999998</v>
      </c>
      <c r="P83" s="32">
        <v>2.2348521999999999E-2</v>
      </c>
      <c r="Q83" s="13">
        <f t="shared" si="62"/>
        <v>1282.2165688488017</v>
      </c>
      <c r="R83" s="2">
        <f t="shared" si="74"/>
        <v>404877.60478564911</v>
      </c>
      <c r="S83">
        <f t="shared" si="69"/>
        <v>636.29993303916751</v>
      </c>
      <c r="T83" s="6">
        <f t="shared" si="70"/>
        <v>1247.1478687567683</v>
      </c>
      <c r="V83" s="13">
        <f t="shared" si="63"/>
        <v>3814.0819528108018</v>
      </c>
      <c r="W83">
        <f t="shared" si="64"/>
        <v>490024.46224672411</v>
      </c>
      <c r="X83">
        <f t="shared" si="71"/>
        <v>700.01747281530345</v>
      </c>
      <c r="Y83" s="6">
        <f t="shared" si="72"/>
        <v>1372.0342467179948</v>
      </c>
      <c r="Z83" s="14">
        <f t="shared" si="99"/>
        <v>0.18353498468993909</v>
      </c>
    </row>
    <row r="84" spans="1:26" x14ac:dyDescent="0.3">
      <c r="A84" t="str">
        <f>'rockfish harvests'!A83</f>
        <v>SC</v>
      </c>
      <c r="B84">
        <f>'rockfish harvests'!B83</f>
        <v>2004</v>
      </c>
      <c r="C84" t="str">
        <f>'rockfish harvests'!C83</f>
        <v>CI</v>
      </c>
      <c r="D84">
        <f>'rockfish harvests'!D83</f>
        <v>4736</v>
      </c>
      <c r="E84">
        <v>4470</v>
      </c>
      <c r="F84" s="32">
        <v>0.41886961900000003</v>
      </c>
      <c r="G84" s="32">
        <v>1.4755447E-2</v>
      </c>
      <c r="H84" s="7">
        <f t="shared" si="66"/>
        <v>1872.3471969300001</v>
      </c>
      <c r="I84">
        <f t="shared" si="73"/>
        <v>294827.11096229998</v>
      </c>
      <c r="J84">
        <f t="shared" si="67"/>
        <v>542.97984397424921</v>
      </c>
      <c r="K84" s="6">
        <f t="shared" si="68"/>
        <v>1064.2404941895284</v>
      </c>
      <c r="M84" s="2">
        <f>'rockfish harvests'!O83</f>
        <v>3299.3620115665199</v>
      </c>
      <c r="N84">
        <f>'rockfish harvests'!P83</f>
        <v>1004308.3600935558</v>
      </c>
      <c r="O84" s="32">
        <v>0.39812478499999998</v>
      </c>
      <c r="P84" s="32">
        <v>2.2348521999999999E-2</v>
      </c>
      <c r="Q84" s="13">
        <f t="shared" si="62"/>
        <v>1313.5577914920882</v>
      </c>
      <c r="R84" s="2">
        <f t="shared" si="74"/>
        <v>424912.35162160278</v>
      </c>
      <c r="S84">
        <f t="shared" si="69"/>
        <v>651.85301381646059</v>
      </c>
      <c r="T84" s="6">
        <f t="shared" si="70"/>
        <v>1277.6319070802626</v>
      </c>
      <c r="V84" s="13">
        <f t="shared" si="63"/>
        <v>3185.9049884220885</v>
      </c>
      <c r="W84">
        <f t="shared" si="64"/>
        <v>719739.46258390276</v>
      </c>
      <c r="X84">
        <f t="shared" si="71"/>
        <v>848.37460038823815</v>
      </c>
      <c r="Y84" s="6">
        <f t="shared" si="72"/>
        <v>1662.8142167609467</v>
      </c>
      <c r="Z84" s="14">
        <f t="shared" si="99"/>
        <v>0.26628998776527235</v>
      </c>
    </row>
    <row r="85" spans="1:26" x14ac:dyDescent="0.3">
      <c r="A85" t="str">
        <f>'rockfish harvests'!A84</f>
        <v>SC</v>
      </c>
      <c r="B85">
        <f>'rockfish harvests'!B84</f>
        <v>2005</v>
      </c>
      <c r="C85" t="str">
        <f>'rockfish harvests'!C84</f>
        <v>CI</v>
      </c>
      <c r="D85">
        <f>'rockfish harvests'!D84</f>
        <v>3615</v>
      </c>
      <c r="E85">
        <v>3460</v>
      </c>
      <c r="F85">
        <f>IF([1]species_comp_Region2_forR!$G68&gt;49,[1]species_comp_Region2_forR!$AD68,[1]species_comp_Region2_forR!$AF68)</f>
        <v>0.467741935</v>
      </c>
      <c r="G85">
        <f>IF([1]species_comp_Region2_forR!$G68&gt;49,[1]species_comp_Region2_forR!$AE68,[1]species_comp_Region2_forR!$AG68)</f>
        <v>4.0813020000000002E-3</v>
      </c>
      <c r="H85" s="7">
        <f t="shared" si="66"/>
        <v>1618.3870950999999</v>
      </c>
      <c r="I85">
        <f t="shared" si="73"/>
        <v>48859.715023200006</v>
      </c>
      <c r="J85">
        <f t="shared" si="67"/>
        <v>221.04233762607561</v>
      </c>
      <c r="K85" s="6">
        <f t="shared" si="68"/>
        <v>433.24298174710816</v>
      </c>
      <c r="M85" s="2">
        <f>'rockfish harvests'!O84</f>
        <v>2518.4108259740224</v>
      </c>
      <c r="N85">
        <f>'rockfish harvests'!P84</f>
        <v>585140.68220468122</v>
      </c>
      <c r="O85" s="32">
        <v>0.39812478499999998</v>
      </c>
      <c r="P85" s="32">
        <v>2.2348521999999999E-2</v>
      </c>
      <c r="Q85" s="13">
        <f t="shared" si="62"/>
        <v>1002.64176863258</v>
      </c>
      <c r="R85" s="2">
        <f t="shared" si="74"/>
        <v>247566.89596997749</v>
      </c>
      <c r="S85">
        <f t="shared" si="69"/>
        <v>497.5609469903938</v>
      </c>
      <c r="T85" s="6">
        <f t="shared" si="70"/>
        <v>975.21945610117189</v>
      </c>
      <c r="V85" s="13">
        <f t="shared" si="63"/>
        <v>2621.0288637325798</v>
      </c>
      <c r="W85">
        <f t="shared" si="64"/>
        <v>296426.61099317751</v>
      </c>
      <c r="X85">
        <f t="shared" si="71"/>
        <v>544.45074248565174</v>
      </c>
      <c r="Y85" s="6">
        <f t="shared" si="72"/>
        <v>1067.1234552718774</v>
      </c>
      <c r="Z85" s="14">
        <f t="shared" si="99"/>
        <v>0.20772405448076797</v>
      </c>
    </row>
    <row r="86" spans="1:26" x14ac:dyDescent="0.3">
      <c r="A86" t="str">
        <f>'rockfish harvests'!A85</f>
        <v>SC</v>
      </c>
      <c r="B86">
        <f>'rockfish harvests'!B85</f>
        <v>2006</v>
      </c>
      <c r="C86" t="str">
        <f>'rockfish harvests'!C85</f>
        <v>CI</v>
      </c>
      <c r="D86">
        <f>'rockfish harvests'!D85</f>
        <v>2463</v>
      </c>
      <c r="E86">
        <v>2250</v>
      </c>
      <c r="F86" s="32">
        <v>0.41886961900000003</v>
      </c>
      <c r="G86" s="32">
        <v>1.4755447E-2</v>
      </c>
      <c r="H86" s="7">
        <f t="shared" si="66"/>
        <v>942.45664275000001</v>
      </c>
      <c r="I86">
        <f t="shared" si="73"/>
        <v>74699.450437499996</v>
      </c>
      <c r="J86">
        <f t="shared" si="67"/>
        <v>273.31200200046101</v>
      </c>
      <c r="K86" s="6">
        <f t="shared" si="68"/>
        <v>535.69152392090359</v>
      </c>
      <c r="M86" s="2">
        <f>'rockfish harvests'!O85</f>
        <v>1715.8633096470312</v>
      </c>
      <c r="N86">
        <f>'rockfish harvests'!P85</f>
        <v>271626.73547213408</v>
      </c>
      <c r="O86" s="32">
        <v>0.39812478499999998</v>
      </c>
      <c r="P86" s="32">
        <v>2.2348521999999999E-2</v>
      </c>
      <c r="Q86" s="13">
        <f t="shared" si="62"/>
        <v>683.12771124261269</v>
      </c>
      <c r="R86" s="2">
        <f t="shared" si="74"/>
        <v>114922.42773127157</v>
      </c>
      <c r="S86">
        <f t="shared" si="69"/>
        <v>339.00210579179532</v>
      </c>
      <c r="T86" s="6">
        <f t="shared" si="70"/>
        <v>664.44412735191884</v>
      </c>
      <c r="V86" s="13">
        <f t="shared" si="63"/>
        <v>1625.5843539926127</v>
      </c>
      <c r="W86">
        <f t="shared" si="64"/>
        <v>189621.87816877157</v>
      </c>
      <c r="X86">
        <f t="shared" si="71"/>
        <v>435.4559428561879</v>
      </c>
      <c r="Y86" s="6">
        <f t="shared" si="72"/>
        <v>853.49364799812827</v>
      </c>
      <c r="Z86" s="14">
        <f t="shared" si="99"/>
        <v>0.26787655884276973</v>
      </c>
    </row>
    <row r="87" spans="1:26" x14ac:dyDescent="0.3">
      <c r="A87" t="str">
        <f>'rockfish harvests'!A86</f>
        <v>SC</v>
      </c>
      <c r="B87">
        <f>'rockfish harvests'!B86</f>
        <v>2007</v>
      </c>
      <c r="C87" t="str">
        <f>'rockfish harvests'!C86</f>
        <v>CI</v>
      </c>
      <c r="D87">
        <f>'rockfish harvests'!D86</f>
        <v>2559</v>
      </c>
      <c r="E87">
        <v>2365</v>
      </c>
      <c r="F87" s="32">
        <v>0.41886961900000003</v>
      </c>
      <c r="G87" s="32">
        <v>1.4755447E-2</v>
      </c>
      <c r="H87" s="7">
        <f t="shared" si="66"/>
        <v>990.62664893500005</v>
      </c>
      <c r="I87">
        <f t="shared" si="73"/>
        <v>82530.535046574994</v>
      </c>
      <c r="J87">
        <f t="shared" si="67"/>
        <v>287.28128210270677</v>
      </c>
      <c r="K87" s="6">
        <f t="shared" si="68"/>
        <v>563.07131292130521</v>
      </c>
      <c r="M87" s="2">
        <f>'rockfish harvests'!O86</f>
        <v>1782.7422693409471</v>
      </c>
      <c r="N87">
        <f>'rockfish harvests'!P86</f>
        <v>293213.70268298819</v>
      </c>
      <c r="O87" s="32">
        <v>0.39812478499999998</v>
      </c>
      <c r="P87" s="32">
        <v>2.2348521999999999E-2</v>
      </c>
      <c r="Q87" s="13">
        <f t="shared" si="62"/>
        <v>709.75388269177665</v>
      </c>
      <c r="R87" s="2">
        <f t="shared" si="74"/>
        <v>124055.64753349243</v>
      </c>
      <c r="S87">
        <f t="shared" si="69"/>
        <v>352.21534255834518</v>
      </c>
      <c r="T87" s="6">
        <f t="shared" si="70"/>
        <v>690.3420714143565</v>
      </c>
      <c r="V87" s="13">
        <f t="shared" si="63"/>
        <v>1700.3805316267767</v>
      </c>
      <c r="W87">
        <f t="shared" si="64"/>
        <v>206586.18258006743</v>
      </c>
      <c r="X87">
        <f t="shared" si="71"/>
        <v>454.5175272528744</v>
      </c>
      <c r="Y87" s="6">
        <f t="shared" si="72"/>
        <v>890.8543534156338</v>
      </c>
      <c r="Z87" s="14">
        <f t="shared" si="99"/>
        <v>0.26730341755796949</v>
      </c>
    </row>
    <row r="88" spans="1:26" x14ac:dyDescent="0.3">
      <c r="A88" t="str">
        <f>'rockfish harvests'!A87</f>
        <v>SC</v>
      </c>
      <c r="B88">
        <f>'rockfish harvests'!B87</f>
        <v>2008</v>
      </c>
      <c r="C88" t="str">
        <f>'rockfish harvests'!C87</f>
        <v>CI</v>
      </c>
      <c r="D88">
        <f>'rockfish harvests'!D87</f>
        <v>2163</v>
      </c>
      <c r="E88">
        <v>2006</v>
      </c>
      <c r="F88" s="32">
        <v>0.41886961900000003</v>
      </c>
      <c r="G88" s="32">
        <v>1.4755447E-2</v>
      </c>
      <c r="H88" s="7">
        <f t="shared" si="66"/>
        <v>840.25245571400001</v>
      </c>
      <c r="I88">
        <f t="shared" si="73"/>
        <v>59376.449924091998</v>
      </c>
      <c r="J88">
        <f t="shared" si="67"/>
        <v>243.67283378352212</v>
      </c>
      <c r="K88" s="6">
        <f t="shared" si="68"/>
        <v>477.59875421570337</v>
      </c>
      <c r="M88" s="2">
        <f>'rockfish harvests'!O87</f>
        <v>1506.8665606035438</v>
      </c>
      <c r="N88">
        <f>'rockfish harvests'!P87</f>
        <v>209486.83209859589</v>
      </c>
      <c r="O88" s="32">
        <v>0.39812478499999998</v>
      </c>
      <c r="P88" s="32">
        <v>2.2348521999999999E-2</v>
      </c>
      <c r="Q88" s="13">
        <f t="shared" si="62"/>
        <v>599.92092546397532</v>
      </c>
      <c r="R88" s="2">
        <f t="shared" si="74"/>
        <v>88631.685245039916</v>
      </c>
      <c r="S88">
        <f t="shared" si="69"/>
        <v>297.71074089632697</v>
      </c>
      <c r="T88" s="6">
        <f t="shared" si="70"/>
        <v>583.51305215680088</v>
      </c>
      <c r="V88" s="13">
        <f t="shared" si="63"/>
        <v>1440.1733811779754</v>
      </c>
      <c r="W88">
        <f t="shared" si="64"/>
        <v>148008.13516913191</v>
      </c>
      <c r="X88">
        <f t="shared" si="71"/>
        <v>384.71825427074799</v>
      </c>
      <c r="Y88" s="6">
        <f t="shared" si="72"/>
        <v>754.04777837066604</v>
      </c>
      <c r="Z88" s="14">
        <f t="shared" si="99"/>
        <v>0.26713329054594215</v>
      </c>
    </row>
    <row r="89" spans="1:26" x14ac:dyDescent="0.3">
      <c r="A89" t="str">
        <f>'rockfish harvests'!A88</f>
        <v>SC</v>
      </c>
      <c r="B89">
        <f>'rockfish harvests'!B88</f>
        <v>2009</v>
      </c>
      <c r="C89" t="str">
        <f>'rockfish harvests'!C88</f>
        <v>CI</v>
      </c>
      <c r="D89">
        <f>'rockfish harvests'!D88</f>
        <v>2918</v>
      </c>
      <c r="E89">
        <v>2662</v>
      </c>
      <c r="F89">
        <f>IF([1]species_comp_Region2_forR!$G72&gt;49,[1]species_comp_Region2_forR!$AD72,[1]species_comp_Region2_forR!$AF72)</f>
        <v>0.42592592600000001</v>
      </c>
      <c r="G89">
        <f>IF([1]species_comp_Region2_forR!$G72&gt;49,[1]species_comp_Region2_forR!$AE72,[1]species_comp_Region2_forR!$AG72)</f>
        <v>4.613453E-3</v>
      </c>
      <c r="H89" s="7">
        <f t="shared" si="66"/>
        <v>1133.8148150120001</v>
      </c>
      <c r="I89">
        <f t="shared" si="73"/>
        <v>32692.053640532002</v>
      </c>
      <c r="J89">
        <f t="shared" si="67"/>
        <v>180.80944013112813</v>
      </c>
      <c r="K89" s="6">
        <f t="shared" si="68"/>
        <v>354.38650265701114</v>
      </c>
      <c r="M89" s="2">
        <f>'rockfish harvests'!O88</f>
        <v>2032.841712362987</v>
      </c>
      <c r="N89">
        <f>'rockfish harvests'!P88</f>
        <v>381253.87419826118</v>
      </c>
      <c r="O89" s="91">
        <v>0.32394366200000002</v>
      </c>
      <c r="P89" s="91">
        <v>3.1286310000000002E-3</v>
      </c>
      <c r="Q89" s="13">
        <f t="shared" si="62"/>
        <v>658.52618856921674</v>
      </c>
      <c r="R89" s="2">
        <f t="shared" si="74"/>
        <v>54130.289023632788</v>
      </c>
      <c r="S89">
        <f t="shared" si="69"/>
        <v>232.65916922320682</v>
      </c>
      <c r="T89" s="6">
        <f t="shared" si="70"/>
        <v>456.01197167748535</v>
      </c>
      <c r="V89" s="13">
        <f t="shared" si="63"/>
        <v>1792.3410035812167</v>
      </c>
      <c r="W89">
        <f t="shared" si="64"/>
        <v>86822.342664164782</v>
      </c>
      <c r="X89">
        <f t="shared" si="71"/>
        <v>294.6563127851918</v>
      </c>
      <c r="Y89" s="6">
        <f t="shared" si="72"/>
        <v>577.52637305897588</v>
      </c>
      <c r="Z89" s="14">
        <f t="shared" si="99"/>
        <v>0.16439746242285863</v>
      </c>
    </row>
    <row r="90" spans="1:26" x14ac:dyDescent="0.3">
      <c r="A90" t="str">
        <f>'rockfish harvests'!A89</f>
        <v>SC</v>
      </c>
      <c r="B90">
        <f>'rockfish harvests'!B89</f>
        <v>2010</v>
      </c>
      <c r="C90" t="str">
        <f>'rockfish harvests'!C89</f>
        <v>CI</v>
      </c>
      <c r="D90">
        <f>'rockfish harvests'!D89</f>
        <v>4422</v>
      </c>
      <c r="E90">
        <v>3249</v>
      </c>
      <c r="F90">
        <f>IF([1]species_comp_Region2_forR!$G73&gt;49,[1]species_comp_Region2_forR!$AD73,[1]species_comp_Region2_forR!$AF73)</f>
        <v>0.26168224299999998</v>
      </c>
      <c r="G90">
        <f>IF([1]species_comp_Region2_forR!$G73&gt;49,[1]species_comp_Region2_forR!$AE73,[1]species_comp_Region2_forR!$AG73)</f>
        <v>6.0376500000000003E-4</v>
      </c>
      <c r="H90" s="7">
        <f t="shared" si="66"/>
        <v>850.20560750699997</v>
      </c>
      <c r="I90">
        <f t="shared" si="73"/>
        <v>6373.3439437650004</v>
      </c>
      <c r="J90">
        <f t="shared" si="67"/>
        <v>79.833225813347923</v>
      </c>
      <c r="K90" s="6">
        <f t="shared" si="68"/>
        <v>156.47312259416194</v>
      </c>
      <c r="M90" s="2">
        <f>'rockfish harvests'!O89</f>
        <v>3080.6120809010035</v>
      </c>
      <c r="N90">
        <f>'rockfish harvests'!P89</f>
        <v>875550.43256812927</v>
      </c>
      <c r="O90" s="91">
        <v>0.25454545499999998</v>
      </c>
      <c r="P90" s="91">
        <v>5.7675399999999996E-4</v>
      </c>
      <c r="Q90" s="13">
        <f t="shared" si="62"/>
        <v>784.15580381144264</v>
      </c>
      <c r="R90" s="2">
        <f t="shared" si="74"/>
        <v>62708.35064955835</v>
      </c>
      <c r="S90">
        <f t="shared" si="69"/>
        <v>250.41635459681612</v>
      </c>
      <c r="T90" s="6">
        <f t="shared" si="70"/>
        <v>490.81605500975957</v>
      </c>
      <c r="V90" s="13">
        <f t="shared" si="63"/>
        <v>1634.3614113184426</v>
      </c>
      <c r="W90">
        <f t="shared" si="64"/>
        <v>69081.694593323351</v>
      </c>
      <c r="X90">
        <f t="shared" si="71"/>
        <v>262.83396773119597</v>
      </c>
      <c r="Y90" s="6">
        <f t="shared" si="72"/>
        <v>515.15457675314406</v>
      </c>
      <c r="Z90" s="14">
        <f t="shared" si="99"/>
        <v>0.16081753149027625</v>
      </c>
    </row>
    <row r="91" spans="1:26" x14ac:dyDescent="0.3">
      <c r="A91" t="str">
        <f>'rockfish harvests'!A90</f>
        <v>SC</v>
      </c>
      <c r="B91">
        <f>'rockfish harvests'!B90</f>
        <v>2011</v>
      </c>
      <c r="C91" t="str">
        <f>'rockfish harvests'!C90</f>
        <v>CI</v>
      </c>
      <c r="D91">
        <f>'rockfish harvests'!D90</f>
        <v>3046</v>
      </c>
      <c r="E91">
        <v>2570</v>
      </c>
      <c r="F91">
        <f>IF([1]species_comp_Region2_forR!$G74&gt;49,[1]species_comp_Region2_forR!$AD74,[1]species_comp_Region2_forR!$AF74)</f>
        <v>0.365853659</v>
      </c>
      <c r="G91">
        <f>IF([1]species_comp_Region2_forR!$G74&gt;49,[1]species_comp_Region2_forR!$AE74,[1]species_comp_Region2_forR!$AG74)</f>
        <v>2.8642559999999999E-3</v>
      </c>
      <c r="H91" s="7">
        <f t="shared" si="66"/>
        <v>940.24390362999998</v>
      </c>
      <c r="I91">
        <f t="shared" si="73"/>
        <v>18918.1244544</v>
      </c>
      <c r="J91">
        <f t="shared" si="67"/>
        <v>137.54317305631713</v>
      </c>
      <c r="K91" s="6">
        <f t="shared" si="68"/>
        <v>269.58461919038155</v>
      </c>
      <c r="M91" s="2">
        <f>'rockfish harvests'!O90</f>
        <v>2195.2886731391591</v>
      </c>
      <c r="N91">
        <f>'rockfish harvests'!P90</f>
        <v>347241.00971171423</v>
      </c>
      <c r="O91" s="91">
        <v>0.32608695700000001</v>
      </c>
      <c r="P91" s="91">
        <v>2.4148820000000001E-3</v>
      </c>
      <c r="Q91" s="13">
        <f t="shared" si="62"/>
        <v>715.85500316051605</v>
      </c>
      <c r="R91" s="2">
        <f t="shared" si="74"/>
        <v>49399.643770661824</v>
      </c>
      <c r="S91">
        <f t="shared" si="69"/>
        <v>222.26030633170157</v>
      </c>
      <c r="T91" s="6">
        <f t="shared" si="70"/>
        <v>435.63020041013505</v>
      </c>
      <c r="V91" s="13">
        <f t="shared" si="63"/>
        <v>1656.0989067905161</v>
      </c>
      <c r="W91">
        <f t="shared" si="64"/>
        <v>68317.768225061824</v>
      </c>
      <c r="X91">
        <f t="shared" si="71"/>
        <v>261.37667880869139</v>
      </c>
      <c r="Y91" s="6">
        <f t="shared" si="72"/>
        <v>512.29829046503517</v>
      </c>
      <c r="Z91" s="14">
        <f t="shared" si="99"/>
        <v>0.15782673229054522</v>
      </c>
    </row>
    <row r="92" spans="1:26" x14ac:dyDescent="0.3">
      <c r="A92" t="str">
        <f>'rockfish harvests'!A91</f>
        <v>SC</v>
      </c>
      <c r="B92">
        <f>'rockfish harvests'!B91</f>
        <v>2012</v>
      </c>
      <c r="C92" t="str">
        <f>'rockfish harvests'!C91</f>
        <v>CI</v>
      </c>
      <c r="D92">
        <f>'rockfish harvests'!D91</f>
        <v>4677</v>
      </c>
      <c r="E92">
        <v>4109</v>
      </c>
      <c r="F92">
        <f>IF([1]species_comp_Region2_forR!$G75&gt;49,[1]species_comp_Region2_forR!$AD75,[1]species_comp_Region2_forR!$AF75)</f>
        <v>0.18421052600000001</v>
      </c>
      <c r="G92">
        <f>IF([1]species_comp_Region2_forR!$G75&gt;49,[1]species_comp_Region2_forR!$AE75,[1]species_comp_Region2_forR!$AG75)</f>
        <v>7.9511600000000001E-4</v>
      </c>
      <c r="H92" s="7">
        <f t="shared" si="66"/>
        <v>756.92105133400003</v>
      </c>
      <c r="I92">
        <f t="shared" si="73"/>
        <v>13424.643925196</v>
      </c>
      <c r="J92">
        <f t="shared" si="67"/>
        <v>115.86476567617957</v>
      </c>
      <c r="K92" s="6">
        <f t="shared" si="68"/>
        <v>227.09494072531197</v>
      </c>
      <c r="M92" s="2">
        <f>'rockfish harvests'!O91</f>
        <v>5339.9412080536913</v>
      </c>
      <c r="N92">
        <f>'rockfish harvests'!P91</f>
        <v>1729256.1604569755</v>
      </c>
      <c r="O92" s="91">
        <v>0.185185185</v>
      </c>
      <c r="P92" s="91">
        <v>7.0182199999999995E-4</v>
      </c>
      <c r="Q92" s="13">
        <f t="shared" si="62"/>
        <v>988.87800050254634</v>
      </c>
      <c r="R92" s="2">
        <f t="shared" si="74"/>
        <v>80528.40211567565</v>
      </c>
      <c r="S92">
        <f t="shared" si="69"/>
        <v>283.77526692027908</v>
      </c>
      <c r="T92" s="6">
        <f t="shared" si="70"/>
        <v>556.19952316374702</v>
      </c>
      <c r="V92" s="13">
        <f t="shared" si="63"/>
        <v>1745.7990518365464</v>
      </c>
      <c r="W92">
        <f t="shared" si="64"/>
        <v>93953.046040871646</v>
      </c>
      <c r="X92">
        <f t="shared" si="71"/>
        <v>306.51761130622111</v>
      </c>
      <c r="Y92" s="6">
        <f t="shared" si="72"/>
        <v>600.77451816019334</v>
      </c>
      <c r="Z92" s="14">
        <f t="shared" si="99"/>
        <v>0.17557439442057812</v>
      </c>
    </row>
    <row r="93" spans="1:26" x14ac:dyDescent="0.3">
      <c r="A93" t="str">
        <f>'rockfish harvests'!A92</f>
        <v>SC</v>
      </c>
      <c r="B93">
        <f>'rockfish harvests'!B92</f>
        <v>2013</v>
      </c>
      <c r="C93" t="str">
        <f>'rockfish harvests'!C92</f>
        <v>CI</v>
      </c>
      <c r="D93">
        <f>'rockfish harvests'!D92</f>
        <v>4808</v>
      </c>
      <c r="E93">
        <v>4380</v>
      </c>
      <c r="F93">
        <f>IF([1]species_comp_Region2_forR!$G76&gt;49,[1]species_comp_Region2_forR!$AD76,[1]species_comp_Region2_forR!$AF76)</f>
        <v>0.40579710099999999</v>
      </c>
      <c r="G93">
        <f>IF([1]species_comp_Region2_forR!$G76&gt;49,[1]species_comp_Region2_forR!$AE76,[1]species_comp_Region2_forR!$AG76)</f>
        <v>3.545968E-3</v>
      </c>
      <c r="H93" s="7">
        <f t="shared" si="66"/>
        <v>1777.3913023800001</v>
      </c>
      <c r="I93">
        <f t="shared" si="73"/>
        <v>68027.268499199999</v>
      </c>
      <c r="J93">
        <f t="shared" si="67"/>
        <v>260.82037592795547</v>
      </c>
      <c r="K93" s="6">
        <f t="shared" si="68"/>
        <v>511.20793681879269</v>
      </c>
      <c r="M93" s="2">
        <f>'rockfish harvests'!O92</f>
        <v>3482.4354718850645</v>
      </c>
      <c r="N93">
        <f>'rockfish harvests'!P92</f>
        <v>863231.70507392555</v>
      </c>
      <c r="O93" s="91">
        <v>0.35135135099999998</v>
      </c>
      <c r="P93" s="91">
        <v>3.1219669999999998E-3</v>
      </c>
      <c r="Q93" s="13">
        <f t="shared" si="62"/>
        <v>1223.5584078171398</v>
      </c>
      <c r="R93" s="2">
        <f t="shared" si="74"/>
        <v>147120.21925412514</v>
      </c>
      <c r="S93">
        <f t="shared" si="69"/>
        <v>383.56253630161166</v>
      </c>
      <c r="T93" s="6">
        <f t="shared" si="70"/>
        <v>751.78257115115889</v>
      </c>
      <c r="V93" s="13">
        <f t="shared" si="63"/>
        <v>3000.9497101971401</v>
      </c>
      <c r="W93">
        <f t="shared" si="64"/>
        <v>215147.48775332514</v>
      </c>
      <c r="X93">
        <f t="shared" si="71"/>
        <v>463.83993764371468</v>
      </c>
      <c r="Y93" s="6">
        <f t="shared" si="72"/>
        <v>909.12627778168076</v>
      </c>
      <c r="Z93" s="14">
        <f t="shared" si="99"/>
        <v>0.15456438209130929</v>
      </c>
    </row>
    <row r="94" spans="1:26" x14ac:dyDescent="0.3">
      <c r="A94" t="str">
        <f>'rockfish harvests'!A93</f>
        <v>SC</v>
      </c>
      <c r="B94">
        <f>'rockfish harvests'!B93</f>
        <v>2014</v>
      </c>
      <c r="C94" t="str">
        <f>'rockfish harvests'!C93</f>
        <v>CI</v>
      </c>
      <c r="D94">
        <f>'rockfish harvests'!D93</f>
        <v>4731</v>
      </c>
      <c r="E94">
        <v>4369</v>
      </c>
      <c r="F94">
        <f>IF([1]species_comp_Region2_forR!$G77&gt;49,[1]species_comp_Region2_forR!$AD77,[1]species_comp_Region2_forR!$AF77)</f>
        <v>0.40410958899999999</v>
      </c>
      <c r="G94">
        <f>IF([1]species_comp_Region2_forR!$G77&gt;49,[1]species_comp_Region2_forR!$AE77,[1]species_comp_Region2_forR!$AG77)</f>
        <v>1.6607239999999999E-3</v>
      </c>
      <c r="H94" s="7">
        <f t="shared" si="66"/>
        <v>1765.5547943409999</v>
      </c>
      <c r="I94">
        <f t="shared" si="73"/>
        <v>31700.167088563998</v>
      </c>
      <c r="J94">
        <f t="shared" si="67"/>
        <v>178.04540737846622</v>
      </c>
      <c r="K94" s="6">
        <f t="shared" si="68"/>
        <v>348.96899846179377</v>
      </c>
      <c r="M94" s="2">
        <f>'rockfish harvests'!O93</f>
        <v>3444.6502099319532</v>
      </c>
      <c r="N94">
        <f>'rockfish harvests'!P93</f>
        <v>609818.57296968682</v>
      </c>
      <c r="O94" s="91">
        <v>0.41860465099999999</v>
      </c>
      <c r="P94" s="91">
        <v>1.1372649999999999E-3</v>
      </c>
      <c r="Q94" s="13">
        <f t="shared" si="62"/>
        <v>1441.9465989456419</v>
      </c>
      <c r="R94" s="2">
        <f t="shared" si="74"/>
        <v>121046.2934502725</v>
      </c>
      <c r="S94">
        <f t="shared" si="69"/>
        <v>347.91707841132563</v>
      </c>
      <c r="T94" s="6">
        <f t="shared" si="70"/>
        <v>681.91747368619826</v>
      </c>
      <c r="V94" s="13">
        <f t="shared" si="63"/>
        <v>3207.5013932866418</v>
      </c>
      <c r="W94">
        <f t="shared" si="64"/>
        <v>152746.46053883649</v>
      </c>
      <c r="X94">
        <f t="shared" si="71"/>
        <v>390.82791678542679</v>
      </c>
      <c r="Y94" s="6">
        <f t="shared" si="72"/>
        <v>766.02271689943655</v>
      </c>
      <c r="Z94" s="14">
        <f t="shared" si="99"/>
        <v>0.12184808948280948</v>
      </c>
    </row>
    <row r="95" spans="1:26" x14ac:dyDescent="0.3">
      <c r="A95" t="str">
        <f>'rockfish harvests'!A94</f>
        <v>SC</v>
      </c>
      <c r="B95">
        <f>'rockfish harvests'!B94</f>
        <v>2015</v>
      </c>
      <c r="C95" t="str">
        <f>'rockfish harvests'!C94</f>
        <v>CI</v>
      </c>
      <c r="D95">
        <f>'rockfish harvests'!D94</f>
        <v>6321</v>
      </c>
      <c r="E95">
        <v>5864</v>
      </c>
      <c r="F95">
        <f>IF([1]species_comp_Region2_forR!$G78&gt;49,[1]species_comp_Region2_forR!$AD78,[1]species_comp_Region2_forR!$AF78)</f>
        <v>0.428571429</v>
      </c>
      <c r="G95">
        <f>IF([1]species_comp_Region2_forR!$G78&gt;49,[1]species_comp_Region2_forR!$AE78,[1]species_comp_Region2_forR!$AG78)</f>
        <v>3.9499670000000004E-3</v>
      </c>
      <c r="H95" s="7">
        <f t="shared" si="66"/>
        <v>2513.1428596559999</v>
      </c>
      <c r="I95">
        <f t="shared" si="73"/>
        <v>135825.52444563201</v>
      </c>
      <c r="J95">
        <f t="shared" si="67"/>
        <v>368.54514573608481</v>
      </c>
      <c r="K95" s="6">
        <f t="shared" si="68"/>
        <v>722.34848564272625</v>
      </c>
      <c r="M95" s="2">
        <f>'rockfish harvests'!O94</f>
        <v>4002.3757374073521</v>
      </c>
      <c r="N95">
        <f>'rockfish harvests'!P94</f>
        <v>811336.58070905623</v>
      </c>
      <c r="O95" s="91">
        <v>0.39583333300000001</v>
      </c>
      <c r="P95" s="91">
        <v>2.5173610000000001E-3</v>
      </c>
      <c r="Q95" s="13">
        <f t="shared" si="62"/>
        <v>1584.2737280562849</v>
      </c>
      <c r="R95" s="2">
        <f t="shared" si="74"/>
        <v>169491.545118865</v>
      </c>
      <c r="S95">
        <f t="shared" si="69"/>
        <v>411.69350871596822</v>
      </c>
      <c r="T95" s="6">
        <f t="shared" si="70"/>
        <v>806.91927708329774</v>
      </c>
      <c r="V95" s="13">
        <f t="shared" si="63"/>
        <v>4097.416587712285</v>
      </c>
      <c r="W95">
        <f t="shared" si="64"/>
        <v>305317.06956449698</v>
      </c>
      <c r="X95">
        <f t="shared" si="71"/>
        <v>552.55503758856185</v>
      </c>
      <c r="Y95" s="6">
        <f t="shared" si="72"/>
        <v>1083.0078736735811</v>
      </c>
      <c r="Z95" s="14">
        <f t="shared" si="99"/>
        <v>0.13485449325450954</v>
      </c>
    </row>
    <row r="96" spans="1:26" x14ac:dyDescent="0.3">
      <c r="A96" t="str">
        <f>'rockfish harvests'!A95</f>
        <v>SC</v>
      </c>
      <c r="B96">
        <f>'rockfish harvests'!B95</f>
        <v>2016</v>
      </c>
      <c r="C96" t="str">
        <f>'rockfish harvests'!C95</f>
        <v>CI</v>
      </c>
      <c r="D96">
        <f>'rockfish harvests'!D95</f>
        <v>10123</v>
      </c>
      <c r="E96">
        <v>9344</v>
      </c>
      <c r="F96">
        <f>IF([1]species_comp_Region2_forR!$G79&gt;49,[1]species_comp_Region2_forR!$AD79,[1]species_comp_Region2_forR!$AF79)</f>
        <v>0.39047619</v>
      </c>
      <c r="G96">
        <f>IF([1]species_comp_Region2_forR!$G79&gt;49,[1]species_comp_Region2_forR!$AE79,[1]species_comp_Region2_forR!$AG79)</f>
        <v>2.2885050000000001E-3</v>
      </c>
      <c r="H96" s="7">
        <f t="shared" si="66"/>
        <v>3648.6095193599999</v>
      </c>
      <c r="I96">
        <f t="shared" si="73"/>
        <v>199810.14048768001</v>
      </c>
      <c r="J96">
        <f t="shared" si="67"/>
        <v>447.00127571146822</v>
      </c>
      <c r="K96" s="6">
        <f t="shared" si="68"/>
        <v>876.1225003944777</v>
      </c>
      <c r="M96" s="2">
        <f>'rockfish harvests'!O95</f>
        <v>6323.0304871660555</v>
      </c>
      <c r="N96">
        <f>'rockfish harvests'!P95</f>
        <v>1298638.7245062976</v>
      </c>
      <c r="O96" s="91">
        <v>0.31818181800000001</v>
      </c>
      <c r="P96" s="91">
        <v>1.990295E-3</v>
      </c>
      <c r="Q96" s="13">
        <f t="shared" si="62"/>
        <v>2011.8733356759212</v>
      </c>
      <c r="R96" s="2">
        <f t="shared" si="74"/>
        <v>213631.84542553168</v>
      </c>
      <c r="S96">
        <f t="shared" si="69"/>
        <v>462.20325120614598</v>
      </c>
      <c r="T96" s="6">
        <f t="shared" si="70"/>
        <v>905.91837236404615</v>
      </c>
      <c r="V96" s="13">
        <f t="shared" si="63"/>
        <v>5660.4828550359216</v>
      </c>
      <c r="W96">
        <f t="shared" si="64"/>
        <v>413441.98591321171</v>
      </c>
      <c r="X96">
        <f t="shared" si="71"/>
        <v>642.99454578807411</v>
      </c>
      <c r="Y96" s="6">
        <f t="shared" si="72"/>
        <v>1260.2693097446252</v>
      </c>
      <c r="Z96" s="14">
        <f t="shared" si="99"/>
        <v>0.1135935859634352</v>
      </c>
    </row>
    <row r="97" spans="1:26" x14ac:dyDescent="0.3">
      <c r="A97" t="str">
        <f>'rockfish harvests'!A96</f>
        <v>SC</v>
      </c>
      <c r="B97">
        <f>'rockfish harvests'!B96</f>
        <v>2017</v>
      </c>
      <c r="C97" t="str">
        <f>'rockfish harvests'!C96</f>
        <v>CI</v>
      </c>
      <c r="D97">
        <f>'rockfish harvests'!D96</f>
        <v>8376</v>
      </c>
      <c r="E97">
        <v>7453</v>
      </c>
      <c r="F97">
        <f>IF([1]species_comp_Region2_forR!$G80&gt;49,[1]species_comp_Region2_forR!$AD80,[1]species_comp_Region2_forR!$AF80)</f>
        <v>0.60810810800000004</v>
      </c>
      <c r="G97">
        <f>IF([1]species_comp_Region2_forR!$G80&gt;49,[1]species_comp_Region2_forR!$AE80,[1]species_comp_Region2_forR!$AG80)</f>
        <v>3.264557E-3</v>
      </c>
      <c r="H97" s="7">
        <f t="shared" si="66"/>
        <v>4532.2297289240005</v>
      </c>
      <c r="I97">
        <f t="shared" si="73"/>
        <v>181337.02997141299</v>
      </c>
      <c r="J97">
        <f t="shared" si="67"/>
        <v>425.8368583993323</v>
      </c>
      <c r="K97" s="6">
        <f t="shared" si="68"/>
        <v>834.64024246269128</v>
      </c>
      <c r="M97" s="2">
        <f>'rockfish harvests'!O96</f>
        <v>3322.4902609334804</v>
      </c>
      <c r="N97">
        <f>'rockfish harvests'!P96</f>
        <v>525119.78521776723</v>
      </c>
      <c r="O97" s="91">
        <v>0.58441558400000004</v>
      </c>
      <c r="P97" s="91">
        <v>3.195711E-3</v>
      </c>
      <c r="Q97" s="13">
        <f t="shared" si="62"/>
        <v>1941.7150861777525</v>
      </c>
      <c r="R97" s="2">
        <f t="shared" si="74"/>
        <v>216305.63637599046</v>
      </c>
      <c r="S97">
        <f t="shared" si="69"/>
        <v>465.08669769838662</v>
      </c>
      <c r="T97" s="6">
        <f t="shared" si="70"/>
        <v>911.56992748883772</v>
      </c>
      <c r="V97" s="13">
        <f t="shared" si="63"/>
        <v>6473.9448151017532</v>
      </c>
      <c r="W97">
        <f t="shared" si="64"/>
        <v>397642.66634740343</v>
      </c>
      <c r="X97">
        <f t="shared" si="71"/>
        <v>630.58914226888135</v>
      </c>
      <c r="Y97" s="6">
        <f t="shared" si="72"/>
        <v>1235.9547188470074</v>
      </c>
      <c r="Z97" s="14">
        <f t="shared" si="99"/>
        <v>9.7404157786131845E-2</v>
      </c>
    </row>
    <row r="98" spans="1:26" x14ac:dyDescent="0.3">
      <c r="A98" t="str">
        <f>'rockfish harvests'!A97</f>
        <v>SC</v>
      </c>
      <c r="B98">
        <f>'rockfish harvests'!B97</f>
        <v>2018</v>
      </c>
      <c r="C98" t="str">
        <f>'rockfish harvests'!C97</f>
        <v>CI</v>
      </c>
      <c r="D98">
        <f>'rockfish harvests'!D97</f>
        <v>13009</v>
      </c>
      <c r="E98">
        <v>11978</v>
      </c>
      <c r="F98">
        <f>IF([1]species_comp_Region2_forR!$G81&gt;49,[1]species_comp_Region2_forR!$AD81,[1]species_comp_Region2_forR!$AF81)</f>
        <v>0.487804878</v>
      </c>
      <c r="G98">
        <f>IF([1]species_comp_Region2_forR!$G81&gt;49,[1]species_comp_Region2_forR!$AE81,[1]species_comp_Region2_forR!$AG81)</f>
        <v>8.7360599999999997E-4</v>
      </c>
      <c r="H98" s="7">
        <f t="shared" si="66"/>
        <v>5842.9268286839997</v>
      </c>
      <c r="I98">
        <f t="shared" si="73"/>
        <v>125338.422857304</v>
      </c>
      <c r="J98">
        <f t="shared" si="67"/>
        <v>354.0316692858197</v>
      </c>
      <c r="K98" s="6">
        <f t="shared" si="68"/>
        <v>693.90207180020661</v>
      </c>
      <c r="M98" s="2">
        <f>'rockfish harvests'!O97</f>
        <v>10029.600289296046</v>
      </c>
      <c r="N98">
        <f>'rockfish harvests'!P97</f>
        <v>5460886.0967642423</v>
      </c>
      <c r="O98" s="91">
        <v>0.44951140099999998</v>
      </c>
      <c r="P98" s="91">
        <v>8.0866300000000005E-4</v>
      </c>
      <c r="Q98" s="13">
        <f t="shared" si="62"/>
        <v>4508.4196775114706</v>
      </c>
      <c r="R98" s="2">
        <f t="shared" si="74"/>
        <v>1189191.1313697</v>
      </c>
      <c r="S98">
        <f t="shared" si="69"/>
        <v>1090.5004041125799</v>
      </c>
      <c r="T98" s="6">
        <f t="shared" si="70"/>
        <v>2137.3807920606564</v>
      </c>
      <c r="V98" s="13">
        <f t="shared" si="63"/>
        <v>10351.34650619547</v>
      </c>
      <c r="W98">
        <f t="shared" si="64"/>
        <v>1314529.5542270041</v>
      </c>
      <c r="X98">
        <f t="shared" si="71"/>
        <v>1146.5293516639704</v>
      </c>
      <c r="Y98" s="6">
        <f t="shared" si="72"/>
        <v>2247.197529261382</v>
      </c>
      <c r="Z98" s="14">
        <f t="shared" si="99"/>
        <v>0.11076137302308947</v>
      </c>
    </row>
    <row r="99" spans="1:26" x14ac:dyDescent="0.3">
      <c r="A99" t="str">
        <f>'rockfish harvests'!A98</f>
        <v>SC</v>
      </c>
      <c r="B99">
        <f>'rockfish harvests'!B98</f>
        <v>2019</v>
      </c>
      <c r="C99" t="str">
        <f>'rockfish harvests'!C98</f>
        <v>CI</v>
      </c>
      <c r="D99">
        <f>'rockfish harvests'!D98</f>
        <v>16061</v>
      </c>
      <c r="E99">
        <v>15076</v>
      </c>
      <c r="F99">
        <f>IF([1]species_comp_Region2_forR!$G82&gt;49,[1]species_comp_Region2_forR!$AD82,[1]species_comp_Region2_forR!$AF82)</f>
        <v>0.8</v>
      </c>
      <c r="G99">
        <f>IF([1]species_comp_Region2_forR!$G82&gt;49,[1]species_comp_Region2_forR!$AE82,[1]species_comp_Region2_forR!$AG82)</f>
        <v>5.9479599999999997E-4</v>
      </c>
      <c r="H99" s="7">
        <f>E99*F99</f>
        <v>12060.800000000001</v>
      </c>
      <c r="I99">
        <f>(E99^2)*G99</f>
        <v>135188.67042169601</v>
      </c>
      <c r="J99">
        <f>SQRT(I99)</f>
        <v>367.6801196987621</v>
      </c>
      <c r="K99" s="6">
        <f>(1.96*J99)</f>
        <v>720.65303460957375</v>
      </c>
      <c r="M99" s="2">
        <f>'rockfish harvests'!O98</f>
        <v>11565.493536535585</v>
      </c>
      <c r="N99">
        <f>'rockfish harvests'!P98</f>
        <v>7400162.779370754</v>
      </c>
      <c r="O99" s="91">
        <v>0.76868327400000003</v>
      </c>
      <c r="P99" s="91">
        <v>6.3503300000000002E-4</v>
      </c>
      <c r="Q99" s="13">
        <f>M99*O99</f>
        <v>8890.2014370900124</v>
      </c>
      <c r="R99" s="2">
        <f t="shared" si="74"/>
        <v>4462205.3710200526</v>
      </c>
      <c r="S99">
        <f>SQRT(R99)</f>
        <v>2112.3932803860298</v>
      </c>
      <c r="T99" s="6">
        <f>(1.96*S99)</f>
        <v>4140.2908295566185</v>
      </c>
      <c r="V99" s="13">
        <f>Q99+H99</f>
        <v>20951.001437090013</v>
      </c>
      <c r="W99">
        <f>R99+I99</f>
        <v>4597394.0414417489</v>
      </c>
      <c r="X99">
        <f>SQRT(W99)</f>
        <v>2144.1534556653701</v>
      </c>
      <c r="Y99" s="6">
        <f>(1.96*X99)</f>
        <v>4202.540773104125</v>
      </c>
      <c r="Z99" s="14">
        <f t="shared" si="99"/>
        <v>0.10234133495258745</v>
      </c>
    </row>
    <row r="100" spans="1:26" x14ac:dyDescent="0.3">
      <c r="A100" t="str">
        <f>'rockfish harvests'!A99</f>
        <v>SC</v>
      </c>
      <c r="B100">
        <f>'rockfish harvests'!B99</f>
        <v>2020</v>
      </c>
      <c r="C100" t="str">
        <f>'rockfish harvests'!C99</f>
        <v>CI</v>
      </c>
      <c r="D100">
        <f>'rockfish harvests'!D99</f>
        <v>9784</v>
      </c>
      <c r="E100">
        <v>9134</v>
      </c>
      <c r="F100">
        <v>0.81456953642384111</v>
      </c>
      <c r="G100">
        <v>1.0069733783605978E-3</v>
      </c>
      <c r="H100" s="7">
        <f t="shared" ref="H100:H101" si="100">E100*F100</f>
        <v>7440.2781456953644</v>
      </c>
      <c r="I100">
        <f t="shared" ref="I100:I101" si="101">(E100^2)*G100</f>
        <v>84011.744649796034</v>
      </c>
      <c r="J100">
        <f t="shared" ref="J100:J102" si="102">SQRT(I100)</f>
        <v>289.84779566144027</v>
      </c>
      <c r="K100" s="6">
        <f t="shared" ref="K100:K102" si="103">(1.96*J100)</f>
        <v>568.10167949642289</v>
      </c>
      <c r="M100" s="2">
        <f>'rockfish harvests'!O99</f>
        <v>10340.813008130081</v>
      </c>
      <c r="N100">
        <f>'rockfish harvests'!P99</f>
        <v>6856537.925024569</v>
      </c>
      <c r="O100" s="91">
        <v>0.77358490599999996</v>
      </c>
      <c r="P100" s="91">
        <v>1.108553E-3</v>
      </c>
      <c r="Q100" s="13">
        <f t="shared" ref="Q100:Q101" si="104">M100*O100</f>
        <v>7999.4968588578849</v>
      </c>
      <c r="R100" s="2">
        <f t="shared" si="74"/>
        <v>4229323.8042284641</v>
      </c>
      <c r="S100">
        <f t="shared" ref="S100:S102" si="105">SQRT(R100)</f>
        <v>2056.5319847326627</v>
      </c>
      <c r="T100" s="6">
        <f t="shared" ref="T100:T102" si="106">(1.96*S100)</f>
        <v>4030.8026900760187</v>
      </c>
      <c r="V100" s="13">
        <f t="shared" ref="V100:V102" si="107">Q100+H100</f>
        <v>15439.775004553248</v>
      </c>
      <c r="W100">
        <f t="shared" ref="W100:W102" si="108">R100+I100</f>
        <v>4313335.54887826</v>
      </c>
      <c r="X100">
        <f t="shared" ref="X100:X102" si="109">SQRT(W100)</f>
        <v>2076.8571325149596</v>
      </c>
      <c r="Y100" s="6">
        <f t="shared" ref="Y100:Y102" si="110">(1.96*X100)</f>
        <v>4070.6399797293207</v>
      </c>
      <c r="Z100" s="14">
        <f t="shared" ref="Z100:Z102" si="111">X100/V100</f>
        <v>0.13451343247569908</v>
      </c>
    </row>
    <row r="101" spans="1:26" x14ac:dyDescent="0.3">
      <c r="A101" t="str">
        <f>'rockfish harvests'!A100</f>
        <v>SC</v>
      </c>
      <c r="B101">
        <f>'rockfish harvests'!B100</f>
        <v>2021</v>
      </c>
      <c r="C101" t="str">
        <f>'rockfish harvests'!C100</f>
        <v>CI</v>
      </c>
      <c r="D101">
        <f>'rockfish harvests'!D100</f>
        <v>14326</v>
      </c>
      <c r="E101">
        <v>13225</v>
      </c>
      <c r="F101">
        <v>0.83838383838383834</v>
      </c>
      <c r="G101">
        <v>1.3826161012308203E-3</v>
      </c>
      <c r="H101" s="7">
        <f t="shared" si="100"/>
        <v>11087.626262626261</v>
      </c>
      <c r="I101">
        <f t="shared" si="101"/>
        <v>241820.42024033374</v>
      </c>
      <c r="J101">
        <f t="shared" si="102"/>
        <v>491.75239728986958</v>
      </c>
      <c r="K101" s="6">
        <f t="shared" si="103"/>
        <v>963.83469868814439</v>
      </c>
      <c r="M101" s="2">
        <f>'rockfish harvests'!O100</f>
        <v>7068.2694391332043</v>
      </c>
      <c r="N101">
        <f>'rockfish harvests'!P100</f>
        <v>3061133.8312190818</v>
      </c>
      <c r="O101" s="91">
        <v>0.80582524300000002</v>
      </c>
      <c r="P101" s="91">
        <v>1.5340289999999999E-3</v>
      </c>
      <c r="Q101" s="13">
        <f t="shared" si="104"/>
        <v>5695.7899383789882</v>
      </c>
      <c r="R101" s="2">
        <f t="shared" si="74"/>
        <v>2069097.1052423907</v>
      </c>
      <c r="S101">
        <f t="shared" si="105"/>
        <v>1438.4356451514925</v>
      </c>
      <c r="T101" s="6">
        <f t="shared" si="106"/>
        <v>2819.3338644969253</v>
      </c>
      <c r="V101" s="13">
        <f t="shared" si="107"/>
        <v>16783.41620100525</v>
      </c>
      <c r="W101">
        <f t="shared" si="108"/>
        <v>2310917.5254827244</v>
      </c>
      <c r="X101">
        <f t="shared" si="109"/>
        <v>1520.1702291134122</v>
      </c>
      <c r="Y101" s="6">
        <f t="shared" si="110"/>
        <v>2979.5336490622881</v>
      </c>
      <c r="Z101" s="14">
        <f t="shared" si="111"/>
        <v>9.0575733265934322E-2</v>
      </c>
    </row>
    <row r="102" spans="1:26" s="51" customFormat="1" x14ac:dyDescent="0.3">
      <c r="A102" s="51" t="s">
        <v>81</v>
      </c>
      <c r="B102" s="51">
        <v>2022</v>
      </c>
      <c r="C102" s="51" t="s">
        <v>47</v>
      </c>
      <c r="D102">
        <f>'rockfish harvests'!D101</f>
        <v>13586</v>
      </c>
      <c r="E102">
        <v>12464</v>
      </c>
      <c r="F102" s="51">
        <v>0.76646706600000003</v>
      </c>
      <c r="G102" s="51">
        <v>1.078285E-3</v>
      </c>
      <c r="H102" s="7">
        <f t="shared" ref="H102" si="112">E102*F102</f>
        <v>9553.2455106239995</v>
      </c>
      <c r="I102">
        <f t="shared" ref="I102" si="113">(E102^2)*G102</f>
        <v>167512.97220736</v>
      </c>
      <c r="J102">
        <f t="shared" si="102"/>
        <v>409.28348636044433</v>
      </c>
      <c r="K102" s="6">
        <f t="shared" si="103"/>
        <v>802.19563326647085</v>
      </c>
      <c r="M102" s="2">
        <f>'rockfish harvests'!O101</f>
        <v>9088.4127991764581</v>
      </c>
      <c r="N102">
        <f>'rockfish harvests'!P101</f>
        <v>3966049.882434688</v>
      </c>
      <c r="O102" s="91">
        <v>0.74418604700000002</v>
      </c>
      <c r="P102" s="91">
        <v>1.113293E-3</v>
      </c>
      <c r="Q102" s="13">
        <f t="shared" ref="Q102" si="114">M102*O102</f>
        <v>6763.4699945233333</v>
      </c>
      <c r="R102" s="2">
        <f t="shared" si="74"/>
        <v>2292822.0173596693</v>
      </c>
      <c r="S102">
        <f t="shared" si="105"/>
        <v>1514.2067287393982</v>
      </c>
      <c r="T102" s="6">
        <f t="shared" si="106"/>
        <v>2967.8451883292205</v>
      </c>
      <c r="V102" s="13">
        <f t="shared" si="107"/>
        <v>16316.715505147333</v>
      </c>
      <c r="W102">
        <f t="shared" si="108"/>
        <v>2460334.9895670293</v>
      </c>
      <c r="X102">
        <f t="shared" si="109"/>
        <v>1568.5455012740399</v>
      </c>
      <c r="Y102" s="6">
        <f t="shared" si="110"/>
        <v>3074.3491824971184</v>
      </c>
      <c r="Z102" s="14">
        <f t="shared" si="111"/>
        <v>9.6131203659169065E-2</v>
      </c>
    </row>
    <row r="103" spans="1:26" x14ac:dyDescent="0.3">
      <c r="A103" t="str">
        <f>'rockfish harvests'!A102</f>
        <v>SC</v>
      </c>
      <c r="B103">
        <f>'rockfish harvests'!B102</f>
        <v>1998</v>
      </c>
      <c r="C103" t="str">
        <f>'rockfish harvests'!C102</f>
        <v>EASTSIDE</v>
      </c>
      <c r="D103">
        <f>'rockfish harvests'!D102</f>
        <v>157</v>
      </c>
      <c r="E103">
        <v>75</v>
      </c>
      <c r="F103" s="32">
        <v>0.94230769199999997</v>
      </c>
      <c r="G103" s="32">
        <v>2.7272310000000001E-3</v>
      </c>
      <c r="H103" s="7">
        <f t="shared" si="66"/>
        <v>70.673076899999998</v>
      </c>
      <c r="I103">
        <f t="shared" si="73"/>
        <v>15.340674375000001</v>
      </c>
      <c r="J103">
        <f t="shared" si="67"/>
        <v>3.9167172957720604</v>
      </c>
      <c r="K103" s="6">
        <f t="shared" si="68"/>
        <v>7.6767658997132386</v>
      </c>
      <c r="M103" s="2">
        <f>'rockfish harvests'!O102</f>
        <v>22.108315533666314</v>
      </c>
      <c r="N103">
        <f>'rockfish harvests'!P102</f>
        <v>350.7410435791694</v>
      </c>
      <c r="O103" s="27">
        <f>O153</f>
        <v>0.83333333300000001</v>
      </c>
      <c r="P103" s="27">
        <f t="shared" ref="O103:P127" si="115">P153</f>
        <v>1.5605490000000001E-3</v>
      </c>
      <c r="Q103" s="13">
        <f t="shared" si="62"/>
        <v>18.423596270685824</v>
      </c>
      <c r="R103" s="2">
        <f t="shared" si="74"/>
        <v>244.88027896162072</v>
      </c>
      <c r="S103">
        <f t="shared" si="69"/>
        <v>15.648651026897516</v>
      </c>
      <c r="T103" s="6">
        <f t="shared" si="70"/>
        <v>30.67135601271913</v>
      </c>
      <c r="V103" s="13">
        <f t="shared" si="63"/>
        <v>89.096673170685818</v>
      </c>
      <c r="W103">
        <f t="shared" si="64"/>
        <v>260.22095333662071</v>
      </c>
      <c r="X103">
        <f t="shared" si="71"/>
        <v>16.131365513700963</v>
      </c>
      <c r="Y103" s="6">
        <f t="shared" si="72"/>
        <v>31.617476406853889</v>
      </c>
      <c r="Z103" s="14">
        <f t="shared" si="99"/>
        <v>0.1810546335753469</v>
      </c>
    </row>
    <row r="104" spans="1:26" x14ac:dyDescent="0.3">
      <c r="A104" t="str">
        <f>'rockfish harvests'!A103</f>
        <v>SC</v>
      </c>
      <c r="B104">
        <f>'rockfish harvests'!B103</f>
        <v>1999</v>
      </c>
      <c r="C104" t="str">
        <f>'rockfish harvests'!C103</f>
        <v>EASTSIDE</v>
      </c>
      <c r="D104">
        <f>'rockfish harvests'!D103</f>
        <v>121</v>
      </c>
      <c r="E104">
        <v>100</v>
      </c>
      <c r="F104" s="32">
        <v>0.94230769199999997</v>
      </c>
      <c r="G104" s="32">
        <v>2.7272310000000001E-3</v>
      </c>
      <c r="H104" s="7">
        <f t="shared" si="66"/>
        <v>94.230769199999997</v>
      </c>
      <c r="I104">
        <f t="shared" si="73"/>
        <v>27.272310000000001</v>
      </c>
      <c r="J104">
        <f t="shared" si="67"/>
        <v>5.2222897276960802</v>
      </c>
      <c r="K104" s="6">
        <f t="shared" si="68"/>
        <v>10.235687866284318</v>
      </c>
      <c r="M104" s="2">
        <f>'rockfish harvests'!O103</f>
        <v>16.687051745013036</v>
      </c>
      <c r="N104">
        <f>'rockfish harvests'!P103</f>
        <v>206.21704461477333</v>
      </c>
      <c r="O104" s="27">
        <f t="shared" si="115"/>
        <v>0.71300448400000005</v>
      </c>
      <c r="P104" s="27">
        <f t="shared" si="115"/>
        <v>9.2175299999999998E-4</v>
      </c>
      <c r="Q104" s="13">
        <f t="shared" si="62"/>
        <v>11.897942718934321</v>
      </c>
      <c r="R104" s="2">
        <f t="shared" si="74"/>
        <v>105.28242174377245</v>
      </c>
      <c r="S104">
        <f t="shared" si="69"/>
        <v>10.26072228177785</v>
      </c>
      <c r="T104" s="6">
        <f t="shared" si="70"/>
        <v>20.111015672284587</v>
      </c>
      <c r="V104" s="13">
        <f t="shared" si="63"/>
        <v>106.12871191893431</v>
      </c>
      <c r="W104">
        <f t="shared" si="64"/>
        <v>132.55473174377244</v>
      </c>
      <c r="X104">
        <f t="shared" si="71"/>
        <v>11.513241582793807</v>
      </c>
      <c r="Y104" s="6">
        <f t="shared" si="72"/>
        <v>22.56595350227586</v>
      </c>
      <c r="Z104" s="14">
        <f t="shared" si="99"/>
        <v>0.10848375877385676</v>
      </c>
    </row>
    <row r="105" spans="1:26" x14ac:dyDescent="0.3">
      <c r="A105" t="str">
        <f>'rockfish harvests'!A104</f>
        <v>SC</v>
      </c>
      <c r="B105">
        <f>'rockfish harvests'!B104</f>
        <v>2000</v>
      </c>
      <c r="C105" t="str">
        <f>'rockfish harvests'!C104</f>
        <v>EASTSIDE</v>
      </c>
      <c r="D105">
        <f>'rockfish harvests'!D104</f>
        <v>423</v>
      </c>
      <c r="E105">
        <v>380</v>
      </c>
      <c r="F105" s="32">
        <v>0.94230769199999997</v>
      </c>
      <c r="G105" s="32">
        <v>2.7272310000000001E-3</v>
      </c>
      <c r="H105" s="7">
        <f t="shared" si="66"/>
        <v>358.07692295999999</v>
      </c>
      <c r="I105">
        <f t="shared" si="73"/>
        <v>393.81215639999999</v>
      </c>
      <c r="J105">
        <f t="shared" si="67"/>
        <v>19.844700965245107</v>
      </c>
      <c r="K105" s="6">
        <f t="shared" si="68"/>
        <v>38.895613891880409</v>
      </c>
      <c r="M105" s="2">
        <f>'rockfish harvests'!O104</f>
        <v>58.335726348268736</v>
      </c>
      <c r="N105">
        <f>'rockfish harvests'!P104</f>
        <v>2520.1973619204136</v>
      </c>
      <c r="O105" s="27">
        <f t="shared" si="115"/>
        <v>0.743589744</v>
      </c>
      <c r="P105" s="27">
        <f t="shared" si="115"/>
        <v>9.828040000000001E-4</v>
      </c>
      <c r="Q105" s="13">
        <f t="shared" si="62"/>
        <v>43.377847821363204</v>
      </c>
      <c r="R105" s="2">
        <f t="shared" si="74"/>
        <v>1399.3033071310917</v>
      </c>
      <c r="S105">
        <f t="shared" si="69"/>
        <v>37.40726275913665</v>
      </c>
      <c r="T105" s="6">
        <f t="shared" si="70"/>
        <v>73.31823500790783</v>
      </c>
      <c r="V105" s="13">
        <f t="shared" si="63"/>
        <v>401.45477078136321</v>
      </c>
      <c r="W105">
        <f t="shared" si="64"/>
        <v>1793.1154635310918</v>
      </c>
      <c r="X105">
        <f t="shared" si="71"/>
        <v>42.345194101941388</v>
      </c>
      <c r="Y105" s="6">
        <f t="shared" si="72"/>
        <v>82.996580439805115</v>
      </c>
      <c r="Z105" s="14">
        <f t="shared" si="99"/>
        <v>0.10547936451103494</v>
      </c>
    </row>
    <row r="106" spans="1:26" x14ac:dyDescent="0.3">
      <c r="A106" t="str">
        <f>'rockfish harvests'!A105</f>
        <v>SC</v>
      </c>
      <c r="B106">
        <f>'rockfish harvests'!B105</f>
        <v>2001</v>
      </c>
      <c r="C106" t="str">
        <f>'rockfish harvests'!C105</f>
        <v>EASTSIDE</v>
      </c>
      <c r="D106">
        <f>'rockfish harvests'!D105</f>
        <v>298</v>
      </c>
      <c r="E106">
        <v>231</v>
      </c>
      <c r="F106" s="32">
        <v>0.94230769199999997</v>
      </c>
      <c r="G106" s="32">
        <v>2.7272310000000001E-3</v>
      </c>
      <c r="H106" s="7">
        <f t="shared" si="66"/>
        <v>217.67307685200001</v>
      </c>
      <c r="I106">
        <f t="shared" si="73"/>
        <v>145.52777339100001</v>
      </c>
      <c r="J106">
        <f t="shared" si="67"/>
        <v>12.063489270977946</v>
      </c>
      <c r="K106" s="6">
        <f t="shared" si="68"/>
        <v>23.644438971116774</v>
      </c>
      <c r="M106" s="2">
        <f>'rockfish harvests'!O105</f>
        <v>41.097036529040395</v>
      </c>
      <c r="N106">
        <f>'rockfish harvests'!P105</f>
        <v>1250.7956034403612</v>
      </c>
      <c r="O106" s="27">
        <f t="shared" si="115"/>
        <v>0.82022471900000005</v>
      </c>
      <c r="P106" s="27">
        <f t="shared" si="115"/>
        <v>1.6756379999999999E-3</v>
      </c>
      <c r="Q106" s="13">
        <f t="shared" si="62"/>
        <v>33.708805238764896</v>
      </c>
      <c r="R106" s="2">
        <f t="shared" si="74"/>
        <v>846.42197102092484</v>
      </c>
      <c r="S106">
        <f t="shared" si="69"/>
        <v>29.093332071471718</v>
      </c>
      <c r="T106" s="6">
        <f t="shared" si="70"/>
        <v>57.022930860084564</v>
      </c>
      <c r="V106" s="13">
        <f t="shared" si="63"/>
        <v>251.38188209076492</v>
      </c>
      <c r="W106">
        <f t="shared" si="64"/>
        <v>991.94974441192483</v>
      </c>
      <c r="X106">
        <f t="shared" si="71"/>
        <v>31.49523367768407</v>
      </c>
      <c r="Y106" s="6">
        <f t="shared" si="72"/>
        <v>61.730658008260775</v>
      </c>
      <c r="Z106" s="14">
        <f t="shared" si="99"/>
        <v>0.1252883995287786</v>
      </c>
    </row>
    <row r="107" spans="1:26" x14ac:dyDescent="0.3">
      <c r="A107" t="str">
        <f>'rockfish harvests'!A106</f>
        <v>SC</v>
      </c>
      <c r="B107">
        <f>'rockfish harvests'!B106</f>
        <v>2002</v>
      </c>
      <c r="C107" t="str">
        <f>'rockfish harvests'!C106</f>
        <v>EASTSIDE</v>
      </c>
      <c r="D107">
        <f>'rockfish harvests'!D106</f>
        <v>319</v>
      </c>
      <c r="E107">
        <v>269</v>
      </c>
      <c r="F107" s="32">
        <v>0.94230769199999997</v>
      </c>
      <c r="G107" s="32">
        <v>2.7272310000000001E-3</v>
      </c>
      <c r="H107" s="7">
        <f t="shared" si="66"/>
        <v>253.48076914799998</v>
      </c>
      <c r="I107">
        <f t="shared" si="73"/>
        <v>197.345162391</v>
      </c>
      <c r="J107">
        <f t="shared" si="67"/>
        <v>14.047959367502456</v>
      </c>
      <c r="K107" s="6">
        <f t="shared" si="68"/>
        <v>27.534000360304812</v>
      </c>
      <c r="M107" s="2">
        <f>'rockfish harvests'!O106</f>
        <v>43.993136418670758</v>
      </c>
      <c r="N107">
        <f>'rockfish harvests'!P106</f>
        <v>1433.2936737274742</v>
      </c>
      <c r="O107" s="27">
        <f t="shared" si="115"/>
        <v>0.60843373499999998</v>
      </c>
      <c r="P107" s="27">
        <f t="shared" si="115"/>
        <v>1.443892E-3</v>
      </c>
      <c r="Q107" s="13">
        <f t="shared" si="62"/>
        <v>26.766908305576372</v>
      </c>
      <c r="R107" s="2">
        <f t="shared" si="74"/>
        <v>535.4573166620554</v>
      </c>
      <c r="S107">
        <f t="shared" si="69"/>
        <v>23.139950662481013</v>
      </c>
      <c r="T107" s="6">
        <f t="shared" si="70"/>
        <v>45.354303298462781</v>
      </c>
      <c r="V107" s="13">
        <f t="shared" si="63"/>
        <v>280.24767745357633</v>
      </c>
      <c r="W107">
        <f t="shared" si="64"/>
        <v>732.80247905305544</v>
      </c>
      <c r="X107">
        <f t="shared" si="71"/>
        <v>27.070324694267253</v>
      </c>
      <c r="Y107" s="6">
        <f t="shared" si="72"/>
        <v>53.057836400763811</v>
      </c>
      <c r="Z107" s="14">
        <f t="shared" si="99"/>
        <v>9.6594287382636784E-2</v>
      </c>
    </row>
    <row r="108" spans="1:26" x14ac:dyDescent="0.3">
      <c r="A108" t="str">
        <f>'rockfish harvests'!A107</f>
        <v>SC</v>
      </c>
      <c r="B108">
        <f>'rockfish harvests'!B107</f>
        <v>2003</v>
      </c>
      <c r="C108" t="str">
        <f>'rockfish harvests'!C107</f>
        <v>EASTSIDE</v>
      </c>
      <c r="D108">
        <f>'rockfish harvests'!D107</f>
        <v>1012</v>
      </c>
      <c r="E108">
        <v>964</v>
      </c>
      <c r="F108" s="32">
        <v>0.94230769199999997</v>
      </c>
      <c r="G108" s="32">
        <v>2.7272310000000001E-3</v>
      </c>
      <c r="H108" s="7">
        <f t="shared" si="66"/>
        <v>908.38461508799992</v>
      </c>
      <c r="I108">
        <f t="shared" si="73"/>
        <v>2534.4048593759999</v>
      </c>
      <c r="J108">
        <f t="shared" si="67"/>
        <v>50.342872974990215</v>
      </c>
      <c r="K108" s="6">
        <f t="shared" si="68"/>
        <v>98.672031030980818</v>
      </c>
      <c r="M108" s="2">
        <f>'rockfish harvests'!O107</f>
        <v>139.56443277647281</v>
      </c>
      <c r="N108">
        <f>'rockfish harvests'!P107</f>
        <v>14424.967484458195</v>
      </c>
      <c r="O108" s="27">
        <f t="shared" si="115"/>
        <v>0.73262032099999996</v>
      </c>
      <c r="P108" s="27">
        <f t="shared" si="115"/>
        <v>1.05316E-3</v>
      </c>
      <c r="Q108" s="13">
        <f t="shared" si="62"/>
        <v>102.24773954088243</v>
      </c>
      <c r="R108" s="2">
        <f t="shared" si="74"/>
        <v>7778.0548539128349</v>
      </c>
      <c r="S108">
        <f t="shared" si="69"/>
        <v>88.193281228860258</v>
      </c>
      <c r="T108" s="6">
        <f t="shared" si="70"/>
        <v>172.8588312085661</v>
      </c>
      <c r="V108" s="13">
        <f t="shared" si="63"/>
        <v>1010.6323546288824</v>
      </c>
      <c r="W108">
        <f t="shared" si="64"/>
        <v>10312.459713288834</v>
      </c>
      <c r="X108">
        <f t="shared" si="71"/>
        <v>101.55028169970201</v>
      </c>
      <c r="Y108" s="6">
        <f t="shared" si="72"/>
        <v>199.03855213141594</v>
      </c>
      <c r="Z108" s="14">
        <f t="shared" si="99"/>
        <v>0.10048192226835309</v>
      </c>
    </row>
    <row r="109" spans="1:26" x14ac:dyDescent="0.3">
      <c r="A109" t="str">
        <f>'rockfish harvests'!A108</f>
        <v>SC</v>
      </c>
      <c r="B109">
        <f>'rockfish harvests'!B108</f>
        <v>2004</v>
      </c>
      <c r="C109" t="str">
        <f>'rockfish harvests'!C108</f>
        <v>EASTSIDE</v>
      </c>
      <c r="D109">
        <f>'rockfish harvests'!D108</f>
        <v>730</v>
      </c>
      <c r="E109">
        <v>672</v>
      </c>
      <c r="F109" s="32">
        <v>0.94230769199999997</v>
      </c>
      <c r="G109" s="32">
        <v>2.7272310000000001E-3</v>
      </c>
      <c r="H109" s="7">
        <f t="shared" si="66"/>
        <v>633.23076902399998</v>
      </c>
      <c r="I109">
        <f t="shared" si="73"/>
        <v>1231.573883904</v>
      </c>
      <c r="J109">
        <f t="shared" si="67"/>
        <v>35.093786970117662</v>
      </c>
      <c r="K109" s="6">
        <f t="shared" si="68"/>
        <v>68.783822461430617</v>
      </c>
      <c r="M109" s="2">
        <f>'rockfish harvests'!O108</f>
        <v>100.67394854429358</v>
      </c>
      <c r="N109">
        <f>'rockfish harvests'!P108</f>
        <v>7505.8440731652699</v>
      </c>
      <c r="O109" s="27">
        <f t="shared" si="115"/>
        <v>0.77966101700000001</v>
      </c>
      <c r="P109" s="27">
        <f t="shared" si="115"/>
        <v>1.4682880000000001E-3</v>
      </c>
      <c r="Q109" s="13">
        <f t="shared" si="62"/>
        <v>78.491553107449604</v>
      </c>
      <c r="R109" s="2">
        <f t="shared" si="74"/>
        <v>4588.4894028823792</v>
      </c>
      <c r="S109">
        <f t="shared" si="69"/>
        <v>67.738389432303293</v>
      </c>
      <c r="T109" s="6">
        <f t="shared" si="70"/>
        <v>132.76724328731444</v>
      </c>
      <c r="V109" s="13">
        <f t="shared" si="63"/>
        <v>711.72232213144957</v>
      </c>
      <c r="W109">
        <f t="shared" si="64"/>
        <v>5820.0632867863787</v>
      </c>
      <c r="X109">
        <f t="shared" si="71"/>
        <v>76.28933927349469</v>
      </c>
      <c r="Y109" s="6">
        <f t="shared" si="72"/>
        <v>149.5271049760496</v>
      </c>
      <c r="Z109" s="14">
        <f t="shared" si="99"/>
        <v>0.10718975210026452</v>
      </c>
    </row>
    <row r="110" spans="1:26" x14ac:dyDescent="0.3">
      <c r="A110" t="str">
        <f>'rockfish harvests'!A109</f>
        <v>SC</v>
      </c>
      <c r="B110">
        <f>'rockfish harvests'!B109</f>
        <v>2005</v>
      </c>
      <c r="C110" t="str">
        <f>'rockfish harvests'!C109</f>
        <v>EASTSIDE</v>
      </c>
      <c r="D110">
        <f>'rockfish harvests'!D109</f>
        <v>1242</v>
      </c>
      <c r="E110">
        <v>1074</v>
      </c>
      <c r="F110" s="32">
        <v>0.94230769199999997</v>
      </c>
      <c r="G110" s="32">
        <v>2.7272310000000001E-3</v>
      </c>
      <c r="H110" s="7">
        <f t="shared" si="66"/>
        <v>1012.0384612079999</v>
      </c>
      <c r="I110">
        <f t="shared" si="73"/>
        <v>3145.7955049560001</v>
      </c>
      <c r="J110">
        <f t="shared" si="67"/>
        <v>56.087391675455905</v>
      </c>
      <c r="K110" s="6">
        <f t="shared" si="68"/>
        <v>109.93128768389357</v>
      </c>
      <c r="M110" s="2">
        <f>'rockfish harvests'!O109</f>
        <v>171.28362204385303</v>
      </c>
      <c r="N110">
        <f>'rockfish harvests'!P109</f>
        <v>21726.862182169472</v>
      </c>
      <c r="O110" s="27">
        <f t="shared" si="115"/>
        <v>0.82183908000000006</v>
      </c>
      <c r="P110" s="27">
        <f t="shared" si="115"/>
        <v>8.4635600000000004E-4</v>
      </c>
      <c r="Q110" s="13">
        <f t="shared" si="62"/>
        <v>140.76757435958791</v>
      </c>
      <c r="R110" s="2">
        <f t="shared" si="74"/>
        <v>14717.964933558447</v>
      </c>
      <c r="S110">
        <f t="shared" si="69"/>
        <v>121.31762004572315</v>
      </c>
      <c r="T110" s="6">
        <f t="shared" si="70"/>
        <v>237.78253528961736</v>
      </c>
      <c r="V110" s="13">
        <f t="shared" si="63"/>
        <v>1152.806035567588</v>
      </c>
      <c r="W110">
        <f t="shared" si="64"/>
        <v>17863.760438514448</v>
      </c>
      <c r="X110">
        <f t="shared" si="71"/>
        <v>133.65537938487341</v>
      </c>
      <c r="Y110" s="6">
        <f t="shared" si="72"/>
        <v>261.96454359435188</v>
      </c>
      <c r="Z110" s="14">
        <f t="shared" si="99"/>
        <v>0.1159391738602997</v>
      </c>
    </row>
    <row r="111" spans="1:26" x14ac:dyDescent="0.3">
      <c r="A111" t="str">
        <f>'rockfish harvests'!A110</f>
        <v>SC</v>
      </c>
      <c r="B111">
        <f>'rockfish harvests'!B110</f>
        <v>2006</v>
      </c>
      <c r="C111" t="str">
        <f>'rockfish harvests'!C110</f>
        <v>EASTSIDE</v>
      </c>
      <c r="D111">
        <f>'rockfish harvests'!D110</f>
        <v>1516</v>
      </c>
      <c r="E111">
        <v>1356</v>
      </c>
      <c r="F111" s="32">
        <v>0.94230769199999997</v>
      </c>
      <c r="G111" s="32">
        <v>2.7272310000000001E-3</v>
      </c>
      <c r="H111" s="7">
        <f t="shared" si="66"/>
        <v>1277.769230352</v>
      </c>
      <c r="I111">
        <f t="shared" si="73"/>
        <v>5014.6578200160002</v>
      </c>
      <c r="J111">
        <f t="shared" si="67"/>
        <v>70.814248707558846</v>
      </c>
      <c r="K111" s="6">
        <f t="shared" si="68"/>
        <v>138.79592746681533</v>
      </c>
      <c r="M111" s="2">
        <f>'rockfish harvests'!O110</f>
        <v>209.07083012760154</v>
      </c>
      <c r="N111">
        <f>'rockfish harvests'!P110</f>
        <v>32370.709657002288</v>
      </c>
      <c r="O111" s="27">
        <f t="shared" si="115"/>
        <v>0.79807692299999999</v>
      </c>
      <c r="P111" s="27">
        <f t="shared" si="115"/>
        <v>1.564565E-3</v>
      </c>
      <c r="Q111" s="13">
        <f t="shared" si="62"/>
        <v>166.85460479729193</v>
      </c>
      <c r="R111" s="2">
        <f t="shared" si="74"/>
        <v>20736.805880144198</v>
      </c>
      <c r="S111">
        <f t="shared" si="69"/>
        <v>144.00279816775853</v>
      </c>
      <c r="T111" s="6">
        <f t="shared" si="70"/>
        <v>282.2454844088067</v>
      </c>
      <c r="V111" s="13">
        <f t="shared" si="63"/>
        <v>1444.6238351492921</v>
      </c>
      <c r="W111">
        <f t="shared" si="64"/>
        <v>25751.463700160199</v>
      </c>
      <c r="X111">
        <f t="shared" si="71"/>
        <v>160.47262601503161</v>
      </c>
      <c r="Y111" s="6">
        <f t="shared" si="72"/>
        <v>314.52634698946196</v>
      </c>
      <c r="Z111" s="14">
        <f t="shared" si="99"/>
        <v>0.11108263764625471</v>
      </c>
    </row>
    <row r="112" spans="1:26" x14ac:dyDescent="0.3">
      <c r="A112" t="str">
        <f>'rockfish harvests'!A111</f>
        <v>SC</v>
      </c>
      <c r="B112">
        <f>'rockfish harvests'!B111</f>
        <v>2007</v>
      </c>
      <c r="C112" t="str">
        <f>'rockfish harvests'!C111</f>
        <v>EASTSIDE</v>
      </c>
      <c r="D112">
        <f>'rockfish harvests'!D111</f>
        <v>3481</v>
      </c>
      <c r="E112">
        <v>3310</v>
      </c>
      <c r="F112" s="32">
        <v>0.94230769199999997</v>
      </c>
      <c r="G112" s="32">
        <v>2.7272310000000001E-3</v>
      </c>
      <c r="H112" s="7">
        <f t="shared" si="66"/>
        <v>3119.0384605199997</v>
      </c>
      <c r="I112">
        <f t="shared" si="73"/>
        <v>29879.8155591</v>
      </c>
      <c r="J112">
        <f t="shared" si="67"/>
        <v>172.85778998674024</v>
      </c>
      <c r="K112" s="6">
        <f t="shared" si="68"/>
        <v>338.80126837401087</v>
      </c>
      <c r="M112" s="2">
        <f>'rockfish harvests'!O111</f>
        <v>480.0630340858711</v>
      </c>
      <c r="N112">
        <f>'rockfish harvests'!P111</f>
        <v>170671.83757600674</v>
      </c>
      <c r="O112" s="27">
        <f t="shared" si="115"/>
        <v>0.89411764699999996</v>
      </c>
      <c r="P112" s="27">
        <f t="shared" si="115"/>
        <v>1.127039E-3</v>
      </c>
      <c r="Q112" s="13">
        <f t="shared" si="62"/>
        <v>429.23283044853986</v>
      </c>
      <c r="R112" s="2">
        <f t="shared" si="74"/>
        <v>136895.07225162044</v>
      </c>
      <c r="S112">
        <f t="shared" si="69"/>
        <v>369.99334082064291</v>
      </c>
      <c r="T112" s="6">
        <f t="shared" si="70"/>
        <v>725.18694800846015</v>
      </c>
      <c r="V112" s="13">
        <f t="shared" si="63"/>
        <v>3548.2712909685397</v>
      </c>
      <c r="W112">
        <f t="shared" si="64"/>
        <v>166774.88781072045</v>
      </c>
      <c r="X112">
        <f t="shared" si="71"/>
        <v>408.38081224602172</v>
      </c>
      <c r="Y112" s="6">
        <f t="shared" si="72"/>
        <v>800.42639200220253</v>
      </c>
      <c r="Z112" s="14">
        <f t="shared" si="99"/>
        <v>0.11509289418920099</v>
      </c>
    </row>
    <row r="113" spans="1:26" x14ac:dyDescent="0.3">
      <c r="A113" t="str">
        <f>'rockfish harvests'!A112</f>
        <v>SC</v>
      </c>
      <c r="B113">
        <f>'rockfish harvests'!B112</f>
        <v>2008</v>
      </c>
      <c r="C113" t="str">
        <f>'rockfish harvests'!C112</f>
        <v>EASTSIDE</v>
      </c>
      <c r="D113">
        <f>'rockfish harvests'!D112</f>
        <v>2311</v>
      </c>
      <c r="E113">
        <v>2098</v>
      </c>
      <c r="F113" s="32">
        <v>0.94230769199999997</v>
      </c>
      <c r="G113" s="32">
        <v>2.7272310000000001E-3</v>
      </c>
      <c r="H113" s="7">
        <f t="shared" si="66"/>
        <v>1976.9615378159999</v>
      </c>
      <c r="I113">
        <f t="shared" si="73"/>
        <v>12004.190878524001</v>
      </c>
      <c r="J113">
        <f t="shared" si="67"/>
        <v>109.56363848706377</v>
      </c>
      <c r="K113" s="6">
        <f t="shared" si="68"/>
        <v>214.74473143464499</v>
      </c>
      <c r="M113" s="2">
        <f>'rockfish harvests'!O112</f>
        <v>318.70889737789366</v>
      </c>
      <c r="N113">
        <f>'rockfish harvests'!P112</f>
        <v>75223.529863537799</v>
      </c>
      <c r="O113" s="27">
        <f t="shared" si="115"/>
        <v>0.693333333</v>
      </c>
      <c r="P113" s="27">
        <f t="shared" si="115"/>
        <v>2.873273E-3</v>
      </c>
      <c r="Q113" s="13">
        <f t="shared" si="62"/>
        <v>220.97150207576996</v>
      </c>
      <c r="R113" s="2">
        <f t="shared" si="74"/>
        <v>36668.778067948821</v>
      </c>
      <c r="S113">
        <f t="shared" si="69"/>
        <v>191.49093468869177</v>
      </c>
      <c r="T113" s="6">
        <f t="shared" si="70"/>
        <v>375.32223198983587</v>
      </c>
      <c r="V113" s="13">
        <f t="shared" si="63"/>
        <v>2197.93303989177</v>
      </c>
      <c r="W113">
        <f t="shared" si="64"/>
        <v>48672.968946472822</v>
      </c>
      <c r="X113">
        <f t="shared" si="71"/>
        <v>220.61951170844529</v>
      </c>
      <c r="Y113" s="6">
        <f t="shared" si="72"/>
        <v>432.41424294855278</v>
      </c>
      <c r="Z113" s="14">
        <f t="shared" si="99"/>
        <v>0.10037590213362868</v>
      </c>
    </row>
    <row r="114" spans="1:26" x14ac:dyDescent="0.3">
      <c r="A114" t="str">
        <f>'rockfish harvests'!A113</f>
        <v>SC</v>
      </c>
      <c r="B114">
        <f>'rockfish harvests'!B113</f>
        <v>2009</v>
      </c>
      <c r="C114" t="str">
        <f>'rockfish harvests'!C113</f>
        <v>EASTSIDE</v>
      </c>
      <c r="D114">
        <f>'rockfish harvests'!D113</f>
        <v>2296</v>
      </c>
      <c r="E114">
        <v>2247</v>
      </c>
      <c r="F114">
        <f>IF([1]species_comp_Region2_forR!$G126&gt;49,[1]species_comp_Region2_forR!$AD126,[1]species_comp_Region2_forR!$AF126)</f>
        <v>1</v>
      </c>
      <c r="G114">
        <f>IF([1]species_comp_Region2_forR!$G126&gt;49,[1]species_comp_Region2_forR!$AE126,[1]species_comp_Region2_forR!$AG126)</f>
        <v>0</v>
      </c>
      <c r="H114" s="7">
        <f t="shared" si="66"/>
        <v>2247</v>
      </c>
      <c r="I114">
        <f t="shared" si="73"/>
        <v>0</v>
      </c>
      <c r="J114">
        <f t="shared" si="67"/>
        <v>0</v>
      </c>
      <c r="K114" s="6">
        <f t="shared" si="68"/>
        <v>0</v>
      </c>
      <c r="M114" s="2">
        <f>'rockfish harvests'!O113</f>
        <v>316.64025459958657</v>
      </c>
      <c r="N114">
        <f>'rockfish harvests'!P113</f>
        <v>74250.19273710491</v>
      </c>
      <c r="O114" s="27">
        <f t="shared" si="115"/>
        <v>0.55882352899999999</v>
      </c>
      <c r="P114" s="27">
        <f t="shared" si="115"/>
        <v>3.6796979999999999E-3</v>
      </c>
      <c r="Q114" s="13">
        <f t="shared" si="62"/>
        <v>176.94602449879943</v>
      </c>
      <c r="R114" s="2">
        <f t="shared" si="74"/>
        <v>23829.276302483348</v>
      </c>
      <c r="S114">
        <f t="shared" si="69"/>
        <v>154.36734208531072</v>
      </c>
      <c r="T114" s="6">
        <f t="shared" si="70"/>
        <v>302.55999048720901</v>
      </c>
      <c r="V114" s="13">
        <f t="shared" si="63"/>
        <v>2423.9460244987995</v>
      </c>
      <c r="W114">
        <f t="shared" si="64"/>
        <v>23829.276302483348</v>
      </c>
      <c r="X114">
        <f t="shared" si="71"/>
        <v>154.36734208531072</v>
      </c>
      <c r="Y114" s="6">
        <f t="shared" si="72"/>
        <v>302.55999048720901</v>
      </c>
      <c r="Z114" s="14">
        <f t="shared" si="99"/>
        <v>6.3684314966225092E-2</v>
      </c>
    </row>
    <row r="115" spans="1:26" x14ac:dyDescent="0.3">
      <c r="A115" t="str">
        <f>'rockfish harvests'!A114</f>
        <v>SC</v>
      </c>
      <c r="B115">
        <f>'rockfish harvests'!B114</f>
        <v>2010</v>
      </c>
      <c r="C115" t="str">
        <f>'rockfish harvests'!C114</f>
        <v>EASTSIDE</v>
      </c>
      <c r="D115">
        <f>'rockfish harvests'!D114</f>
        <v>2555</v>
      </c>
      <c r="E115">
        <v>1663</v>
      </c>
      <c r="F115" s="32">
        <v>0.94230769199999997</v>
      </c>
      <c r="G115" s="32">
        <v>2.7272310000000001E-3</v>
      </c>
      <c r="H115" s="7">
        <f t="shared" si="66"/>
        <v>1567.057691796</v>
      </c>
      <c r="I115">
        <f t="shared" si="73"/>
        <v>7542.3455094390001</v>
      </c>
      <c r="J115">
        <f t="shared" si="67"/>
        <v>86.846678171585822</v>
      </c>
      <c r="K115" s="6">
        <f t="shared" si="68"/>
        <v>170.2194892163082</v>
      </c>
      <c r="M115" s="2">
        <f>'rockfish harvests'!O114</f>
        <v>352.35881990502776</v>
      </c>
      <c r="N115">
        <f>'rockfish harvests'!P114</f>
        <v>91946.589896274556</v>
      </c>
      <c r="O115" s="27">
        <f t="shared" si="115"/>
        <v>0.74806438500000005</v>
      </c>
      <c r="P115" s="27">
        <f t="shared" si="115"/>
        <v>6.3493509999999996E-3</v>
      </c>
      <c r="Q115" s="13">
        <f t="shared" si="62"/>
        <v>263.58708391158035</v>
      </c>
      <c r="R115" s="2">
        <f t="shared" si="74"/>
        <v>52825.457387202579</v>
      </c>
      <c r="S115">
        <f t="shared" si="69"/>
        <v>229.83789371468444</v>
      </c>
      <c r="T115" s="6">
        <f t="shared" si="70"/>
        <v>450.48227168078148</v>
      </c>
      <c r="V115" s="13">
        <f t="shared" si="63"/>
        <v>1830.6447757075803</v>
      </c>
      <c r="W115">
        <f t="shared" si="64"/>
        <v>60367.80289664158</v>
      </c>
      <c r="X115">
        <f t="shared" si="71"/>
        <v>245.69860173928865</v>
      </c>
      <c r="Y115" s="6">
        <f t="shared" si="72"/>
        <v>481.56925940900572</v>
      </c>
      <c r="Z115" s="14">
        <f t="shared" si="99"/>
        <v>0.1342142424350575</v>
      </c>
    </row>
    <row r="116" spans="1:26" x14ac:dyDescent="0.3">
      <c r="A116" t="str">
        <f>'rockfish harvests'!A115</f>
        <v>SC</v>
      </c>
      <c r="B116">
        <f>'rockfish harvests'!B115</f>
        <v>2011</v>
      </c>
      <c r="C116" t="str">
        <f>'rockfish harvests'!C115</f>
        <v>EASTSIDE</v>
      </c>
      <c r="D116">
        <f>'rockfish harvests'!D115</f>
        <v>1928</v>
      </c>
      <c r="E116">
        <v>1853</v>
      </c>
      <c r="F116" s="32">
        <v>0.94230769199999997</v>
      </c>
      <c r="G116" s="32">
        <v>2.7272310000000001E-3</v>
      </c>
      <c r="H116" s="7">
        <f t="shared" si="66"/>
        <v>1746.096153276</v>
      </c>
      <c r="I116">
        <f t="shared" si="73"/>
        <v>9364.2449066789995</v>
      </c>
      <c r="J116">
        <f t="shared" si="67"/>
        <v>96.76902865420837</v>
      </c>
      <c r="K116" s="6">
        <f t="shared" si="68"/>
        <v>189.66729616224839</v>
      </c>
      <c r="M116" s="2">
        <f>'rockfish harvests'!O115</f>
        <v>51.46120422098079</v>
      </c>
      <c r="N116">
        <f>'rockfish harvests'!P115</f>
        <v>1649.9620849615694</v>
      </c>
      <c r="O116" s="27">
        <f t="shared" si="115"/>
        <v>0.71830985899999999</v>
      </c>
      <c r="P116" s="27">
        <f t="shared" si="115"/>
        <v>2.890583E-3</v>
      </c>
      <c r="Q116" s="13">
        <f t="shared" si="62"/>
        <v>36.965090347942919</v>
      </c>
      <c r="R116" s="2">
        <f t="shared" si="74"/>
        <v>863.75373014554441</v>
      </c>
      <c r="S116">
        <f t="shared" si="69"/>
        <v>29.389687479548748</v>
      </c>
      <c r="T116" s="6">
        <f t="shared" si="70"/>
        <v>57.603787459915544</v>
      </c>
      <c r="V116" s="13">
        <f t="shared" si="63"/>
        <v>1783.061243623943</v>
      </c>
      <c r="W116">
        <f t="shared" si="64"/>
        <v>10227.998636824545</v>
      </c>
      <c r="X116">
        <f t="shared" si="71"/>
        <v>101.13356829868381</v>
      </c>
      <c r="Y116" s="6">
        <f t="shared" si="72"/>
        <v>198.22179386542027</v>
      </c>
      <c r="Z116" s="14">
        <f t="shared" si="99"/>
        <v>5.6719065966089395E-2</v>
      </c>
    </row>
    <row r="117" spans="1:26" x14ac:dyDescent="0.3">
      <c r="A117" t="str">
        <f>'rockfish harvests'!A116</f>
        <v>SC</v>
      </c>
      <c r="B117">
        <f>'rockfish harvests'!B116</f>
        <v>2012</v>
      </c>
      <c r="C117" t="str">
        <f>'rockfish harvests'!C116</f>
        <v>EASTSIDE</v>
      </c>
      <c r="D117">
        <f>'rockfish harvests'!D116</f>
        <v>3433</v>
      </c>
      <c r="E117">
        <v>3210</v>
      </c>
      <c r="F117" s="32">
        <v>0.94230769199999997</v>
      </c>
      <c r="G117" s="32">
        <v>2.7272310000000001E-3</v>
      </c>
      <c r="H117" s="7">
        <f t="shared" si="66"/>
        <v>3024.8076913199998</v>
      </c>
      <c r="I117">
        <f t="shared" si="73"/>
        <v>28101.660947100001</v>
      </c>
      <c r="J117">
        <f t="shared" si="67"/>
        <v>167.63550025904419</v>
      </c>
      <c r="K117" s="6">
        <f t="shared" si="68"/>
        <v>328.56558050772662</v>
      </c>
      <c r="M117" s="2">
        <f>'rockfish harvests'!O116</f>
        <v>276.3989021043003</v>
      </c>
      <c r="N117">
        <f>'rockfish harvests'!P116</f>
        <v>25117.984568882985</v>
      </c>
      <c r="O117" s="27">
        <f t="shared" si="115"/>
        <v>0.74509803900000005</v>
      </c>
      <c r="P117" s="27">
        <f t="shared" si="115"/>
        <v>1.2495189999999999E-3</v>
      </c>
      <c r="Q117" s="13">
        <f t="shared" si="62"/>
        <v>205.94427993966715</v>
      </c>
      <c r="R117" s="2">
        <f t="shared" si="74"/>
        <v>14071.622908152547</v>
      </c>
      <c r="S117">
        <f t="shared" si="69"/>
        <v>118.62387157799456</v>
      </c>
      <c r="T117" s="6">
        <f t="shared" si="70"/>
        <v>232.50278829286935</v>
      </c>
      <c r="V117" s="13">
        <f t="shared" si="63"/>
        <v>3230.7519712596668</v>
      </c>
      <c r="W117">
        <f t="shared" si="64"/>
        <v>42173.28385525255</v>
      </c>
      <c r="X117">
        <f t="shared" si="71"/>
        <v>205.3613494678406</v>
      </c>
      <c r="Y117" s="6">
        <f t="shared" si="72"/>
        <v>402.50824495696759</v>
      </c>
      <c r="Z117" s="14">
        <f t="shared" si="99"/>
        <v>6.3564566792718047E-2</v>
      </c>
    </row>
    <row r="118" spans="1:26" x14ac:dyDescent="0.3">
      <c r="A118" t="str">
        <f>'rockfish harvests'!A117</f>
        <v>SC</v>
      </c>
      <c r="B118">
        <f>'rockfish harvests'!B117</f>
        <v>2013</v>
      </c>
      <c r="C118" t="str">
        <f>'rockfish harvests'!C117</f>
        <v>EASTSIDE</v>
      </c>
      <c r="D118">
        <f>'rockfish harvests'!D117</f>
        <v>2207</v>
      </c>
      <c r="E118">
        <v>2081</v>
      </c>
      <c r="F118" s="32">
        <v>0.94230769199999997</v>
      </c>
      <c r="G118" s="32">
        <v>2.7272310000000001E-3</v>
      </c>
      <c r="H118" s="7">
        <f t="shared" si="66"/>
        <v>1960.9423070519999</v>
      </c>
      <c r="I118">
        <f t="shared" si="73"/>
        <v>11810.440206591</v>
      </c>
      <c r="J118">
        <f t="shared" si="67"/>
        <v>108.67584923335544</v>
      </c>
      <c r="K118" s="6">
        <f t="shared" si="68"/>
        <v>213.00466449737664</v>
      </c>
      <c r="M118" s="2">
        <f>'rockfish harvests'!O117</f>
        <v>351.77988614800779</v>
      </c>
      <c r="N118">
        <f>'rockfish harvests'!P117</f>
        <v>93936.264893907151</v>
      </c>
      <c r="O118" s="27">
        <f t="shared" si="115"/>
        <v>0.66871165600000004</v>
      </c>
      <c r="P118" s="27">
        <f t="shared" si="115"/>
        <v>1.3675079999999999E-3</v>
      </c>
      <c r="Q118" s="13">
        <f t="shared" si="62"/>
        <v>235.23931021352575</v>
      </c>
      <c r="R118" s="2">
        <f t="shared" si="74"/>
        <v>42303.66191193695</v>
      </c>
      <c r="S118">
        <f t="shared" si="69"/>
        <v>205.67854023192831</v>
      </c>
      <c r="T118" s="6">
        <f t="shared" si="70"/>
        <v>403.12993885457951</v>
      </c>
      <c r="V118" s="13">
        <f t="shared" si="63"/>
        <v>2196.1816172655258</v>
      </c>
      <c r="W118">
        <f t="shared" si="64"/>
        <v>54114.102118527953</v>
      </c>
      <c r="X118">
        <f t="shared" si="71"/>
        <v>232.62437988854037</v>
      </c>
      <c r="Y118" s="6">
        <f t="shared" si="72"/>
        <v>455.94378458153915</v>
      </c>
      <c r="Z118" s="14">
        <f t="shared" si="99"/>
        <v>0.10592219607874775</v>
      </c>
    </row>
    <row r="119" spans="1:26" x14ac:dyDescent="0.3">
      <c r="A119" t="str">
        <f>'rockfish harvests'!A118</f>
        <v>SC</v>
      </c>
      <c r="B119">
        <f>'rockfish harvests'!B118</f>
        <v>2014</v>
      </c>
      <c r="C119" t="str">
        <f>'rockfish harvests'!C118</f>
        <v>EASTSIDE</v>
      </c>
      <c r="D119">
        <f>'rockfish harvests'!D118</f>
        <v>3551</v>
      </c>
      <c r="E119">
        <v>3385</v>
      </c>
      <c r="F119" s="32">
        <v>0.94230769199999997</v>
      </c>
      <c r="G119" s="32">
        <v>2.7272310000000001E-3</v>
      </c>
      <c r="H119" s="7">
        <f t="shared" si="66"/>
        <v>3189.7115374199998</v>
      </c>
      <c r="I119">
        <f t="shared" si="73"/>
        <v>31249.226424975001</v>
      </c>
      <c r="J119">
        <f t="shared" si="67"/>
        <v>176.77450728251233</v>
      </c>
      <c r="K119" s="6">
        <f t="shared" si="68"/>
        <v>346.47803427372418</v>
      </c>
      <c r="M119" s="2">
        <f>'rockfish harvests'!O118</f>
        <v>250.87949818421885</v>
      </c>
      <c r="N119">
        <f>'rockfish harvests'!P118</f>
        <v>23714.551436006946</v>
      </c>
      <c r="O119" s="27">
        <f t="shared" si="115"/>
        <v>0.77777777800000003</v>
      </c>
      <c r="P119" s="27">
        <f t="shared" si="115"/>
        <v>1.382716E-3</v>
      </c>
      <c r="Q119" s="13">
        <f t="shared" si="62"/>
        <v>195.12849864347677</v>
      </c>
      <c r="R119" s="2">
        <f t="shared" si="74"/>
        <v>14465.659123145517</v>
      </c>
      <c r="S119">
        <f t="shared" si="69"/>
        <v>120.27326853106436</v>
      </c>
      <c r="T119" s="6">
        <f t="shared" si="70"/>
        <v>235.73560632088615</v>
      </c>
      <c r="V119" s="13">
        <f t="shared" si="63"/>
        <v>3384.8400360634764</v>
      </c>
      <c r="W119">
        <f t="shared" si="64"/>
        <v>45714.885548120517</v>
      </c>
      <c r="X119">
        <f t="shared" si="71"/>
        <v>213.81039625827486</v>
      </c>
      <c r="Y119" s="6">
        <f t="shared" si="72"/>
        <v>419.06837666621874</v>
      </c>
      <c r="Z119" s="14">
        <f t="shared" si="99"/>
        <v>6.3167060771041186E-2</v>
      </c>
    </row>
    <row r="120" spans="1:26" x14ac:dyDescent="0.3">
      <c r="A120" t="str">
        <f>'rockfish harvests'!A119</f>
        <v>SC</v>
      </c>
      <c r="B120">
        <f>'rockfish harvests'!B119</f>
        <v>2015</v>
      </c>
      <c r="C120" t="str">
        <f>'rockfish harvests'!C119</f>
        <v>EASTSIDE</v>
      </c>
      <c r="D120">
        <f>'rockfish harvests'!D119</f>
        <v>2787</v>
      </c>
      <c r="E120">
        <v>2635</v>
      </c>
      <c r="F120" s="32">
        <v>0.94230769199999997</v>
      </c>
      <c r="G120" s="32">
        <v>2.7272310000000001E-3</v>
      </c>
      <c r="H120" s="7">
        <f t="shared" si="66"/>
        <v>2482.98076842</v>
      </c>
      <c r="I120">
        <f t="shared" si="73"/>
        <v>18935.778459975001</v>
      </c>
      <c r="J120">
        <f t="shared" si="67"/>
        <v>137.60733432479171</v>
      </c>
      <c r="K120" s="6">
        <f t="shared" si="68"/>
        <v>269.71037527659172</v>
      </c>
      <c r="M120" s="2">
        <f>'rockfish harvests'!O119</f>
        <v>932.19872110181996</v>
      </c>
      <c r="N120">
        <f>'rockfish harvests'!P119</f>
        <v>360398.18316320516</v>
      </c>
      <c r="O120" s="27">
        <f t="shared" si="115"/>
        <v>0.73157894700000003</v>
      </c>
      <c r="P120" s="27">
        <f t="shared" si="115"/>
        <v>5.1813E-4</v>
      </c>
      <c r="Q120" s="13">
        <f t="shared" si="62"/>
        <v>681.97695877841613</v>
      </c>
      <c r="R120" s="2">
        <f t="shared" si="74"/>
        <v>193524.88797477516</v>
      </c>
      <c r="S120">
        <f t="shared" si="69"/>
        <v>439.91463714540708</v>
      </c>
      <c r="T120" s="6">
        <f t="shared" si="70"/>
        <v>862.23268880499791</v>
      </c>
      <c r="V120" s="13">
        <f t="shared" si="63"/>
        <v>3164.9577271984163</v>
      </c>
      <c r="W120">
        <f t="shared" si="64"/>
        <v>212460.66643475016</v>
      </c>
      <c r="X120">
        <f t="shared" si="71"/>
        <v>460.93455764864296</v>
      </c>
      <c r="Y120" s="6">
        <f t="shared" si="72"/>
        <v>903.43173299134014</v>
      </c>
      <c r="Z120" s="14">
        <f t="shared" si="99"/>
        <v>0.14563687650155657</v>
      </c>
    </row>
    <row r="121" spans="1:26" x14ac:dyDescent="0.3">
      <c r="A121" t="str">
        <f>'rockfish harvests'!A120</f>
        <v>SC</v>
      </c>
      <c r="B121">
        <f>'rockfish harvests'!B120</f>
        <v>2016</v>
      </c>
      <c r="C121" t="str">
        <f>'rockfish harvests'!C120</f>
        <v>EASTSIDE</v>
      </c>
      <c r="D121">
        <f>'rockfish harvests'!D120</f>
        <v>3561</v>
      </c>
      <c r="E121">
        <v>3392</v>
      </c>
      <c r="F121">
        <f>IF([1]species_comp_Region2_forR!$G133&gt;49,[1]species_comp_Region2_forR!$AD133,[1]species_comp_Region2_forR!$AF133)</f>
        <v>0.90384615400000001</v>
      </c>
      <c r="G121">
        <f>IF([1]species_comp_Region2_forR!$G133&gt;49,[1]species_comp_Region2_forR!$AE133,[1]species_comp_Region2_forR!$AG133)</f>
        <v>1.704084E-3</v>
      </c>
      <c r="H121" s="7">
        <f t="shared" si="66"/>
        <v>3065.846154368</v>
      </c>
      <c r="I121">
        <f t="shared" si="73"/>
        <v>19606.617931776</v>
      </c>
      <c r="J121">
        <f t="shared" si="67"/>
        <v>140.02363347583864</v>
      </c>
      <c r="K121" s="6">
        <f t="shared" si="68"/>
        <v>274.44632161264371</v>
      </c>
      <c r="M121" s="2">
        <f>'rockfish harvests'!O120</f>
        <v>418.19068471337596</v>
      </c>
      <c r="N121">
        <f>'rockfish harvests'!P120</f>
        <v>86017.579810230731</v>
      </c>
      <c r="O121" s="27">
        <f t="shared" si="115"/>
        <v>0.83437499999999998</v>
      </c>
      <c r="P121" s="27">
        <f t="shared" si="115"/>
        <v>4.3320799999999998E-4</v>
      </c>
      <c r="Q121" s="13">
        <f t="shared" si="62"/>
        <v>348.92785255772304</v>
      </c>
      <c r="R121" s="2">
        <f t="shared" si="74"/>
        <v>59996.884247672271</v>
      </c>
      <c r="S121">
        <f t="shared" si="69"/>
        <v>244.94261419294168</v>
      </c>
      <c r="T121" s="6">
        <f t="shared" si="70"/>
        <v>480.08752381816566</v>
      </c>
      <c r="V121" s="13">
        <f t="shared" si="63"/>
        <v>3414.7740069257229</v>
      </c>
      <c r="W121">
        <f t="shared" si="64"/>
        <v>79603.502179448275</v>
      </c>
      <c r="X121">
        <f t="shared" si="71"/>
        <v>282.1409260980198</v>
      </c>
      <c r="Y121" s="6">
        <f t="shared" si="72"/>
        <v>552.99621515211879</v>
      </c>
      <c r="Z121" s="14">
        <f t="shared" si="99"/>
        <v>8.2623601305911204E-2</v>
      </c>
    </row>
    <row r="122" spans="1:26" x14ac:dyDescent="0.3">
      <c r="A122" t="str">
        <f>'rockfish harvests'!A121</f>
        <v>SC</v>
      </c>
      <c r="B122">
        <f>'rockfish harvests'!B121</f>
        <v>2017</v>
      </c>
      <c r="C122" t="str">
        <f>'rockfish harvests'!C121</f>
        <v>EASTSIDE</v>
      </c>
      <c r="D122">
        <f>'rockfish harvests'!D121</f>
        <v>3933</v>
      </c>
      <c r="E122">
        <v>3877</v>
      </c>
      <c r="F122">
        <f>IF([1]species_comp_Region2_forR!$G134&gt;49,[1]species_comp_Region2_forR!$AD134,[1]species_comp_Region2_forR!$AF134)</f>
        <v>0.92307692299999999</v>
      </c>
      <c r="G122">
        <f>IF([1]species_comp_Region2_forR!$G134&gt;49,[1]species_comp_Region2_forR!$AE134,[1]species_comp_Region2_forR!$AG134)</f>
        <v>6.1211999999999996E-4</v>
      </c>
      <c r="H122" s="7">
        <f t="shared" si="66"/>
        <v>3578.7692304709999</v>
      </c>
      <c r="I122">
        <f t="shared" si="73"/>
        <v>9200.8546834799999</v>
      </c>
      <c r="J122">
        <f t="shared" si="67"/>
        <v>95.921085708409279</v>
      </c>
      <c r="K122" s="6">
        <f t="shared" si="68"/>
        <v>188.00532798848218</v>
      </c>
      <c r="M122" s="2">
        <f>'rockfish harvests'!O121</f>
        <v>1353.8031716417918</v>
      </c>
      <c r="N122">
        <f>'rockfish harvests'!P121</f>
        <v>628325.57356668822</v>
      </c>
      <c r="O122" s="27">
        <f t="shared" si="115"/>
        <v>0.712121212</v>
      </c>
      <c r="P122" s="27">
        <f t="shared" si="115"/>
        <v>6.2311400000000002E-4</v>
      </c>
      <c r="Q122" s="13">
        <f t="shared" si="62"/>
        <v>964.07195539899681</v>
      </c>
      <c r="R122" s="2">
        <f t="shared" si="74"/>
        <v>320167.89271622297</v>
      </c>
      <c r="S122">
        <f t="shared" si="69"/>
        <v>565.83380308728727</v>
      </c>
      <c r="T122" s="6">
        <f t="shared" si="70"/>
        <v>1109.0342540510831</v>
      </c>
      <c r="V122" s="13">
        <f t="shared" si="63"/>
        <v>4542.8411858699965</v>
      </c>
      <c r="W122">
        <f t="shared" si="64"/>
        <v>329368.74739970296</v>
      </c>
      <c r="X122">
        <f t="shared" si="71"/>
        <v>573.90656678565972</v>
      </c>
      <c r="Y122" s="6">
        <f t="shared" si="72"/>
        <v>1124.856870899893</v>
      </c>
      <c r="Z122" s="14">
        <f t="shared" si="99"/>
        <v>0.1263320779451266</v>
      </c>
    </row>
    <row r="123" spans="1:26" x14ac:dyDescent="0.3">
      <c r="A123" t="str">
        <f>'rockfish harvests'!A122</f>
        <v>SC</v>
      </c>
      <c r="B123">
        <f>'rockfish harvests'!B122</f>
        <v>2018</v>
      </c>
      <c r="C123" t="str">
        <f>'rockfish harvests'!C122</f>
        <v>EASTSIDE</v>
      </c>
      <c r="D123">
        <f>'rockfish harvests'!D122</f>
        <v>3914</v>
      </c>
      <c r="E123">
        <v>3690</v>
      </c>
      <c r="F123" s="32">
        <v>0.94230769199999997</v>
      </c>
      <c r="G123" s="32">
        <v>2.7272310000000001E-3</v>
      </c>
      <c r="H123" s="7">
        <f t="shared" si="66"/>
        <v>3477.1153834799998</v>
      </c>
      <c r="I123">
        <f t="shared" si="73"/>
        <v>37134.2500191</v>
      </c>
      <c r="J123">
        <f t="shared" si="67"/>
        <v>192.70249095198537</v>
      </c>
      <c r="K123" s="6">
        <f t="shared" si="68"/>
        <v>377.6968822658913</v>
      </c>
      <c r="M123" s="2">
        <f>'rockfish harvests'!O122</f>
        <v>302.2796271637817</v>
      </c>
      <c r="N123">
        <f>'rockfish harvests'!P122</f>
        <v>37596.448991886558</v>
      </c>
      <c r="O123" s="27">
        <f t="shared" si="115"/>
        <v>0.75919732399999995</v>
      </c>
      <c r="P123" s="27">
        <f t="shared" si="115"/>
        <v>6.13479E-4</v>
      </c>
      <c r="Q123" s="13">
        <f t="shared" si="62"/>
        <v>229.48988404246077</v>
      </c>
      <c r="R123" s="2">
        <f t="shared" si="74"/>
        <v>21748.982986433977</v>
      </c>
      <c r="S123">
        <f t="shared" si="69"/>
        <v>147.47536399830983</v>
      </c>
      <c r="T123" s="6">
        <f t="shared" si="70"/>
        <v>289.05171343668724</v>
      </c>
      <c r="V123" s="13">
        <f t="shared" si="63"/>
        <v>3706.6052675224605</v>
      </c>
      <c r="W123">
        <f t="shared" si="64"/>
        <v>58883.233005533977</v>
      </c>
      <c r="X123">
        <f t="shared" si="71"/>
        <v>242.65867593295314</v>
      </c>
      <c r="Y123" s="6">
        <f t="shared" si="72"/>
        <v>475.61100482858814</v>
      </c>
      <c r="Z123" s="14">
        <f t="shared" si="99"/>
        <v>6.5466554547673514E-2</v>
      </c>
    </row>
    <row r="124" spans="1:26" x14ac:dyDescent="0.3">
      <c r="A124" t="str">
        <f>'rockfish harvests'!A123</f>
        <v>SC</v>
      </c>
      <c r="B124">
        <f>'rockfish harvests'!B123</f>
        <v>2019</v>
      </c>
      <c r="C124" t="str">
        <f>'rockfish harvests'!C123</f>
        <v>EASTSIDE</v>
      </c>
      <c r="D124">
        <f>'rockfish harvests'!D123</f>
        <v>5680</v>
      </c>
      <c r="E124">
        <v>5564</v>
      </c>
      <c r="F124" s="32">
        <f>IF([1]species_comp_Region2_forR!$G136&gt;49,[1]species_comp_Region2_forR!$AD136,[1]species_comp_Region2_forR!$AF136)</f>
        <v>0.94230769199999997</v>
      </c>
      <c r="G124" s="32">
        <f>IF([1]species_comp_Region2_forR!$G136&gt;49,[1]species_comp_Region2_forR!$AE136,[1]species_comp_Region2_forR!$AG136)</f>
        <v>2.7314359999999998E-3</v>
      </c>
      <c r="H124" s="7">
        <f>E124*F124</f>
        <v>5242.9999982879999</v>
      </c>
      <c r="I124">
        <f>(E124^2)*G124</f>
        <v>84560.057905855996</v>
      </c>
      <c r="J124">
        <f>SQRT(I124)</f>
        <v>290.7921214645541</v>
      </c>
      <c r="K124" s="6">
        <f>(1.96*J124)</f>
        <v>569.95255807052604</v>
      </c>
      <c r="M124" s="2">
        <f>'rockfish harvests'!O123</f>
        <v>1827.1545603495351</v>
      </c>
      <c r="N124">
        <f>'rockfish harvests'!P123</f>
        <v>1939226.0896531206</v>
      </c>
      <c r="O124" s="27">
        <f>O174</f>
        <v>0.78749999999999998</v>
      </c>
      <c r="P124" s="27">
        <f t="shared" si="115"/>
        <v>7.0018299999999995E-4</v>
      </c>
      <c r="Q124" s="13">
        <f>M124*O124</f>
        <v>1438.884216275259</v>
      </c>
      <c r="R124" s="2">
        <f t="shared" si="74"/>
        <v>1206318.5493981219</v>
      </c>
      <c r="S124">
        <f>SQRT(R124)</f>
        <v>1098.3253385942264</v>
      </c>
      <c r="T124" s="6">
        <f>(1.96*S124)</f>
        <v>2152.7176636446839</v>
      </c>
      <c r="V124" s="13">
        <f>Q124+H124</f>
        <v>6681.8842145632589</v>
      </c>
      <c r="W124">
        <f>R124+I124</f>
        <v>1290878.6073039779</v>
      </c>
      <c r="X124">
        <f>SQRT(W124)</f>
        <v>1136.1683886220289</v>
      </c>
      <c r="Y124" s="6">
        <f>(1.96*X124)</f>
        <v>2226.8900416991769</v>
      </c>
      <c r="Z124" s="14">
        <f t="shared" si="99"/>
        <v>0.17003712607676352</v>
      </c>
    </row>
    <row r="125" spans="1:26" x14ac:dyDescent="0.3">
      <c r="A125" t="str">
        <f>'rockfish harvests'!A124</f>
        <v>SC</v>
      </c>
      <c r="B125">
        <f>'rockfish harvests'!B124</f>
        <v>2020</v>
      </c>
      <c r="C125" t="str">
        <f>'rockfish harvests'!C124</f>
        <v>EASTSIDE</v>
      </c>
      <c r="D125">
        <f>'rockfish harvests'!D124</f>
        <v>1507</v>
      </c>
      <c r="E125">
        <v>1436</v>
      </c>
      <c r="F125" s="32">
        <v>0.94230769199999997</v>
      </c>
      <c r="G125" s="32">
        <v>2.7272310000000001E-3</v>
      </c>
      <c r="H125" s="7">
        <f t="shared" ref="H125:H126" si="116">E125*F125</f>
        <v>1353.153845712</v>
      </c>
      <c r="I125">
        <f t="shared" ref="I125:I126" si="117">(E125^2)*G125</f>
        <v>5623.8121361760004</v>
      </c>
      <c r="J125">
        <f t="shared" ref="J125:J127" si="118">SQRT(I125)</f>
        <v>74.992080489715718</v>
      </c>
      <c r="K125" s="6">
        <f t="shared" ref="K125:K127" si="119">(1.96*J125)</f>
        <v>146.9844777598428</v>
      </c>
      <c r="M125" s="2">
        <f>'rockfish harvests'!O124</f>
        <v>285.07252075141969</v>
      </c>
      <c r="N125">
        <f>'rockfish harvests'!P124</f>
        <v>20342.54532916598</v>
      </c>
      <c r="O125" s="27">
        <f t="shared" si="115"/>
        <v>0.72222222199999997</v>
      </c>
      <c r="P125" s="27">
        <f t="shared" si="115"/>
        <v>1.8749280000000001E-3</v>
      </c>
      <c r="Q125" s="13">
        <f t="shared" ref="Q125" si="120">M125*O125</f>
        <v>205.88570936823143</v>
      </c>
      <c r="R125" s="2">
        <f t="shared" si="74"/>
        <v>10801.281442243722</v>
      </c>
      <c r="S125">
        <f t="shared" ref="S125" si="121">SQRT(R125)</f>
        <v>103.92921361313056</v>
      </c>
      <c r="T125" s="6">
        <f t="shared" ref="T125" si="122">(1.96*S125)</f>
        <v>203.70125868173588</v>
      </c>
      <c r="V125" s="13">
        <f t="shared" ref="V125" si="123">Q125+H125</f>
        <v>1559.0395550802314</v>
      </c>
      <c r="W125">
        <f t="shared" ref="W125" si="124">R125+I125</f>
        <v>16425.093578419721</v>
      </c>
      <c r="X125">
        <f t="shared" ref="X125" si="125">SQRT(W125)</f>
        <v>128.16042126342953</v>
      </c>
      <c r="Y125" s="6">
        <f t="shared" ref="Y125" si="126">(1.96*X125)</f>
        <v>251.19442567632186</v>
      </c>
      <c r="Z125" s="14">
        <f t="shared" ref="Z125:Z126" si="127">X125/V125</f>
        <v>8.2204727164112354E-2</v>
      </c>
    </row>
    <row r="126" spans="1:26" x14ac:dyDescent="0.3">
      <c r="A126" t="str">
        <f>'rockfish harvests'!A125</f>
        <v>SC</v>
      </c>
      <c r="B126">
        <f>'rockfish harvests'!B125</f>
        <v>2021</v>
      </c>
      <c r="C126" t="str">
        <f>'rockfish harvests'!C125</f>
        <v>EASTSIDE</v>
      </c>
      <c r="D126">
        <f>'rockfish harvests'!D125</f>
        <v>2885</v>
      </c>
      <c r="E126">
        <v>2698</v>
      </c>
      <c r="F126" s="32">
        <v>0.94230769199999997</v>
      </c>
      <c r="G126" s="32">
        <v>2.7272310000000001E-3</v>
      </c>
      <c r="H126" s="7">
        <f t="shared" si="116"/>
        <v>2542.3461530159998</v>
      </c>
      <c r="I126">
        <f t="shared" si="117"/>
        <v>19852.070804124</v>
      </c>
      <c r="J126">
        <f t="shared" si="118"/>
        <v>140.89737685324025</v>
      </c>
      <c r="K126" s="6">
        <f t="shared" si="119"/>
        <v>276.15885863235087</v>
      </c>
      <c r="M126" s="2">
        <f>'rockfish harvests'!O125</f>
        <v>450.56951620479094</v>
      </c>
      <c r="N126">
        <f>'rockfish harvests'!P125</f>
        <v>34555.289276141099</v>
      </c>
      <c r="O126" s="27">
        <f t="shared" si="115"/>
        <v>0.89705882400000003</v>
      </c>
      <c r="P126" s="27">
        <f t="shared" si="115"/>
        <v>4.5489800000000002E-4</v>
      </c>
      <c r="Q126" s="13">
        <f>M126*O126</f>
        <v>404.18736033691874</v>
      </c>
      <c r="R126" s="2">
        <f t="shared" si="74"/>
        <v>27915.212786411459</v>
      </c>
      <c r="S126">
        <f>SQRT(R126)</f>
        <v>167.07846296399623</v>
      </c>
      <c r="T126" s="6">
        <f>(1.96*S126)</f>
        <v>327.47378740943259</v>
      </c>
      <c r="V126" s="13">
        <f>Q126+H126</f>
        <v>2946.5335133529184</v>
      </c>
      <c r="W126">
        <f>R126+I126</f>
        <v>47767.283590535459</v>
      </c>
      <c r="X126">
        <f>SQRT(W126)</f>
        <v>218.55727759682463</v>
      </c>
      <c r="Y126" s="6">
        <f>(1.96*X126)</f>
        <v>428.37226408977625</v>
      </c>
      <c r="Z126" s="14">
        <f t="shared" si="127"/>
        <v>7.4174373583867373E-2</v>
      </c>
    </row>
    <row r="127" spans="1:26" s="51" customFormat="1" x14ac:dyDescent="0.3">
      <c r="A127" s="51" t="s">
        <v>81</v>
      </c>
      <c r="B127" s="51">
        <v>2022</v>
      </c>
      <c r="C127" s="51" t="s">
        <v>48</v>
      </c>
      <c r="D127">
        <f>'rockfish harvests'!D126</f>
        <v>1829</v>
      </c>
      <c r="E127" s="6">
        <v>1702</v>
      </c>
      <c r="F127" s="32">
        <v>0.94230769199999997</v>
      </c>
      <c r="G127" s="32">
        <v>2.7272310000000001E-3</v>
      </c>
      <c r="H127" s="7">
        <f t="shared" ref="H127" si="128">E127*F127</f>
        <v>1603.8076917839999</v>
      </c>
      <c r="I127">
        <f t="shared" ref="I127" si="129">(E127^2)*G127</f>
        <v>7900.2536697240002</v>
      </c>
      <c r="J127">
        <f t="shared" si="118"/>
        <v>88.883371165387288</v>
      </c>
      <c r="K127" s="6">
        <f t="shared" si="119"/>
        <v>174.21140748415908</v>
      </c>
      <c r="M127" s="2">
        <f>'rockfish harvests'!O126</f>
        <v>698.24578009149718</v>
      </c>
      <c r="N127">
        <f>'rockfish harvests'!P126</f>
        <v>79508.793444844647</v>
      </c>
      <c r="O127" s="27">
        <f t="shared" si="115"/>
        <v>0.946428571</v>
      </c>
      <c r="P127" s="27">
        <f t="shared" si="115"/>
        <v>4.5677100000000002E-4</v>
      </c>
      <c r="Q127" s="13">
        <f>M127*O127</f>
        <v>660.8397558587759</v>
      </c>
      <c r="R127" s="2">
        <f t="shared" si="74"/>
        <v>71477.190925939474</v>
      </c>
      <c r="S127">
        <f>SQRT(R127)</f>
        <v>267.35218519013358</v>
      </c>
      <c r="T127" s="6">
        <f>(1.96*S127)</f>
        <v>524.0102829726618</v>
      </c>
      <c r="V127" s="13">
        <f>Q127+H127</f>
        <v>2264.6474476427757</v>
      </c>
      <c r="W127">
        <f>R127+I127</f>
        <v>79377.444595663474</v>
      </c>
      <c r="X127">
        <f>SQRT(W127)</f>
        <v>281.74003016196241</v>
      </c>
      <c r="Y127" s="6">
        <f>(1.96*X127)</f>
        <v>552.21045911744636</v>
      </c>
      <c r="Z127" s="14">
        <f t="shared" ref="Z127" si="130">X127/V127</f>
        <v>0.12440789865778876</v>
      </c>
    </row>
    <row r="128" spans="1:26" x14ac:dyDescent="0.3">
      <c r="A128" t="str">
        <f>'rockfish harvests'!A127</f>
        <v>SC</v>
      </c>
      <c r="B128">
        <f>'rockfish harvests'!B127</f>
        <v>1998</v>
      </c>
      <c r="C128" t="str">
        <f>'rockfish harvests'!C127</f>
        <v>NG</v>
      </c>
      <c r="D128">
        <f>'rockfish harvests'!D127</f>
        <v>5169</v>
      </c>
      <c r="E128">
        <v>3927</v>
      </c>
      <c r="F128">
        <f>IF([1]species_comp_Region2_forR!$G169&gt;49,[1]species_comp_Region2_forR!$AD169,[1]species_comp_Region2_forR!$AF169)</f>
        <v>0.88760331599999998</v>
      </c>
      <c r="G128">
        <f>IF([1]species_comp_Region2_forR!$G169&gt;49,[1]species_comp_Region2_forR!$AE169,[1]species_comp_Region2_forR!$AG169)</f>
        <v>9.97637E-4</v>
      </c>
      <c r="H128" s="7">
        <f t="shared" ref="H128:H181" si="131">E128*F128</f>
        <v>3485.6182219319999</v>
      </c>
      <c r="I128">
        <f t="shared" ref="I128:I182" si="132">(E128^2)*G128</f>
        <v>15384.888399572999</v>
      </c>
      <c r="J128">
        <f t="shared" ref="J128:J181" si="133">SQRT(I128)</f>
        <v>124.0358351428046</v>
      </c>
      <c r="K128" s="6">
        <f t="shared" ref="K128:K181" si="134">(1.96*J128)</f>
        <v>243.110236879897</v>
      </c>
      <c r="M128" s="2">
        <f>'rockfish harvests'!O127</f>
        <v>2556.220955913016</v>
      </c>
      <c r="N128">
        <f>'rockfish harvests'!P127</f>
        <v>380846.86521831615</v>
      </c>
      <c r="O128">
        <f>IF([1]species_comp_Region2_forR!$D196&gt;49,[1]species_comp_Region2_forR!$N196,[1]species_comp_Region2_forR!$P196)</f>
        <v>0.77499063599999995</v>
      </c>
      <c r="P128">
        <f>IF([1]species_comp_Region2_forR!$D196&gt;49,[1]species_comp_Region2_forR!$O196,[1]species_comp_Region2_forR!$Q196)</f>
        <v>1.063294E-3</v>
      </c>
      <c r="Q128" s="13">
        <f t="shared" ref="Q128:Q180" si="135">M128*O128</f>
        <v>1981.0473043795562</v>
      </c>
      <c r="R128" s="2">
        <f t="shared" si="74"/>
        <v>236093.41833506108</v>
      </c>
      <c r="S128">
        <f t="shared" ref="S128:S181" si="136">SQRT(R128)</f>
        <v>485.89445184634604</v>
      </c>
      <c r="T128" s="6">
        <f t="shared" ref="T128:T181" si="137">(1.96*S128)</f>
        <v>952.35312561883825</v>
      </c>
      <c r="V128" s="13">
        <f t="shared" ref="V128:V180" si="138">Q128+H128</f>
        <v>5466.6655263115563</v>
      </c>
      <c r="W128">
        <f t="shared" ref="W128:W180" si="139">R128+I128</f>
        <v>251478.3067346341</v>
      </c>
      <c r="X128">
        <f t="shared" ref="X128:X181" si="140">SQRT(W128)</f>
        <v>501.47612778140706</v>
      </c>
      <c r="Y128" s="6">
        <f t="shared" ref="Y128:Y181" si="141">(1.96*X128)</f>
        <v>982.89321045155782</v>
      </c>
      <c r="Z128" s="14">
        <f>X128/V128</f>
        <v>9.1733457144534819E-2</v>
      </c>
    </row>
    <row r="129" spans="1:26" x14ac:dyDescent="0.3">
      <c r="A129" t="str">
        <f>'rockfish harvests'!A128</f>
        <v>SC</v>
      </c>
      <c r="B129">
        <f>'rockfish harvests'!B128</f>
        <v>1999</v>
      </c>
      <c r="C129" t="str">
        <f>'rockfish harvests'!C128</f>
        <v>NG</v>
      </c>
      <c r="D129">
        <f>'rockfish harvests'!D128</f>
        <v>9276</v>
      </c>
      <c r="E129">
        <v>8138</v>
      </c>
      <c r="F129">
        <f>IF([1]species_comp_Region2_forR!$G170&gt;49,[1]species_comp_Region2_forR!$AD170,[1]species_comp_Region2_forR!$AF170)</f>
        <v>0.93184353799999997</v>
      </c>
      <c r="G129">
        <f>IF([1]species_comp_Region2_forR!$G170&gt;49,[1]species_comp_Region2_forR!$AE170,[1]species_comp_Region2_forR!$AG170)</f>
        <v>2.6463000000000002E-4</v>
      </c>
      <c r="H129" s="7">
        <f t="shared" si="131"/>
        <v>7583.3427122439998</v>
      </c>
      <c r="I129">
        <f t="shared" si="132"/>
        <v>17525.662653720003</v>
      </c>
      <c r="J129">
        <f t="shared" si="133"/>
        <v>132.38452573363702</v>
      </c>
      <c r="K129" s="6">
        <f t="shared" si="134"/>
        <v>259.47367043792855</v>
      </c>
      <c r="M129" s="2">
        <f>'rockfish harvests'!O128</f>
        <v>4587.2519998160442</v>
      </c>
      <c r="N129">
        <f>'rockfish harvests'!P128</f>
        <v>1226475.2843498222</v>
      </c>
      <c r="O129">
        <f>IF([1]species_comp_Region2_forR!$D197&gt;49,[1]species_comp_Region2_forR!$N197,[1]species_comp_Region2_forR!$P197)</f>
        <v>0.57976282899999998</v>
      </c>
      <c r="P129">
        <f>IF([1]species_comp_Region2_forR!$D197&gt;49,[1]species_comp_Region2_forR!$O197,[1]species_comp_Region2_forR!$Q197)</f>
        <v>1.624253E-3</v>
      </c>
      <c r="Q129" s="13">
        <f t="shared" si="135"/>
        <v>2659.5181967492572</v>
      </c>
      <c r="R129" s="2">
        <f t="shared" si="74"/>
        <v>448419.99738224904</v>
      </c>
      <c r="S129">
        <f t="shared" si="136"/>
        <v>669.64169328249648</v>
      </c>
      <c r="T129" s="6">
        <f t="shared" si="137"/>
        <v>1312.4977188336932</v>
      </c>
      <c r="V129" s="13">
        <f t="shared" si="138"/>
        <v>10242.860908993258</v>
      </c>
      <c r="W129">
        <f t="shared" si="139"/>
        <v>465945.66003596905</v>
      </c>
      <c r="X129">
        <f t="shared" si="140"/>
        <v>682.60212425392365</v>
      </c>
      <c r="Y129" s="6">
        <f t="shared" si="141"/>
        <v>1337.9001635376903</v>
      </c>
      <c r="Z129" s="14">
        <f t="shared" ref="Z129:Z174" si="142">X129/V129</f>
        <v>6.6641744949850604E-2</v>
      </c>
    </row>
    <row r="130" spans="1:26" x14ac:dyDescent="0.3">
      <c r="A130" t="str">
        <f>'rockfish harvests'!A129</f>
        <v>SC</v>
      </c>
      <c r="B130">
        <f>'rockfish harvests'!B129</f>
        <v>2000</v>
      </c>
      <c r="C130" t="str">
        <f>'rockfish harvests'!C129</f>
        <v>NG</v>
      </c>
      <c r="D130">
        <f>'rockfish harvests'!D129</f>
        <v>13107</v>
      </c>
      <c r="E130">
        <v>10703</v>
      </c>
      <c r="F130">
        <f>IF([1]species_comp_Region2_forR!$G171&gt;49,[1]species_comp_Region2_forR!$AD171,[1]species_comp_Region2_forR!$AF171)</f>
        <v>0.87924992300000004</v>
      </c>
      <c r="G130">
        <f>IF([1]species_comp_Region2_forR!$G171&gt;49,[1]species_comp_Region2_forR!$AE171,[1]species_comp_Region2_forR!$AG171)</f>
        <v>1.083362E-3</v>
      </c>
      <c r="H130" s="7">
        <f t="shared" si="131"/>
        <v>9410.6119258689996</v>
      </c>
      <c r="I130">
        <f t="shared" si="132"/>
        <v>124103.67697065801</v>
      </c>
      <c r="J130">
        <f t="shared" si="133"/>
        <v>352.28351788106409</v>
      </c>
      <c r="K130" s="6">
        <f t="shared" si="134"/>
        <v>690.47569504688556</v>
      </c>
      <c r="M130" s="2">
        <f>'rockfish harvests'!O129</f>
        <v>6481.7930100893609</v>
      </c>
      <c r="N130">
        <f>'rockfish harvests'!P129</f>
        <v>2448747.0158551079</v>
      </c>
      <c r="O130">
        <f>IF([1]species_comp_Region2_forR!$D198&gt;49,[1]species_comp_Region2_forR!$N198,[1]species_comp_Region2_forR!$P198)</f>
        <v>0.74264705900000005</v>
      </c>
      <c r="P130">
        <f>IF([1]species_comp_Region2_forR!$D198&gt;49,[1]species_comp_Region2_forR!$O198,[1]species_comp_Region2_forR!$Q198)</f>
        <v>1.4157219999999999E-3</v>
      </c>
      <c r="Q130" s="13">
        <f t="shared" si="135"/>
        <v>4813.6845159896211</v>
      </c>
      <c r="R130" s="2">
        <f t="shared" si="74"/>
        <v>1413490.7316006224</v>
      </c>
      <c r="S130">
        <f t="shared" si="136"/>
        <v>1188.9031632562101</v>
      </c>
      <c r="T130" s="6">
        <f t="shared" si="137"/>
        <v>2330.2501999821716</v>
      </c>
      <c r="V130" s="13">
        <f t="shared" si="138"/>
        <v>14224.29644185862</v>
      </c>
      <c r="W130">
        <f t="shared" si="139"/>
        <v>1537594.4085712805</v>
      </c>
      <c r="X130">
        <f t="shared" si="140"/>
        <v>1239.9977453895956</v>
      </c>
      <c r="Y130" s="6">
        <f t="shared" si="141"/>
        <v>2430.3955809636072</v>
      </c>
      <c r="Z130" s="14">
        <f t="shared" si="142"/>
        <v>8.7174627613959596E-2</v>
      </c>
    </row>
    <row r="131" spans="1:26" x14ac:dyDescent="0.3">
      <c r="A131" t="str">
        <f>'rockfish harvests'!A130</f>
        <v>SC</v>
      </c>
      <c r="B131">
        <f>'rockfish harvests'!B130</f>
        <v>2001</v>
      </c>
      <c r="C131" t="str">
        <f>'rockfish harvests'!C130</f>
        <v>NG</v>
      </c>
      <c r="D131">
        <f>'rockfish harvests'!D130</f>
        <v>20907</v>
      </c>
      <c r="E131">
        <v>18457</v>
      </c>
      <c r="F131">
        <f>IF([1]species_comp_Region2_forR!$G172&gt;49,[1]species_comp_Region2_forR!$AD172,[1]species_comp_Region2_forR!$AF172)</f>
        <v>0.91030543200000003</v>
      </c>
      <c r="G131">
        <f>IF([1]species_comp_Region2_forR!$G172&gt;49,[1]species_comp_Region2_forR!$AE172,[1]species_comp_Region2_forR!$AG172)</f>
        <v>5.0400900000000003E-4</v>
      </c>
      <c r="H131" s="7">
        <f t="shared" si="131"/>
        <v>16801.507358424002</v>
      </c>
      <c r="I131">
        <f t="shared" si="132"/>
        <v>171696.133843641</v>
      </c>
      <c r="J131">
        <f t="shared" si="133"/>
        <v>414.36232194016026</v>
      </c>
      <c r="K131" s="6">
        <f t="shared" si="134"/>
        <v>812.1501510027141</v>
      </c>
      <c r="M131" s="2">
        <f>'rockfish harvests'!O130</f>
        <v>10339.120047450848</v>
      </c>
      <c r="N131">
        <f>'rockfish harvests'!P130</f>
        <v>6230469.2850139625</v>
      </c>
      <c r="O131">
        <f>IF([1]species_comp_Region2_forR!$D199&gt;49,[1]species_comp_Region2_forR!$N199,[1]species_comp_Region2_forR!$P199)</f>
        <v>0.73493975899999997</v>
      </c>
      <c r="P131">
        <f>IF([1]species_comp_Region2_forR!$D199&gt;49,[1]species_comp_Region2_forR!$O199,[1]species_comp_Region2_forR!$Q199)</f>
        <v>1.1806259999999999E-3</v>
      </c>
      <c r="Q131" s="13">
        <f t="shared" si="135"/>
        <v>7598.6303959455945</v>
      </c>
      <c r="R131" s="2">
        <f t="shared" si="74"/>
        <v>3498865.2652118104</v>
      </c>
      <c r="S131">
        <f t="shared" si="136"/>
        <v>1870.5253981734143</v>
      </c>
      <c r="T131" s="6">
        <f t="shared" si="137"/>
        <v>3666.229780419892</v>
      </c>
      <c r="V131" s="13">
        <f t="shared" si="138"/>
        <v>24400.137754369596</v>
      </c>
      <c r="W131">
        <f t="shared" si="139"/>
        <v>3670561.3990554512</v>
      </c>
      <c r="X131">
        <f t="shared" si="140"/>
        <v>1915.8709244245686</v>
      </c>
      <c r="Y131" s="6">
        <f t="shared" si="141"/>
        <v>3755.1070118721541</v>
      </c>
      <c r="Z131" s="14">
        <f t="shared" si="142"/>
        <v>7.8518856889710498E-2</v>
      </c>
    </row>
    <row r="132" spans="1:26" x14ac:dyDescent="0.3">
      <c r="A132" t="str">
        <f>'rockfish harvests'!A131</f>
        <v>SC</v>
      </c>
      <c r="B132">
        <f>'rockfish harvests'!B131</f>
        <v>2002</v>
      </c>
      <c r="C132" t="str">
        <f>'rockfish harvests'!C131</f>
        <v>NG</v>
      </c>
      <c r="D132">
        <f>'rockfish harvests'!D131</f>
        <v>17318</v>
      </c>
      <c r="E132">
        <v>15088</v>
      </c>
      <c r="F132">
        <f>IF([1]species_comp_Region2_forR!$G173&gt;49,[1]species_comp_Region2_forR!$AD173,[1]species_comp_Region2_forR!$AF173)</f>
        <v>0.88527489999999998</v>
      </c>
      <c r="G132">
        <f>IF([1]species_comp_Region2_forR!$G173&gt;49,[1]species_comp_Region2_forR!$AE173,[1]species_comp_Region2_forR!$AG173)</f>
        <v>4.83635E-4</v>
      </c>
      <c r="H132" s="7">
        <f t="shared" si="131"/>
        <v>13357.027691199999</v>
      </c>
      <c r="I132">
        <f t="shared" si="132"/>
        <v>110098.41666944</v>
      </c>
      <c r="J132">
        <f t="shared" si="133"/>
        <v>331.81081457577602</v>
      </c>
      <c r="K132" s="6">
        <f t="shared" si="134"/>
        <v>650.34919656852094</v>
      </c>
      <c r="M132" s="2">
        <f>'rockfish harvests'!O131</f>
        <v>8564.2550811572073</v>
      </c>
      <c r="N132">
        <f>'rockfish harvests'!P131</f>
        <v>4274967.2451758217</v>
      </c>
      <c r="O132">
        <f>IF([1]species_comp_Region2_forR!$D200&gt;49,[1]species_comp_Region2_forR!$N200,[1]species_comp_Region2_forR!$P200)</f>
        <v>0.75615469700000004</v>
      </c>
      <c r="P132">
        <f>IF([1]species_comp_Region2_forR!$D200&gt;49,[1]species_comp_Region2_forR!$O200,[1]species_comp_Region2_forR!$Q200)</f>
        <v>6.6325499999999996E-4</v>
      </c>
      <c r="Q132" s="13">
        <f t="shared" si="135"/>
        <v>6475.9017059231392</v>
      </c>
      <c r="R132" s="2">
        <f t="shared" ref="R132:R195" si="143">(M132^2)*P132+(O132^2)*N132+(P132*N132)</f>
        <v>2495780.5076577947</v>
      </c>
      <c r="S132">
        <f t="shared" si="136"/>
        <v>1579.8039459558881</v>
      </c>
      <c r="T132" s="6">
        <f t="shared" si="137"/>
        <v>3096.4157340735405</v>
      </c>
      <c r="V132" s="13">
        <f t="shared" si="138"/>
        <v>19832.929397123138</v>
      </c>
      <c r="W132">
        <f t="shared" si="139"/>
        <v>2605878.9243272347</v>
      </c>
      <c r="X132">
        <f t="shared" si="140"/>
        <v>1614.2734973749755</v>
      </c>
      <c r="Y132" s="6">
        <f t="shared" si="141"/>
        <v>3163.9760548549521</v>
      </c>
      <c r="Z132" s="14">
        <f t="shared" si="142"/>
        <v>8.13935987494179E-2</v>
      </c>
    </row>
    <row r="133" spans="1:26" x14ac:dyDescent="0.3">
      <c r="A133" t="str">
        <f>'rockfish harvests'!A132</f>
        <v>SC</v>
      </c>
      <c r="B133">
        <f>'rockfish harvests'!B132</f>
        <v>2003</v>
      </c>
      <c r="C133" t="str">
        <f>'rockfish harvests'!C132</f>
        <v>NG</v>
      </c>
      <c r="D133">
        <f>'rockfish harvests'!D132</f>
        <v>17020</v>
      </c>
      <c r="E133">
        <v>13573</v>
      </c>
      <c r="F133">
        <f>IF([1]species_comp_Region2_forR!$G174&gt;49,[1]species_comp_Region2_forR!$AD174,[1]species_comp_Region2_forR!$AF174)</f>
        <v>0.892801917</v>
      </c>
      <c r="G133">
        <f>IF([1]species_comp_Region2_forR!$G174&gt;49,[1]species_comp_Region2_forR!$AE174,[1]species_comp_Region2_forR!$AG174)</f>
        <v>1.9027200000000001E-4</v>
      </c>
      <c r="H133" s="7">
        <f t="shared" si="131"/>
        <v>12118.000419440999</v>
      </c>
      <c r="I133">
        <f t="shared" si="132"/>
        <v>35053.112071488002</v>
      </c>
      <c r="J133">
        <f t="shared" si="133"/>
        <v>187.22476351030065</v>
      </c>
      <c r="K133" s="6">
        <f t="shared" si="134"/>
        <v>366.96053648018926</v>
      </c>
      <c r="M133" s="2">
        <f>'rockfish harvests'!O132</f>
        <v>8416.8854071657042</v>
      </c>
      <c r="N133">
        <f>'rockfish harvests'!P132</f>
        <v>4129109.8070434225</v>
      </c>
      <c r="O133">
        <f>IF([1]species_comp_Region2_forR!$D201&gt;49,[1]species_comp_Region2_forR!$N201,[1]species_comp_Region2_forR!$P201)</f>
        <v>0.80010162399999996</v>
      </c>
      <c r="P133">
        <f>IF([1]species_comp_Region2_forR!$D201&gt;49,[1]species_comp_Region2_forR!$O201,[1]species_comp_Region2_forR!$Q201)</f>
        <v>5.2267700000000004E-4</v>
      </c>
      <c r="Q133" s="13">
        <f t="shared" si="135"/>
        <v>6734.3636832951806</v>
      </c>
      <c r="R133" s="2">
        <f t="shared" si="143"/>
        <v>2682488.4049842111</v>
      </c>
      <c r="S133">
        <f t="shared" si="136"/>
        <v>1637.8303956711181</v>
      </c>
      <c r="T133" s="6">
        <f t="shared" si="137"/>
        <v>3210.1475755153915</v>
      </c>
      <c r="V133" s="13">
        <f t="shared" si="138"/>
        <v>18852.364102736181</v>
      </c>
      <c r="W133">
        <f t="shared" si="139"/>
        <v>2717541.5170556991</v>
      </c>
      <c r="X133">
        <f t="shared" si="140"/>
        <v>1648.4967446299975</v>
      </c>
      <c r="Y133" s="6">
        <f t="shared" si="141"/>
        <v>3231.0536194747951</v>
      </c>
      <c r="Z133" s="14">
        <f t="shared" si="142"/>
        <v>8.7442441470284307E-2</v>
      </c>
    </row>
    <row r="134" spans="1:26" x14ac:dyDescent="0.3">
      <c r="A134" t="str">
        <f>'rockfish harvests'!A133</f>
        <v>SC</v>
      </c>
      <c r="B134">
        <f>'rockfish harvests'!B133</f>
        <v>2004</v>
      </c>
      <c r="C134" t="str">
        <f>'rockfish harvests'!C133</f>
        <v>NG</v>
      </c>
      <c r="D134">
        <f>'rockfish harvests'!D133</f>
        <v>19434</v>
      </c>
      <c r="E134">
        <v>15959</v>
      </c>
      <c r="F134">
        <f>IF([1]species_comp_Region2_forR!$G175&gt;49,[1]species_comp_Region2_forR!$AD175,[1]species_comp_Region2_forR!$AF175)</f>
        <v>0.90127856799999995</v>
      </c>
      <c r="G134">
        <f>IF([1]species_comp_Region2_forR!$G175&gt;49,[1]species_comp_Region2_forR!$AE175,[1]species_comp_Region2_forR!$AG175)</f>
        <v>1.4011899999999999E-4</v>
      </c>
      <c r="H134" s="7">
        <f t="shared" si="131"/>
        <v>14383.504666711999</v>
      </c>
      <c r="I134">
        <f t="shared" si="132"/>
        <v>35686.863412038998</v>
      </c>
      <c r="J134">
        <f t="shared" si="133"/>
        <v>188.9096699802289</v>
      </c>
      <c r="K134" s="6">
        <f t="shared" si="134"/>
        <v>370.26295316124862</v>
      </c>
      <c r="M134" s="2">
        <f>'rockfish harvests'!O133</f>
        <v>9610.6786723183504</v>
      </c>
      <c r="N134">
        <f>'rockfish harvests'!P133</f>
        <v>5383462.8158731172</v>
      </c>
      <c r="O134">
        <f>IF([1]species_comp_Region2_forR!$D202&gt;49,[1]species_comp_Region2_forR!$N202,[1]species_comp_Region2_forR!$P202)</f>
        <v>0.72031376300000005</v>
      </c>
      <c r="P134">
        <f>IF([1]species_comp_Region2_forR!$D202&gt;49,[1]species_comp_Region2_forR!$O202,[1]species_comp_Region2_forR!$Q202)</f>
        <v>4.58911E-4</v>
      </c>
      <c r="Q134" s="13">
        <f t="shared" si="135"/>
        <v>6922.7041194414751</v>
      </c>
      <c r="R134" s="2">
        <f t="shared" si="143"/>
        <v>2838077.9141656719</v>
      </c>
      <c r="S134">
        <f t="shared" si="136"/>
        <v>1684.6595840601365</v>
      </c>
      <c r="T134" s="6">
        <f t="shared" si="137"/>
        <v>3301.9327847578675</v>
      </c>
      <c r="V134" s="13">
        <f t="shared" si="138"/>
        <v>21306.208786153475</v>
      </c>
      <c r="W134">
        <f t="shared" si="139"/>
        <v>2873764.7775777108</v>
      </c>
      <c r="X134">
        <f t="shared" si="140"/>
        <v>1695.2182094284237</v>
      </c>
      <c r="Y134" s="6">
        <f t="shared" si="141"/>
        <v>3322.6276904797105</v>
      </c>
      <c r="Z134" s="14">
        <f t="shared" si="142"/>
        <v>7.9564516918191275E-2</v>
      </c>
    </row>
    <row r="135" spans="1:26" x14ac:dyDescent="0.3">
      <c r="A135" t="str">
        <f>'rockfish harvests'!A134</f>
        <v>SC</v>
      </c>
      <c r="B135">
        <f>'rockfish harvests'!B134</f>
        <v>2005</v>
      </c>
      <c r="C135" t="str">
        <f>'rockfish harvests'!C134</f>
        <v>NG</v>
      </c>
      <c r="D135">
        <f>'rockfish harvests'!D134</f>
        <v>22792</v>
      </c>
      <c r="E135">
        <v>18621</v>
      </c>
      <c r="F135">
        <f>IF([1]species_comp_Region2_forR!$G176&gt;49,[1]species_comp_Region2_forR!$AD176,[1]species_comp_Region2_forR!$AF176)</f>
        <v>0.91241422000000005</v>
      </c>
      <c r="G135">
        <f>IF([1]species_comp_Region2_forR!$G176&gt;49,[1]species_comp_Region2_forR!$AE176,[1]species_comp_Region2_forR!$AG176)</f>
        <v>2.19545E-4</v>
      </c>
      <c r="H135" s="7">
        <f t="shared" si="131"/>
        <v>16990.06519062</v>
      </c>
      <c r="I135">
        <f t="shared" si="132"/>
        <v>76125.393573345005</v>
      </c>
      <c r="J135">
        <f t="shared" si="133"/>
        <v>275.90830645949211</v>
      </c>
      <c r="K135" s="6">
        <f t="shared" si="134"/>
        <v>540.78028066060449</v>
      </c>
      <c r="M135" s="2">
        <f>'rockfish harvests'!O134</f>
        <v>11271.307414813207</v>
      </c>
      <c r="N135">
        <f>'rockfish harvests'!P134</f>
        <v>7404610.0706118569</v>
      </c>
      <c r="O135">
        <f>IF([1]species_comp_Region2_forR!$D203&gt;49,[1]species_comp_Region2_forR!$N203,[1]species_comp_Region2_forR!$P203)</f>
        <v>0.65745444099999995</v>
      </c>
      <c r="P135">
        <f>IF([1]species_comp_Region2_forR!$D203&gt;49,[1]species_comp_Region2_forR!$O203,[1]species_comp_Region2_forR!$Q203)</f>
        <v>9.2678200000000002E-4</v>
      </c>
      <c r="Q135" s="13">
        <f t="shared" si="135"/>
        <v>7410.3711157451717</v>
      </c>
      <c r="R135" s="2">
        <f t="shared" si="143"/>
        <v>3325218.6587504782</v>
      </c>
      <c r="S135">
        <f t="shared" si="136"/>
        <v>1823.5182090537178</v>
      </c>
      <c r="T135" s="6">
        <f t="shared" si="137"/>
        <v>3574.0956897452866</v>
      </c>
      <c r="V135" s="13">
        <f t="shared" si="138"/>
        <v>24400.436306365173</v>
      </c>
      <c r="W135">
        <f t="shared" si="139"/>
        <v>3401344.0523238233</v>
      </c>
      <c r="X135">
        <f t="shared" si="140"/>
        <v>1844.2733128047544</v>
      </c>
      <c r="Y135" s="6">
        <f t="shared" si="141"/>
        <v>3614.7756930973187</v>
      </c>
      <c r="Z135" s="14">
        <f t="shared" si="142"/>
        <v>7.5583620294676926E-2</v>
      </c>
    </row>
    <row r="136" spans="1:26" x14ac:dyDescent="0.3">
      <c r="A136" t="str">
        <f>'rockfish harvests'!A135</f>
        <v>SC</v>
      </c>
      <c r="B136">
        <f>'rockfish harvests'!B135</f>
        <v>2006</v>
      </c>
      <c r="C136" t="str">
        <f>'rockfish harvests'!C135</f>
        <v>NG</v>
      </c>
      <c r="D136">
        <f>'rockfish harvests'!D135</f>
        <v>19998</v>
      </c>
      <c r="E136">
        <v>15867</v>
      </c>
      <c r="F136">
        <f>IF([1]species_comp_Region2_forR!$G177&gt;49,[1]species_comp_Region2_forR!$AD177,[1]species_comp_Region2_forR!$AF177)</f>
        <v>0.91806032699999995</v>
      </c>
      <c r="G136">
        <f>IF([1]species_comp_Region2_forR!$G177&gt;49,[1]species_comp_Region2_forR!$AE177,[1]species_comp_Region2_forR!$AG177)</f>
        <v>1.3174399999999999E-4</v>
      </c>
      <c r="H136" s="7">
        <f t="shared" si="131"/>
        <v>14566.863208508999</v>
      </c>
      <c r="I136">
        <f t="shared" si="132"/>
        <v>33168.091955616001</v>
      </c>
      <c r="J136">
        <f t="shared" si="133"/>
        <v>182.12109146283964</v>
      </c>
      <c r="K136" s="6">
        <f t="shared" si="134"/>
        <v>356.95733926716571</v>
      </c>
      <c r="M136" s="2">
        <f>'rockfish harvests'!O135</f>
        <v>9889.5930888660259</v>
      </c>
      <c r="N136">
        <f>'rockfish harvests'!P135</f>
        <v>5700467.1719220383</v>
      </c>
      <c r="O136">
        <f>IF([1]species_comp_Region2_forR!$D204&gt;49,[1]species_comp_Region2_forR!$N204,[1]species_comp_Region2_forR!$P204)</f>
        <v>0.59946611999999999</v>
      </c>
      <c r="P136">
        <f>IF([1]species_comp_Region2_forR!$D204&gt;49,[1]species_comp_Region2_forR!$O204,[1]species_comp_Region2_forR!$Q204)</f>
        <v>7.7204699999999999E-4</v>
      </c>
      <c r="Q136" s="13">
        <f t="shared" si="135"/>
        <v>5928.4759973613318</v>
      </c>
      <c r="R136" s="2">
        <f t="shared" si="143"/>
        <v>2128428.1212861692</v>
      </c>
      <c r="S136">
        <f t="shared" si="136"/>
        <v>1458.9133357695273</v>
      </c>
      <c r="T136" s="6">
        <f t="shared" si="137"/>
        <v>2859.4701381082737</v>
      </c>
      <c r="V136" s="13">
        <f t="shared" si="138"/>
        <v>20495.339205870332</v>
      </c>
      <c r="W136">
        <f t="shared" si="139"/>
        <v>2161596.2132417853</v>
      </c>
      <c r="X136">
        <f t="shared" si="140"/>
        <v>1470.2367881541345</v>
      </c>
      <c r="Y136" s="6">
        <f t="shared" si="141"/>
        <v>2881.6641047821035</v>
      </c>
      <c r="Z136" s="14">
        <f t="shared" si="142"/>
        <v>7.1735177124222727E-2</v>
      </c>
    </row>
    <row r="137" spans="1:26" x14ac:dyDescent="0.3">
      <c r="A137" t="str">
        <f>'rockfish harvests'!A136</f>
        <v>SC</v>
      </c>
      <c r="B137">
        <f>'rockfish harvests'!B136</f>
        <v>2007</v>
      </c>
      <c r="C137" t="str">
        <f>'rockfish harvests'!C136</f>
        <v>NG</v>
      </c>
      <c r="D137">
        <f>'rockfish harvests'!D136</f>
        <v>23861</v>
      </c>
      <c r="E137">
        <v>19743</v>
      </c>
      <c r="F137">
        <f>IF([1]species_comp_Region2_forR!$G178&gt;49,[1]species_comp_Region2_forR!$AD178,[1]species_comp_Region2_forR!$AF178)</f>
        <v>0.96377290800000004</v>
      </c>
      <c r="G137">
        <f>IF([1]species_comp_Region2_forR!$G178&gt;49,[1]species_comp_Region2_forR!$AE178,[1]species_comp_Region2_forR!$AG178)</f>
        <v>6.5752699999999998E-5</v>
      </c>
      <c r="H137" s="7">
        <f t="shared" si="131"/>
        <v>19027.768522644001</v>
      </c>
      <c r="I137">
        <f t="shared" si="132"/>
        <v>25629.4851440823</v>
      </c>
      <c r="J137">
        <f t="shared" si="133"/>
        <v>160.09211455934457</v>
      </c>
      <c r="K137" s="6">
        <f t="shared" si="134"/>
        <v>313.78054453631535</v>
      </c>
      <c r="M137" s="2">
        <f>'rockfish harvests'!O136</f>
        <v>11799.959030574668</v>
      </c>
      <c r="N137">
        <f>'rockfish harvests'!P136</f>
        <v>8115487.2982604261</v>
      </c>
      <c r="O137">
        <f>IF([1]species_comp_Region2_forR!$D205&gt;49,[1]species_comp_Region2_forR!$N205,[1]species_comp_Region2_forR!$P205)</f>
        <v>0.69551280599999998</v>
      </c>
      <c r="P137">
        <f>IF([1]species_comp_Region2_forR!$D205&gt;49,[1]species_comp_Region2_forR!$O205,[1]species_comp_Region2_forR!$Q205)</f>
        <v>8.3048900000000001E-4</v>
      </c>
      <c r="Q137" s="13">
        <f t="shared" si="135"/>
        <v>8207.0226160400271</v>
      </c>
      <c r="R137" s="2">
        <f t="shared" si="143"/>
        <v>4048146.416787683</v>
      </c>
      <c r="S137">
        <f t="shared" si="136"/>
        <v>2012.000600593271</v>
      </c>
      <c r="T137" s="6">
        <f t="shared" si="137"/>
        <v>3943.521177162811</v>
      </c>
      <c r="V137" s="13">
        <f t="shared" si="138"/>
        <v>27234.791138684028</v>
      </c>
      <c r="W137">
        <f t="shared" si="139"/>
        <v>4073775.9019317655</v>
      </c>
      <c r="X137">
        <f t="shared" si="140"/>
        <v>2018.3597057838242</v>
      </c>
      <c r="Y137" s="6">
        <f t="shared" si="141"/>
        <v>3955.9850233362954</v>
      </c>
      <c r="Z137" s="14">
        <f t="shared" si="142"/>
        <v>7.4109608386787512E-2</v>
      </c>
    </row>
    <row r="138" spans="1:26" x14ac:dyDescent="0.3">
      <c r="A138" t="str">
        <f>'rockfish harvests'!A137</f>
        <v>SC</v>
      </c>
      <c r="B138">
        <f>'rockfish harvests'!B137</f>
        <v>2008</v>
      </c>
      <c r="C138" t="str">
        <f>'rockfish harvests'!C137</f>
        <v>NG</v>
      </c>
      <c r="D138">
        <f>'rockfish harvests'!D137</f>
        <v>25596</v>
      </c>
      <c r="E138">
        <v>20867</v>
      </c>
      <c r="F138">
        <f>IF([1]species_comp_Region2_forR!$G179&gt;49,[1]species_comp_Region2_forR!$AD179,[1]species_comp_Region2_forR!$AF179)</f>
        <v>0.95413883899999996</v>
      </c>
      <c r="G138">
        <f>IF([1]species_comp_Region2_forR!$G179&gt;49,[1]species_comp_Region2_forR!$AE179,[1]species_comp_Region2_forR!$AG179)</f>
        <v>7.6366300000000001E-5</v>
      </c>
      <c r="H138" s="7">
        <f t="shared" si="131"/>
        <v>19910.015153412998</v>
      </c>
      <c r="I138">
        <f t="shared" si="132"/>
        <v>33252.3069916807</v>
      </c>
      <c r="J138">
        <f t="shared" si="133"/>
        <v>182.35215104758348</v>
      </c>
      <c r="K138" s="6">
        <f t="shared" si="134"/>
        <v>357.41021605326358</v>
      </c>
      <c r="M138" s="2">
        <f>'rockfish harvests'!O137</f>
        <v>12657.967031833927</v>
      </c>
      <c r="N138">
        <f>'rockfish harvests'!P137</f>
        <v>9338594.6288435515</v>
      </c>
      <c r="O138">
        <f>IF([1]species_comp_Region2_forR!$D206&gt;49,[1]species_comp_Region2_forR!$N206,[1]species_comp_Region2_forR!$P206)</f>
        <v>0.69406392699999997</v>
      </c>
      <c r="P138">
        <f>IF([1]species_comp_Region2_forR!$D206&gt;49,[1]species_comp_Region2_forR!$O206,[1]species_comp_Region2_forR!$Q206)</f>
        <v>9.7403300000000002E-4</v>
      </c>
      <c r="Q138" s="13">
        <f t="shared" si="135"/>
        <v>8785.4383059511892</v>
      </c>
      <c r="R138" s="2">
        <f t="shared" si="143"/>
        <v>4663791.7093892004</v>
      </c>
      <c r="S138">
        <f t="shared" si="136"/>
        <v>2159.5813736437904</v>
      </c>
      <c r="T138" s="6">
        <f t="shared" si="137"/>
        <v>4232.7794923418287</v>
      </c>
      <c r="V138" s="13">
        <f t="shared" si="138"/>
        <v>28695.453459364187</v>
      </c>
      <c r="W138">
        <f t="shared" si="139"/>
        <v>4697044.016380881</v>
      </c>
      <c r="X138">
        <f t="shared" si="140"/>
        <v>2167.2664848561844</v>
      </c>
      <c r="Y138" s="6">
        <f t="shared" si="141"/>
        <v>4247.8423103181212</v>
      </c>
      <c r="Z138" s="14">
        <f t="shared" si="142"/>
        <v>7.5526476273506685E-2</v>
      </c>
    </row>
    <row r="139" spans="1:26" x14ac:dyDescent="0.3">
      <c r="A139" t="str">
        <f>'rockfish harvests'!A138</f>
        <v>SC</v>
      </c>
      <c r="B139">
        <f>'rockfish harvests'!B138</f>
        <v>2009</v>
      </c>
      <c r="C139" t="str">
        <f>'rockfish harvests'!C138</f>
        <v>NG</v>
      </c>
      <c r="D139">
        <f>'rockfish harvests'!D138</f>
        <v>21909</v>
      </c>
      <c r="E139">
        <v>18588</v>
      </c>
      <c r="F139">
        <f>IF([1]species_comp_Region2_forR!$G180&gt;49,[1]species_comp_Region2_forR!$AD180,[1]species_comp_Region2_forR!$AF180)</f>
        <v>0.82317551899999997</v>
      </c>
      <c r="G139">
        <f>IF([1]species_comp_Region2_forR!$G180&gt;49,[1]species_comp_Region2_forR!$AE180,[1]species_comp_Region2_forR!$AG180)</f>
        <v>1.8425000000000001E-4</v>
      </c>
      <c r="H139" s="7">
        <f t="shared" si="131"/>
        <v>15301.186547171999</v>
      </c>
      <c r="I139">
        <f t="shared" si="132"/>
        <v>63660.907332000002</v>
      </c>
      <c r="J139">
        <f t="shared" si="133"/>
        <v>252.31113200174107</v>
      </c>
      <c r="K139" s="6">
        <f t="shared" si="134"/>
        <v>494.52981872341252</v>
      </c>
      <c r="M139" s="2">
        <f>'rockfish harvests'!O138</f>
        <v>10834.638213019593</v>
      </c>
      <c r="N139">
        <f>'rockfish harvests'!P138</f>
        <v>6841989.9451254793</v>
      </c>
      <c r="O139">
        <f>IF([1]species_comp_Region2_forR!$D207&gt;49,[1]species_comp_Region2_forR!$N207,[1]species_comp_Region2_forR!$P207)</f>
        <v>0.67383496099999995</v>
      </c>
      <c r="P139">
        <f>IF([1]species_comp_Region2_forR!$D207&gt;49,[1]species_comp_Region2_forR!$O207,[1]species_comp_Region2_forR!$Q207)</f>
        <v>3.9743500000000002E-4</v>
      </c>
      <c r="Q139" s="13">
        <f t="shared" si="135"/>
        <v>7300.7580177191667</v>
      </c>
      <c r="R139" s="2">
        <f t="shared" si="143"/>
        <v>3156003.7521559689</v>
      </c>
      <c r="S139">
        <f t="shared" si="136"/>
        <v>1776.5144953407976</v>
      </c>
      <c r="T139" s="6">
        <f t="shared" si="137"/>
        <v>3481.968410867963</v>
      </c>
      <c r="V139" s="13">
        <f t="shared" si="138"/>
        <v>22601.944564891164</v>
      </c>
      <c r="W139">
        <f t="shared" si="139"/>
        <v>3219664.6594879688</v>
      </c>
      <c r="X139">
        <f t="shared" si="140"/>
        <v>1794.3424030791807</v>
      </c>
      <c r="Y139" s="6">
        <f t="shared" si="141"/>
        <v>3516.9111100351943</v>
      </c>
      <c r="Z139" s="14">
        <f t="shared" si="142"/>
        <v>7.9388850721562723E-2</v>
      </c>
    </row>
    <row r="140" spans="1:26" x14ac:dyDescent="0.3">
      <c r="A140" t="str">
        <f>'rockfish harvests'!A139</f>
        <v>SC</v>
      </c>
      <c r="B140">
        <f>'rockfish harvests'!B139</f>
        <v>2010</v>
      </c>
      <c r="C140" t="str">
        <f>'rockfish harvests'!C139</f>
        <v>NG</v>
      </c>
      <c r="D140">
        <f>'rockfish harvests'!D139</f>
        <v>27027</v>
      </c>
      <c r="E140">
        <v>20838</v>
      </c>
      <c r="F140">
        <f>IF([1]species_comp_Region2_forR!$G181&gt;49,[1]species_comp_Region2_forR!$AD181,[1]species_comp_Region2_forR!$AF181)</f>
        <v>0.85620829099999995</v>
      </c>
      <c r="G140">
        <f>IF([1]species_comp_Region2_forR!$G181&gt;49,[1]species_comp_Region2_forR!$AE181,[1]species_comp_Region2_forR!$AG181)</f>
        <v>1.43158E-4</v>
      </c>
      <c r="H140" s="7">
        <f t="shared" si="131"/>
        <v>17841.668367857998</v>
      </c>
      <c r="I140">
        <f t="shared" si="132"/>
        <v>62162.388006551999</v>
      </c>
      <c r="J140">
        <f t="shared" si="133"/>
        <v>249.32386168706756</v>
      </c>
      <c r="K140" s="6">
        <f t="shared" si="134"/>
        <v>488.67476890665239</v>
      </c>
      <c r="M140" s="2">
        <f>'rockfish harvests'!O139</f>
        <v>13365.638184457552</v>
      </c>
      <c r="N140">
        <f>'rockfish harvests'!P139</f>
        <v>10411972.30311189</v>
      </c>
      <c r="O140">
        <f>IF([1]species_comp_Region2_forR!$D208&gt;49,[1]species_comp_Region2_forR!$N208,[1]species_comp_Region2_forR!$P208)</f>
        <v>0.676178744</v>
      </c>
      <c r="P140">
        <f>IF([1]species_comp_Region2_forR!$D208&gt;49,[1]species_comp_Region2_forR!$O208,[1]species_comp_Region2_forR!$Q208)</f>
        <v>4.0176300000000002E-4</v>
      </c>
      <c r="Q140" s="13">
        <f t="shared" si="135"/>
        <v>9037.5604403249472</v>
      </c>
      <c r="R140" s="2">
        <f t="shared" si="143"/>
        <v>4836492.1664082594</v>
      </c>
      <c r="S140">
        <f t="shared" si="136"/>
        <v>2199.2026205896218</v>
      </c>
      <c r="T140" s="6">
        <f t="shared" si="137"/>
        <v>4310.4371363556584</v>
      </c>
      <c r="V140" s="13">
        <f t="shared" si="138"/>
        <v>26879.228808182947</v>
      </c>
      <c r="W140">
        <f t="shared" si="139"/>
        <v>4898654.5544148115</v>
      </c>
      <c r="X140">
        <f t="shared" si="140"/>
        <v>2213.2904360735874</v>
      </c>
      <c r="Y140" s="6">
        <f t="shared" si="141"/>
        <v>4338.0492547042313</v>
      </c>
      <c r="Z140" s="14">
        <f t="shared" si="142"/>
        <v>8.2342036368237878E-2</v>
      </c>
    </row>
    <row r="141" spans="1:26" x14ac:dyDescent="0.3">
      <c r="A141" t="str">
        <f>'rockfish harvests'!A140</f>
        <v>SC</v>
      </c>
      <c r="B141">
        <f>'rockfish harvests'!B140</f>
        <v>2011</v>
      </c>
      <c r="C141" t="str">
        <f>'rockfish harvests'!C140</f>
        <v>NG</v>
      </c>
      <c r="D141">
        <f>'rockfish harvests'!D140</f>
        <v>30322</v>
      </c>
      <c r="E141">
        <v>24713</v>
      </c>
      <c r="F141">
        <f>IF([1]species_comp_Region2_forR!$G182&gt;49,[1]species_comp_Region2_forR!$AD182,[1]species_comp_Region2_forR!$AF182)</f>
        <v>0.79315106300000005</v>
      </c>
      <c r="G141">
        <f>IF([1]species_comp_Region2_forR!$G182&gt;49,[1]species_comp_Region2_forR!$AE182,[1]species_comp_Region2_forR!$AG182)</f>
        <v>2.3238299999999999E-4</v>
      </c>
      <c r="H141" s="7">
        <f t="shared" si="131"/>
        <v>19601.142219919002</v>
      </c>
      <c r="I141">
        <f t="shared" si="132"/>
        <v>141923.820105327</v>
      </c>
      <c r="J141">
        <f t="shared" si="133"/>
        <v>376.72777984285551</v>
      </c>
      <c r="K141" s="6">
        <f t="shared" si="134"/>
        <v>738.38644849199682</v>
      </c>
      <c r="M141" s="2">
        <f>'rockfish harvests'!O140</f>
        <v>21882.405010282295</v>
      </c>
      <c r="N141">
        <f>'rockfish harvests'!P140</f>
        <v>8183614.275682712</v>
      </c>
      <c r="O141">
        <f>IF([1]species_comp_Region2_forR!$D209&gt;49,[1]species_comp_Region2_forR!$N209,[1]species_comp_Region2_forR!$P209)</f>
        <v>0.49397571499999998</v>
      </c>
      <c r="P141">
        <f>IF([1]species_comp_Region2_forR!$D209&gt;49,[1]species_comp_Region2_forR!$O209,[1]species_comp_Region2_forR!$Q209)</f>
        <v>6.4757400000000004E-4</v>
      </c>
      <c r="Q141" s="13">
        <f t="shared" si="135"/>
        <v>10809.376660873779</v>
      </c>
      <c r="R141" s="2">
        <f t="shared" si="143"/>
        <v>2312283.7467175941</v>
      </c>
      <c r="S141">
        <f t="shared" si="136"/>
        <v>1520.6195272709062</v>
      </c>
      <c r="T141" s="6">
        <f t="shared" si="137"/>
        <v>2980.414273450976</v>
      </c>
      <c r="V141" s="13">
        <f t="shared" si="138"/>
        <v>30410.518880792781</v>
      </c>
      <c r="W141">
        <f t="shared" si="139"/>
        <v>2454207.5668229209</v>
      </c>
      <c r="X141">
        <f t="shared" si="140"/>
        <v>1566.5910656016524</v>
      </c>
      <c r="Y141" s="6">
        <f t="shared" si="141"/>
        <v>3070.5184885792387</v>
      </c>
      <c r="Z141" s="14">
        <f t="shared" si="142"/>
        <v>5.1514775914958427E-2</v>
      </c>
    </row>
    <row r="142" spans="1:26" x14ac:dyDescent="0.3">
      <c r="A142" t="str">
        <f>'rockfish harvests'!A141</f>
        <v>SC</v>
      </c>
      <c r="B142">
        <f>'rockfish harvests'!B141</f>
        <v>2012</v>
      </c>
      <c r="C142" t="str">
        <f>'rockfish harvests'!C141</f>
        <v>NG</v>
      </c>
      <c r="D142">
        <f>'rockfish harvests'!D141</f>
        <v>27771</v>
      </c>
      <c r="E142">
        <v>22056</v>
      </c>
      <c r="F142">
        <f>IF([1]species_comp_Region2_forR!$G183&gt;49,[1]species_comp_Region2_forR!$AD183,[1]species_comp_Region2_forR!$AF183)</f>
        <v>0.88672560300000003</v>
      </c>
      <c r="G142">
        <f>IF([1]species_comp_Region2_forR!$G183&gt;49,[1]species_comp_Region2_forR!$AE183,[1]species_comp_Region2_forR!$AG183)</f>
        <v>1.5405400000000001E-4</v>
      </c>
      <c r="H142" s="7">
        <f t="shared" si="131"/>
        <v>19557.619899768</v>
      </c>
      <c r="I142">
        <f t="shared" si="132"/>
        <v>74942.208169344012</v>
      </c>
      <c r="J142">
        <f t="shared" si="133"/>
        <v>273.75574545449092</v>
      </c>
      <c r="K142" s="6">
        <f t="shared" si="134"/>
        <v>536.56126109080219</v>
      </c>
      <c r="M142" s="2">
        <f>'rockfish harvests'!O141</f>
        <v>13248.802237331009</v>
      </c>
      <c r="N142">
        <f>'rockfish harvests'!P141</f>
        <v>2524598.6215632036</v>
      </c>
      <c r="O142">
        <f>IF([1]species_comp_Region2_forR!$D210&gt;49,[1]species_comp_Region2_forR!$N210,[1]species_comp_Region2_forR!$P210)</f>
        <v>0.62068968700000005</v>
      </c>
      <c r="P142">
        <f>IF([1]species_comp_Region2_forR!$D210&gt;49,[1]species_comp_Region2_forR!$O210,[1]species_comp_Region2_forR!$Q210)</f>
        <v>4.5188900000000002E-4</v>
      </c>
      <c r="Q142" s="13">
        <f t="shared" si="135"/>
        <v>8223.3949138138832</v>
      </c>
      <c r="R142" s="2">
        <f t="shared" si="143"/>
        <v>1053077.2360127294</v>
      </c>
      <c r="S142">
        <f t="shared" si="136"/>
        <v>1026.1955154904592</v>
      </c>
      <c r="T142" s="6">
        <f t="shared" si="137"/>
        <v>2011.3432103613</v>
      </c>
      <c r="V142" s="13">
        <f t="shared" si="138"/>
        <v>27781.014813581882</v>
      </c>
      <c r="W142">
        <f t="shared" si="139"/>
        <v>1128019.4441820735</v>
      </c>
      <c r="X142">
        <f t="shared" si="140"/>
        <v>1062.08259762698</v>
      </c>
      <c r="Y142" s="6">
        <f t="shared" si="141"/>
        <v>2081.681891348881</v>
      </c>
      <c r="Z142" s="14">
        <f t="shared" si="142"/>
        <v>3.8230518386525525E-2</v>
      </c>
    </row>
    <row r="143" spans="1:26" x14ac:dyDescent="0.3">
      <c r="A143" t="str">
        <f>'rockfish harvests'!A142</f>
        <v>SC</v>
      </c>
      <c r="B143">
        <f>'rockfish harvests'!B142</f>
        <v>2013</v>
      </c>
      <c r="C143" t="str">
        <f>'rockfish harvests'!C142</f>
        <v>NG</v>
      </c>
      <c r="D143">
        <f>'rockfish harvests'!D142</f>
        <v>30558</v>
      </c>
      <c r="E143">
        <v>25257</v>
      </c>
      <c r="F143">
        <f>IF([1]species_comp_Region2_forR!$G184&gt;49,[1]species_comp_Region2_forR!$AD184,[1]species_comp_Region2_forR!$AF184)</f>
        <v>0.81632559500000001</v>
      </c>
      <c r="G143">
        <f>IF([1]species_comp_Region2_forR!$G184&gt;49,[1]species_comp_Region2_forR!$AE184,[1]species_comp_Region2_forR!$AG184)</f>
        <v>1.53468E-4</v>
      </c>
      <c r="H143" s="7">
        <f t="shared" si="131"/>
        <v>20617.935552915002</v>
      </c>
      <c r="I143">
        <f t="shared" si="132"/>
        <v>97899.700207932008</v>
      </c>
      <c r="J143">
        <f t="shared" si="133"/>
        <v>312.88927787307125</v>
      </c>
      <c r="K143" s="6">
        <f t="shared" si="134"/>
        <v>613.26298463121964</v>
      </c>
      <c r="M143" s="2">
        <f>'rockfish harvests'!O142</f>
        <v>17157.239835728957</v>
      </c>
      <c r="N143">
        <f>'rockfish harvests'!P142</f>
        <v>3987660.0085104108</v>
      </c>
      <c r="O143">
        <f>IF([1]species_comp_Region2_forR!$D211&gt;49,[1]species_comp_Region2_forR!$N211,[1]species_comp_Region2_forR!$P211)</f>
        <v>0.78481222799999995</v>
      </c>
      <c r="P143">
        <f>IF([1]species_comp_Region2_forR!$D211&gt;49,[1]species_comp_Region2_forR!$O211,[1]species_comp_Region2_forR!$Q211)</f>
        <v>2.61833E-4</v>
      </c>
      <c r="Q143" s="13">
        <f t="shared" si="135"/>
        <v>13465.211621808796</v>
      </c>
      <c r="R143" s="2">
        <f t="shared" si="143"/>
        <v>2534240.4703240022</v>
      </c>
      <c r="S143">
        <f t="shared" si="136"/>
        <v>1591.9297944080331</v>
      </c>
      <c r="T143" s="6">
        <f t="shared" si="137"/>
        <v>3120.182397039745</v>
      </c>
      <c r="V143" s="13">
        <f t="shared" si="138"/>
        <v>34083.147174723796</v>
      </c>
      <c r="W143">
        <f t="shared" si="139"/>
        <v>2632140.1705319341</v>
      </c>
      <c r="X143">
        <f t="shared" si="140"/>
        <v>1622.3871826823381</v>
      </c>
      <c r="Y143" s="6">
        <f t="shared" si="141"/>
        <v>3179.8788780573827</v>
      </c>
      <c r="Z143" s="14">
        <f t="shared" si="142"/>
        <v>4.7600861926433459E-2</v>
      </c>
    </row>
    <row r="144" spans="1:26" x14ac:dyDescent="0.3">
      <c r="A144" t="str">
        <f>'rockfish harvests'!A143</f>
        <v>SC</v>
      </c>
      <c r="B144">
        <f>'rockfish harvests'!B143</f>
        <v>2014</v>
      </c>
      <c r="C144" t="str">
        <f>'rockfish harvests'!C143</f>
        <v>NG</v>
      </c>
      <c r="D144">
        <f>'rockfish harvests'!D143</f>
        <v>37025</v>
      </c>
      <c r="E144">
        <v>31936</v>
      </c>
      <c r="F144">
        <f>IF([1]species_comp_Region2_forR!$G185&gt;49,[1]species_comp_Region2_forR!$AD185,[1]species_comp_Region2_forR!$AF185)</f>
        <v>0.84300274100000006</v>
      </c>
      <c r="G144">
        <f>IF([1]species_comp_Region2_forR!$G185&gt;49,[1]species_comp_Region2_forR!$AE185,[1]species_comp_Region2_forR!$AG185)</f>
        <v>1.7391499999999999E-4</v>
      </c>
      <c r="H144" s="7">
        <f t="shared" si="131"/>
        <v>26922.135536576003</v>
      </c>
      <c r="I144">
        <f t="shared" si="132"/>
        <v>177377.31651583998</v>
      </c>
      <c r="J144">
        <f t="shared" si="133"/>
        <v>421.16186498285902</v>
      </c>
      <c r="K144" s="6">
        <f t="shared" si="134"/>
        <v>825.47725536640371</v>
      </c>
      <c r="M144" s="2">
        <f>'rockfish harvests'!O143</f>
        <v>21744.197040285006</v>
      </c>
      <c r="N144">
        <f>'rockfish harvests'!P143</f>
        <v>6732768.2681420343</v>
      </c>
      <c r="O144">
        <f>IF([1]species_comp_Region2_forR!$D212&gt;49,[1]species_comp_Region2_forR!$N212,[1]species_comp_Region2_forR!$P212)</f>
        <v>0.67737336199999998</v>
      </c>
      <c r="P144">
        <f>IF([1]species_comp_Region2_forR!$D212&gt;49,[1]species_comp_Region2_forR!$O212,[1]species_comp_Region2_forR!$Q212)</f>
        <v>4.1389900000000002E-4</v>
      </c>
      <c r="Q144" s="13">
        <f t="shared" si="135"/>
        <v>14728.939853168304</v>
      </c>
      <c r="R144" s="2">
        <f t="shared" si="143"/>
        <v>3287709.8325887346</v>
      </c>
      <c r="S144">
        <f t="shared" si="136"/>
        <v>1813.2042997381002</v>
      </c>
      <c r="T144" s="6">
        <f t="shared" si="137"/>
        <v>3553.8804274866761</v>
      </c>
      <c r="V144" s="13">
        <f t="shared" si="138"/>
        <v>41651.075389744306</v>
      </c>
      <c r="W144">
        <f t="shared" si="139"/>
        <v>3465087.1491045747</v>
      </c>
      <c r="X144">
        <f t="shared" si="140"/>
        <v>1861.4744556680262</v>
      </c>
      <c r="Y144" s="6">
        <f t="shared" si="141"/>
        <v>3648.4899331093311</v>
      </c>
      <c r="Z144" s="14">
        <f t="shared" si="142"/>
        <v>4.4692110305665118E-2</v>
      </c>
    </row>
    <row r="145" spans="1:26" x14ac:dyDescent="0.3">
      <c r="A145" t="str">
        <f>'rockfish harvests'!A144</f>
        <v>SC</v>
      </c>
      <c r="B145">
        <f>'rockfish harvests'!B144</f>
        <v>2015</v>
      </c>
      <c r="C145" t="str">
        <f>'rockfish harvests'!C144</f>
        <v>NG</v>
      </c>
      <c r="D145">
        <f>'rockfish harvests'!D144</f>
        <v>45883</v>
      </c>
      <c r="E145">
        <v>39744</v>
      </c>
      <c r="F145">
        <f>IF([1]species_comp_Region2_forR!$G186&gt;49,[1]species_comp_Region2_forR!$AD186,[1]species_comp_Region2_forR!$AF186)</f>
        <v>0.82899436900000001</v>
      </c>
      <c r="G145">
        <f>IF([1]species_comp_Region2_forR!$G186&gt;49,[1]species_comp_Region2_forR!$AE186,[1]species_comp_Region2_forR!$AG186)</f>
        <v>3.3672900000000002E-4</v>
      </c>
      <c r="H145" s="7">
        <f t="shared" si="131"/>
        <v>32947.552201536004</v>
      </c>
      <c r="I145">
        <f t="shared" si="132"/>
        <v>531892.25795174402</v>
      </c>
      <c r="J145">
        <f t="shared" si="133"/>
        <v>729.30943909409541</v>
      </c>
      <c r="K145" s="6">
        <f t="shared" si="134"/>
        <v>1429.446500624427</v>
      </c>
      <c r="M145" s="2">
        <f>'rockfish harvests'!O144</f>
        <v>24091.13981323161</v>
      </c>
      <c r="N145">
        <f>'rockfish harvests'!P144</f>
        <v>7216831.4803412473</v>
      </c>
      <c r="O145">
        <f>IF([1]species_comp_Region2_forR!$D213&gt;49,[1]species_comp_Region2_forR!$N213,[1]species_comp_Region2_forR!$P213)</f>
        <v>0.72616414699999998</v>
      </c>
      <c r="P145">
        <f>IF([1]species_comp_Region2_forR!$D213&gt;49,[1]species_comp_Region2_forR!$O213,[1]species_comp_Region2_forR!$Q213)</f>
        <v>3.8536799999999997E-4</v>
      </c>
      <c r="Q145" s="13">
        <f t="shared" si="135"/>
        <v>17494.121992733071</v>
      </c>
      <c r="R145" s="2">
        <f t="shared" si="143"/>
        <v>4031981.1124226092</v>
      </c>
      <c r="S145">
        <f t="shared" si="136"/>
        <v>2007.979360556928</v>
      </c>
      <c r="T145" s="6">
        <f t="shared" si="137"/>
        <v>3935.6395466915787</v>
      </c>
      <c r="V145" s="13">
        <f t="shared" si="138"/>
        <v>50441.674194269071</v>
      </c>
      <c r="W145">
        <f t="shared" si="139"/>
        <v>4563873.3703743536</v>
      </c>
      <c r="X145">
        <f t="shared" si="140"/>
        <v>2136.3223938287856</v>
      </c>
      <c r="Y145" s="6">
        <f t="shared" si="141"/>
        <v>4187.1918919044201</v>
      </c>
      <c r="Z145" s="14">
        <f t="shared" si="142"/>
        <v>4.235232925856184E-2</v>
      </c>
    </row>
    <row r="146" spans="1:26" x14ac:dyDescent="0.3">
      <c r="A146" t="str">
        <f>'rockfish harvests'!A145</f>
        <v>SC</v>
      </c>
      <c r="B146">
        <f>'rockfish harvests'!B145</f>
        <v>2016</v>
      </c>
      <c r="C146" t="str">
        <f>'rockfish harvests'!C145</f>
        <v>NG</v>
      </c>
      <c r="D146">
        <f>'rockfish harvests'!D145</f>
        <v>56991</v>
      </c>
      <c r="E146">
        <v>49153</v>
      </c>
      <c r="F146">
        <f>IF([1]species_comp_Region2_forR!$G187&gt;49,[1]species_comp_Region2_forR!$AD187,[1]species_comp_Region2_forR!$AF187)</f>
        <v>0.852560981</v>
      </c>
      <c r="G146">
        <f>IF([1]species_comp_Region2_forR!$G187&gt;49,[1]species_comp_Region2_forR!$AE187,[1]species_comp_Region2_forR!$AG187)</f>
        <v>1.05987E-4</v>
      </c>
      <c r="H146" s="7">
        <f t="shared" si="131"/>
        <v>41905.929899092996</v>
      </c>
      <c r="I146">
        <f t="shared" si="132"/>
        <v>256066.43712768299</v>
      </c>
      <c r="J146">
        <f t="shared" si="133"/>
        <v>506.03007531932627</v>
      </c>
      <c r="K146" s="6">
        <f t="shared" si="134"/>
        <v>991.81894762587945</v>
      </c>
      <c r="M146" s="2">
        <f>'rockfish harvests'!O145</f>
        <v>21657.041703490948</v>
      </c>
      <c r="N146">
        <f>'rockfish harvests'!P145</f>
        <v>6461271.9983784193</v>
      </c>
      <c r="O146">
        <f>IF([1]species_comp_Region2_forR!$D214&gt;49,[1]species_comp_Region2_forR!$N214,[1]species_comp_Region2_forR!$P214)</f>
        <v>0.60664232900000004</v>
      </c>
      <c r="P146">
        <f>IF([1]species_comp_Region2_forR!$D214&gt;49,[1]species_comp_Region2_forR!$O214,[1]species_comp_Region2_forR!$Q214)</f>
        <v>5.3028299999999999E-4</v>
      </c>
      <c r="Q146" s="13">
        <f t="shared" si="135"/>
        <v>13138.078218255876</v>
      </c>
      <c r="R146" s="2">
        <f t="shared" si="143"/>
        <v>2629988.0562394504</v>
      </c>
      <c r="S146">
        <f t="shared" si="136"/>
        <v>1621.7237915993742</v>
      </c>
      <c r="T146" s="6">
        <f t="shared" si="137"/>
        <v>3178.5786315347732</v>
      </c>
      <c r="V146" s="13">
        <f t="shared" si="138"/>
        <v>55044.008117348872</v>
      </c>
      <c r="W146">
        <f t="shared" si="139"/>
        <v>2886054.4933671332</v>
      </c>
      <c r="X146">
        <f t="shared" si="140"/>
        <v>1698.8391605349616</v>
      </c>
      <c r="Y146" s="6">
        <f t="shared" si="141"/>
        <v>3329.7247546485246</v>
      </c>
      <c r="Z146" s="14">
        <f t="shared" si="142"/>
        <v>3.0863289550302903E-2</v>
      </c>
    </row>
    <row r="147" spans="1:26" x14ac:dyDescent="0.3">
      <c r="A147" t="str">
        <f>'rockfish harvests'!A146</f>
        <v>SC</v>
      </c>
      <c r="B147">
        <f>'rockfish harvests'!B146</f>
        <v>2017</v>
      </c>
      <c r="C147" t="str">
        <f>'rockfish harvests'!C146</f>
        <v>NG</v>
      </c>
      <c r="D147">
        <f>'rockfish harvests'!D146</f>
        <v>38626</v>
      </c>
      <c r="E147">
        <v>32335</v>
      </c>
      <c r="F147">
        <f>IF([1]species_comp_Region2_forR!$G188&gt;49,[1]species_comp_Region2_forR!$AD188,[1]species_comp_Region2_forR!$AF188)</f>
        <v>0.82740575500000002</v>
      </c>
      <c r="G147">
        <f>IF([1]species_comp_Region2_forR!$G188&gt;49,[1]species_comp_Region2_forR!$AE188,[1]species_comp_Region2_forR!$AG188)</f>
        <v>3.0384100000000001E-4</v>
      </c>
      <c r="H147" s="7">
        <f t="shared" si="131"/>
        <v>26754.165087925001</v>
      </c>
      <c r="I147">
        <f t="shared" si="132"/>
        <v>317681.633596225</v>
      </c>
      <c r="J147">
        <f t="shared" si="133"/>
        <v>563.63253418892077</v>
      </c>
      <c r="K147" s="6">
        <f t="shared" si="134"/>
        <v>1104.7197670102846</v>
      </c>
      <c r="M147" s="2">
        <f>'rockfish harvests'!O146</f>
        <v>15237.511532831981</v>
      </c>
      <c r="N147">
        <f>'rockfish harvests'!P146</f>
        <v>3824430.6766507281</v>
      </c>
      <c r="O147">
        <f>IF([1]species_comp_Region2_forR!$D215&gt;49,[1]species_comp_Region2_forR!$N215,[1]species_comp_Region2_forR!$P215)</f>
        <v>0.67233394599999996</v>
      </c>
      <c r="P147">
        <f>IF([1]species_comp_Region2_forR!$D215&gt;49,[1]species_comp_Region2_forR!$O215,[1]species_comp_Region2_forR!$Q215)</f>
        <v>1.0391560000000001E-3</v>
      </c>
      <c r="Q147" s="13">
        <f t="shared" si="135"/>
        <v>10244.696256089434</v>
      </c>
      <c r="R147" s="2">
        <f t="shared" si="143"/>
        <v>1974015.8699584631</v>
      </c>
      <c r="S147">
        <f t="shared" si="136"/>
        <v>1404.9967508711411</v>
      </c>
      <c r="T147" s="6">
        <f t="shared" si="137"/>
        <v>2753.7936317074364</v>
      </c>
      <c r="V147" s="13">
        <f t="shared" si="138"/>
        <v>36998.861344014433</v>
      </c>
      <c r="W147">
        <f t="shared" si="139"/>
        <v>2291697.5035546883</v>
      </c>
      <c r="X147">
        <f t="shared" si="140"/>
        <v>1513.8353621033855</v>
      </c>
      <c r="Y147" s="6">
        <f t="shared" si="141"/>
        <v>2967.1173097226356</v>
      </c>
      <c r="Z147" s="14">
        <f t="shared" si="142"/>
        <v>4.0915728406552415E-2</v>
      </c>
    </row>
    <row r="148" spans="1:26" x14ac:dyDescent="0.3">
      <c r="A148" t="str">
        <f>'rockfish harvests'!A147</f>
        <v>SC</v>
      </c>
      <c r="B148">
        <f>'rockfish harvests'!B147</f>
        <v>2018</v>
      </c>
      <c r="C148" t="str">
        <f>'rockfish harvests'!C147</f>
        <v>NG</v>
      </c>
      <c r="D148">
        <f>'rockfish harvests'!D147</f>
        <v>50115</v>
      </c>
      <c r="E148">
        <v>41846</v>
      </c>
      <c r="F148">
        <f>IF([1]species_comp_Region2_forR!$G189&gt;49,[1]species_comp_Region2_forR!$AD189,[1]species_comp_Region2_forR!$AF189)</f>
        <v>0.82521329899999996</v>
      </c>
      <c r="G148">
        <f>IF([1]species_comp_Region2_forR!$G189&gt;49,[1]species_comp_Region2_forR!$AE189,[1]species_comp_Region2_forR!$AG189)</f>
        <v>1.6988999999999999E-4</v>
      </c>
      <c r="H148" s="7">
        <f t="shared" si="131"/>
        <v>34531.875709954002</v>
      </c>
      <c r="I148">
        <f t="shared" si="132"/>
        <v>297492.29207123996</v>
      </c>
      <c r="J148">
        <f t="shared" si="133"/>
        <v>545.42853983930831</v>
      </c>
      <c r="K148" s="6">
        <f t="shared" si="134"/>
        <v>1069.0399380850442</v>
      </c>
      <c r="M148" s="2">
        <f>'rockfish harvests'!O147</f>
        <v>18807.337515014005</v>
      </c>
      <c r="N148">
        <f>'rockfish harvests'!P147</f>
        <v>5909265.1225642972</v>
      </c>
      <c r="O148">
        <f>IF([1]species_comp_Region2_forR!$D216&gt;49,[1]species_comp_Region2_forR!$N216,[1]species_comp_Region2_forR!$P216)</f>
        <v>0.56036244700000004</v>
      </c>
      <c r="P148">
        <f>IF([1]species_comp_Region2_forR!$D216&gt;49,[1]species_comp_Region2_forR!$O216,[1]species_comp_Region2_forR!$Q216)</f>
        <v>6.7494899999999999E-4</v>
      </c>
      <c r="Q148" s="13">
        <f t="shared" si="135"/>
        <v>10538.925671468149</v>
      </c>
      <c r="R148" s="2">
        <f t="shared" si="143"/>
        <v>2098273.8051337814</v>
      </c>
      <c r="S148">
        <f t="shared" si="136"/>
        <v>1448.5419583615042</v>
      </c>
      <c r="T148" s="6">
        <f t="shared" si="137"/>
        <v>2839.1422383885483</v>
      </c>
      <c r="V148" s="13">
        <f t="shared" si="138"/>
        <v>45070.801381422149</v>
      </c>
      <c r="W148" s="2">
        <f>R148+I148</f>
        <v>2395766.0972050214</v>
      </c>
      <c r="X148">
        <f t="shared" si="140"/>
        <v>1547.8262490360542</v>
      </c>
      <c r="Y148" s="6">
        <f t="shared" si="141"/>
        <v>3033.7394481106662</v>
      </c>
      <c r="Z148" s="14">
        <f t="shared" si="142"/>
        <v>3.434210623275176E-2</v>
      </c>
    </row>
    <row r="149" spans="1:26" x14ac:dyDescent="0.3">
      <c r="A149" t="str">
        <f>'rockfish harvests'!A148</f>
        <v>SC</v>
      </c>
      <c r="B149">
        <f>'rockfish harvests'!B148</f>
        <v>2019</v>
      </c>
      <c r="C149" t="str">
        <f>'rockfish harvests'!C148</f>
        <v>NG</v>
      </c>
      <c r="D149">
        <f>'rockfish harvests'!D148</f>
        <v>64565</v>
      </c>
      <c r="E149">
        <v>55039</v>
      </c>
      <c r="F149">
        <f>IF([1]species_comp_Region2_forR!$G190&gt;49,[1]species_comp_Region2_forR!$AD190,[1]species_comp_Region2_forR!$AF190)</f>
        <v>0.78021243900000004</v>
      </c>
      <c r="G149">
        <f>IF([1]species_comp_Region2_forR!$G190&gt;49,[1]species_comp_Region2_forR!$AE190,[1]species_comp_Region2_forR!$AG190)</f>
        <v>1.88856E-4</v>
      </c>
      <c r="H149" s="7">
        <f>E149*F149</f>
        <v>42942.112430121</v>
      </c>
      <c r="I149">
        <f>(E149^2)*G149</f>
        <v>572099.87948997598</v>
      </c>
      <c r="J149">
        <f>SQRT(I149)</f>
        <v>756.37284423092296</v>
      </c>
      <c r="K149" s="6">
        <f>(1.96*J149)</f>
        <v>1482.490774692609</v>
      </c>
      <c r="M149" s="2">
        <f>'rockfish harvests'!O148</f>
        <v>30264.472570734768</v>
      </c>
      <c r="N149">
        <f>'rockfish harvests'!P148</f>
        <v>14426596.252648354</v>
      </c>
      <c r="O149">
        <f>IF([1]species_comp_Region2_forR!$D217&gt;49,[1]species_comp_Region2_forR!$N217,[1]species_comp_Region2_forR!$P217)</f>
        <v>0.51586905000000005</v>
      </c>
      <c r="P149">
        <f>IF([1]species_comp_Region2_forR!$D217&gt;49,[1]species_comp_Region2_forR!$O217,[1]species_comp_Region2_forR!$Q217)</f>
        <v>6.9567700000000001E-4</v>
      </c>
      <c r="Q149" s="13">
        <f>M149*O149</f>
        <v>15612.504713816004</v>
      </c>
      <c r="R149" s="2">
        <f t="shared" si="143"/>
        <v>4486451.9031625353</v>
      </c>
      <c r="S149">
        <f>SQRT(R149)</f>
        <v>2118.1246193655688</v>
      </c>
      <c r="T149" s="6">
        <f>(1.96*S149)</f>
        <v>4151.5242539565152</v>
      </c>
      <c r="V149" s="13">
        <f>Q149+H149</f>
        <v>58554.617143937008</v>
      </c>
      <c r="W149">
        <f>R149+I149</f>
        <v>5058551.7826525113</v>
      </c>
      <c r="X149">
        <f>SQRT(W149)</f>
        <v>2249.1224472341455</v>
      </c>
      <c r="Y149" s="6">
        <f>(1.96*X149)</f>
        <v>4408.2799965789254</v>
      </c>
      <c r="Z149" s="14">
        <f t="shared" si="142"/>
        <v>3.841067633839066E-2</v>
      </c>
    </row>
    <row r="150" spans="1:26" x14ac:dyDescent="0.3">
      <c r="A150" t="str">
        <f>'rockfish harvests'!A149</f>
        <v>SC</v>
      </c>
      <c r="B150">
        <f>'rockfish harvests'!B149</f>
        <v>2020</v>
      </c>
      <c r="C150" t="str">
        <f>'rockfish harvests'!C149</f>
        <v>NG</v>
      </c>
      <c r="D150">
        <f>'rockfish harvests'!D149</f>
        <v>43363</v>
      </c>
      <c r="E150">
        <v>37152</v>
      </c>
      <c r="F150">
        <v>0.83391731549317816</v>
      </c>
      <c r="G150">
        <v>2.9157731876595651E-4</v>
      </c>
      <c r="H150" s="7">
        <f t="shared" ref="H150:H151" si="144">E150*F150</f>
        <v>30981.696105202554</v>
      </c>
      <c r="I150">
        <f t="shared" ref="I150:I151" si="145">(E150^2)*G150</f>
        <v>402455.74767444673</v>
      </c>
      <c r="J150">
        <f t="shared" ref="J150:J152" si="146">SQRT(I150)</f>
        <v>634.39400034556343</v>
      </c>
      <c r="K150" s="6">
        <f t="shared" ref="K150:K152" si="147">(1.96*J150)</f>
        <v>1243.4122406773042</v>
      </c>
      <c r="M150" s="2">
        <f>'rockfish harvests'!O149</f>
        <v>14406.767557261875</v>
      </c>
      <c r="N150">
        <f>'rockfish harvests'!P149</f>
        <v>3787465.8304927479</v>
      </c>
      <c r="O150">
        <v>0.53973360766829914</v>
      </c>
      <c r="P150">
        <v>9.4098954705174888E-4</v>
      </c>
      <c r="Q150" s="13">
        <f t="shared" ref="Q150:Q151" si="148">M150*O150</f>
        <v>7775.8166285195612</v>
      </c>
      <c r="R150" s="2">
        <f t="shared" si="143"/>
        <v>1302206.6424552207</v>
      </c>
      <c r="S150">
        <f t="shared" ref="S150:S152" si="149">SQRT(R150)</f>
        <v>1141.1426915400286</v>
      </c>
      <c r="T150" s="6">
        <f t="shared" ref="T150:T152" si="150">(1.96*S150)</f>
        <v>2236.6396754184561</v>
      </c>
      <c r="V150" s="13">
        <f t="shared" ref="V150:V151" si="151">Q150+H150</f>
        <v>38757.512733722113</v>
      </c>
      <c r="W150">
        <f t="shared" ref="W150:W151" si="152">R150+I150</f>
        <v>1704662.3901296675</v>
      </c>
      <c r="X150">
        <f t="shared" ref="X150:X151" si="153">SQRT(W150)</f>
        <v>1305.6272018189829</v>
      </c>
      <c r="Y150" s="6">
        <f t="shared" ref="Y150:Y151" si="154">(1.96*X150)</f>
        <v>2559.0293155652066</v>
      </c>
      <c r="Z150" s="14">
        <f t="shared" ref="Z150:Z151" si="155">X150/V150</f>
        <v>3.368707405939865E-2</v>
      </c>
    </row>
    <row r="151" spans="1:26" x14ac:dyDescent="0.3">
      <c r="A151" t="str">
        <f>'rockfish harvests'!A150</f>
        <v>SC</v>
      </c>
      <c r="B151">
        <f>'rockfish harvests'!B150</f>
        <v>2021</v>
      </c>
      <c r="C151" t="str">
        <f>'rockfish harvests'!C150</f>
        <v>NG</v>
      </c>
      <c r="D151">
        <f>'rockfish harvests'!D150</f>
        <v>83097</v>
      </c>
      <c r="E151">
        <v>73272</v>
      </c>
      <c r="F151">
        <v>0.89477406574136154</v>
      </c>
      <c r="G151">
        <v>1.4137152705410685E-4</v>
      </c>
      <c r="H151" s="7">
        <f t="shared" si="144"/>
        <v>65561.885345001036</v>
      </c>
      <c r="I151">
        <f t="shared" si="145"/>
        <v>758993.47298476566</v>
      </c>
      <c r="J151">
        <f t="shared" si="146"/>
        <v>871.20231461168976</v>
      </c>
      <c r="K151" s="6">
        <f t="shared" si="147"/>
        <v>1707.5565366389119</v>
      </c>
      <c r="M151" s="2">
        <f>'rockfish harvests'!O150</f>
        <v>24593.025482509038</v>
      </c>
      <c r="N151">
        <f>'rockfish harvests'!P150</f>
        <v>11012636.577756885</v>
      </c>
      <c r="O151">
        <v>0.65172611940440628</v>
      </c>
      <c r="P151">
        <v>1.3430720987602357E-3</v>
      </c>
      <c r="Q151" s="13">
        <f t="shared" si="148"/>
        <v>16027.917062129292</v>
      </c>
      <c r="R151" s="2">
        <f t="shared" si="143"/>
        <v>5504687.1008917298</v>
      </c>
      <c r="S151">
        <f t="shared" si="149"/>
        <v>2346.2069603706595</v>
      </c>
      <c r="T151" s="6">
        <f t="shared" si="150"/>
        <v>4598.5656423264927</v>
      </c>
      <c r="V151" s="13">
        <f t="shared" si="151"/>
        <v>81589.802407130323</v>
      </c>
      <c r="W151">
        <f t="shared" si="152"/>
        <v>6263680.5738764955</v>
      </c>
      <c r="X151">
        <f t="shared" si="153"/>
        <v>2502.7346191469233</v>
      </c>
      <c r="Y151" s="6">
        <f t="shared" si="154"/>
        <v>4905.3598535279698</v>
      </c>
      <c r="Z151" s="14">
        <f t="shared" si="155"/>
        <v>3.0674600811733347E-2</v>
      </c>
    </row>
    <row r="152" spans="1:26" s="51" customFormat="1" x14ac:dyDescent="0.3">
      <c r="A152" s="51" t="s">
        <v>81</v>
      </c>
      <c r="B152" s="51">
        <v>2022</v>
      </c>
      <c r="C152" s="51" t="s">
        <v>49</v>
      </c>
      <c r="D152">
        <f>'rockfish harvests'!D151</f>
        <v>86545</v>
      </c>
      <c r="E152">
        <v>76808</v>
      </c>
      <c r="F152" s="51">
        <v>0.8594790397079175</v>
      </c>
      <c r="G152" s="51">
        <v>1.5523755785433607E-4</v>
      </c>
      <c r="H152" s="7">
        <f t="shared" ref="H152" si="156">E152*F152</f>
        <v>66014.866081885732</v>
      </c>
      <c r="I152">
        <f t="shared" ref="I152" si="157">(E152^2)*G152</f>
        <v>915819.13908505428</v>
      </c>
      <c r="J152">
        <f t="shared" si="146"/>
        <v>956.98439855885545</v>
      </c>
      <c r="K152" s="6">
        <f t="shared" si="147"/>
        <v>1875.6894211753565</v>
      </c>
      <c r="M152" s="2">
        <f>'rockfish harvests'!O151</f>
        <v>23511.656725947614</v>
      </c>
      <c r="N152">
        <f>'rockfish harvests'!P151</f>
        <v>12484731.197476877</v>
      </c>
      <c r="O152" s="104">
        <v>0.61115746208081856</v>
      </c>
      <c r="P152">
        <v>7.5442545594841713E-4</v>
      </c>
      <c r="Q152" s="13">
        <f t="shared" ref="Q152" si="158">M152*O152</f>
        <v>14369.324453945552</v>
      </c>
      <c r="R152" s="2">
        <f t="shared" si="143"/>
        <v>5089678.6239368292</v>
      </c>
      <c r="S152">
        <f t="shared" si="149"/>
        <v>2256.0316096936294</v>
      </c>
      <c r="T152" s="6">
        <f t="shared" si="150"/>
        <v>4421.8219549995138</v>
      </c>
      <c r="V152" s="13">
        <f t="shared" ref="V152" si="159">Q152+H152</f>
        <v>80384.19053583128</v>
      </c>
      <c r="W152">
        <f t="shared" ref="W152" si="160">R152+I152</f>
        <v>6005497.7630218836</v>
      </c>
      <c r="X152">
        <f t="shared" ref="X152" si="161">SQRT(W152)</f>
        <v>2450.6117120061849</v>
      </c>
      <c r="Y152" s="6">
        <f t="shared" ref="Y152" si="162">(1.96*X152)</f>
        <v>4803.1989555321225</v>
      </c>
      <c r="Z152" s="14">
        <f t="shared" ref="Z152" si="163">X152/V152</f>
        <v>3.0486239839832983E-2</v>
      </c>
    </row>
    <row r="153" spans="1:26" x14ac:dyDescent="0.3">
      <c r="A153" t="str">
        <f>'rockfish harvests'!A152</f>
        <v>SC</v>
      </c>
      <c r="B153">
        <f>'rockfish harvests'!B152</f>
        <v>1998</v>
      </c>
      <c r="C153" t="str">
        <f>'rockfish harvests'!C152</f>
        <v>NORTHEAS</v>
      </c>
      <c r="D153">
        <f>'rockfish harvests'!D152</f>
        <v>1488</v>
      </c>
      <c r="E153">
        <v>977</v>
      </c>
      <c r="F153">
        <f>IF([1]species_comp_Region2_forR!$G223&gt;49,[1]species_comp_Region2_forR!$AD223,[1]species_comp_Region2_forR!$AF223)</f>
        <v>0.80412371100000002</v>
      </c>
      <c r="G153">
        <f>IF([1]species_comp_Region2_forR!$G223&gt;49,[1]species_comp_Region2_forR!$AE223,[1]species_comp_Region2_forR!$AG223)</f>
        <v>1.640716E-3</v>
      </c>
      <c r="H153" s="7">
        <f t="shared" si="131"/>
        <v>785.628865647</v>
      </c>
      <c r="I153">
        <f t="shared" si="132"/>
        <v>1566.111002764</v>
      </c>
      <c r="J153">
        <f t="shared" si="133"/>
        <v>39.574120366269675</v>
      </c>
      <c r="K153" s="6">
        <f t="shared" si="134"/>
        <v>77.565275917888556</v>
      </c>
      <c r="M153" s="2">
        <f>'rockfish harvests'!O152</f>
        <v>1158.751507803267</v>
      </c>
      <c r="N153">
        <f>'rockfish harvests'!P152</f>
        <v>130721.74657888399</v>
      </c>
      <c r="O153">
        <f>IF([1]species_comp_Region2_forR!$D250&gt;49,[1]species_comp_Region2_forR!$N250,[1]species_comp_Region2_forR!$P250)</f>
        <v>0.83333333300000001</v>
      </c>
      <c r="P153">
        <f>IF([1]species_comp_Region2_forR!$D250&gt;49,[1]species_comp_Region2_forR!$O250,[1]species_comp_Region2_forR!$Q250)</f>
        <v>1.5605490000000001E-3</v>
      </c>
      <c r="Q153" s="13">
        <f t="shared" si="135"/>
        <v>965.62625611647206</v>
      </c>
      <c r="R153" s="2">
        <f t="shared" si="143"/>
        <v>93078.345331800199</v>
      </c>
      <c r="S153">
        <f t="shared" si="136"/>
        <v>305.08743882992002</v>
      </c>
      <c r="T153" s="6">
        <f t="shared" si="137"/>
        <v>597.97138010664321</v>
      </c>
      <c r="V153" s="13">
        <f t="shared" si="138"/>
        <v>1751.2551217634721</v>
      </c>
      <c r="W153">
        <f t="shared" si="139"/>
        <v>94644.456334564195</v>
      </c>
      <c r="X153">
        <f t="shared" si="140"/>
        <v>307.64339150153086</v>
      </c>
      <c r="Y153" s="6">
        <f t="shared" si="141"/>
        <v>602.98104734300045</v>
      </c>
      <c r="Z153" s="14">
        <f t="shared" si="142"/>
        <v>0.17567023084091901</v>
      </c>
    </row>
    <row r="154" spans="1:26" x14ac:dyDescent="0.3">
      <c r="A154" t="str">
        <f>'rockfish harvests'!A153</f>
        <v>SC</v>
      </c>
      <c r="B154">
        <f>'rockfish harvests'!B153</f>
        <v>1999</v>
      </c>
      <c r="C154" t="str">
        <f>'rockfish harvests'!C153</f>
        <v>NORTHEAS</v>
      </c>
      <c r="D154">
        <f>'rockfish harvests'!D153</f>
        <v>1866</v>
      </c>
      <c r="E154">
        <v>1689</v>
      </c>
      <c r="F154" s="91">
        <v>0.876190476</v>
      </c>
      <c r="G154" s="91">
        <v>1.0430839999999999E-3</v>
      </c>
      <c r="H154" s="7">
        <f t="shared" si="131"/>
        <v>1479.8857139639999</v>
      </c>
      <c r="I154">
        <f t="shared" si="132"/>
        <v>2975.6276315639998</v>
      </c>
      <c r="J154">
        <f t="shared" si="133"/>
        <v>54.549313758873261</v>
      </c>
      <c r="K154" s="6">
        <f t="shared" si="134"/>
        <v>106.91665496739159</v>
      </c>
      <c r="M154" s="2">
        <f>'rockfish harvests'!O153</f>
        <v>1453.1117698661938</v>
      </c>
      <c r="N154">
        <f>'rockfish harvests'!P153</f>
        <v>205572.61399024838</v>
      </c>
      <c r="O154">
        <f>IF([1]species_comp_Region2_forR!$D251&gt;49,[1]species_comp_Region2_forR!$N251,[1]species_comp_Region2_forR!$P251)</f>
        <v>0.71300448400000005</v>
      </c>
      <c r="P154">
        <f>IF([1]species_comp_Region2_forR!$D251&gt;49,[1]species_comp_Region2_forR!$O251,[1]species_comp_Region2_forR!$Q251)</f>
        <v>9.2175299999999998E-4</v>
      </c>
      <c r="Q154" s="13">
        <f t="shared" si="135"/>
        <v>1036.0752076677722</v>
      </c>
      <c r="R154" s="2">
        <f t="shared" si="143"/>
        <v>106643.85847776919</v>
      </c>
      <c r="S154">
        <f t="shared" si="136"/>
        <v>326.56371273883019</v>
      </c>
      <c r="T154" s="6">
        <f t="shared" si="137"/>
        <v>640.06487696810711</v>
      </c>
      <c r="V154" s="13">
        <f t="shared" si="138"/>
        <v>2515.9609216317722</v>
      </c>
      <c r="W154">
        <f t="shared" si="139"/>
        <v>109619.48610933319</v>
      </c>
      <c r="X154">
        <f t="shared" si="140"/>
        <v>331.08833580984577</v>
      </c>
      <c r="Y154" s="6">
        <f t="shared" si="141"/>
        <v>648.93313818729769</v>
      </c>
      <c r="Z154" s="14">
        <f t="shared" si="142"/>
        <v>0.13159518216805705</v>
      </c>
    </row>
    <row r="155" spans="1:26" x14ac:dyDescent="0.3">
      <c r="A155" t="str">
        <f>'rockfish harvests'!A154</f>
        <v>SC</v>
      </c>
      <c r="B155">
        <f>'rockfish harvests'!B154</f>
        <v>2000</v>
      </c>
      <c r="C155" t="str">
        <f>'rockfish harvests'!C154</f>
        <v>NORTHEAS</v>
      </c>
      <c r="D155">
        <f>'rockfish harvests'!D154</f>
        <v>2115</v>
      </c>
      <c r="E155">
        <v>1865</v>
      </c>
      <c r="F155" s="91">
        <v>0.91176470600000004</v>
      </c>
      <c r="G155" s="91">
        <v>7.9653299999999998E-4</v>
      </c>
      <c r="H155" s="7">
        <f t="shared" si="131"/>
        <v>1700.44117669</v>
      </c>
      <c r="I155">
        <f t="shared" si="132"/>
        <v>2770.5209939249999</v>
      </c>
      <c r="J155">
        <f t="shared" si="133"/>
        <v>52.635738751583986</v>
      </c>
      <c r="K155" s="6">
        <f t="shared" si="134"/>
        <v>103.16604795310461</v>
      </c>
      <c r="M155" s="2">
        <f>'rockfish harvests'!O154</f>
        <v>1647.0157520187568</v>
      </c>
      <c r="N155">
        <f>'rockfish harvests'!P154</f>
        <v>264096.54694560438</v>
      </c>
      <c r="O155">
        <f>IF([1]species_comp_Region2_forR!$D252&gt;49,[1]species_comp_Region2_forR!$N252,[1]species_comp_Region2_forR!$P252)</f>
        <v>0.743589744</v>
      </c>
      <c r="P155">
        <f>IF([1]species_comp_Region2_forR!$D252&gt;49,[1]species_comp_Region2_forR!$O252,[1]species_comp_Region2_forR!$Q252)</f>
        <v>9.828040000000001E-4</v>
      </c>
      <c r="Q155" s="13">
        <f t="shared" si="135"/>
        <v>1224.7040214075948</v>
      </c>
      <c r="R155" s="2">
        <f t="shared" si="143"/>
        <v>148951.33915054059</v>
      </c>
      <c r="S155">
        <f t="shared" si="136"/>
        <v>385.94214482295217</v>
      </c>
      <c r="T155" s="6">
        <f t="shared" si="137"/>
        <v>756.4466038529863</v>
      </c>
      <c r="V155" s="13">
        <f t="shared" si="138"/>
        <v>2925.1451980975949</v>
      </c>
      <c r="W155">
        <f t="shared" si="139"/>
        <v>151721.86014446558</v>
      </c>
      <c r="X155">
        <f t="shared" si="140"/>
        <v>389.51490362303929</v>
      </c>
      <c r="Y155" s="6">
        <f t="shared" si="141"/>
        <v>763.44921110115695</v>
      </c>
      <c r="Z155" s="14">
        <f t="shared" si="142"/>
        <v>0.13316087826216805</v>
      </c>
    </row>
    <row r="156" spans="1:26" x14ac:dyDescent="0.3">
      <c r="A156" t="str">
        <f>'rockfish harvests'!A155</f>
        <v>SC</v>
      </c>
      <c r="B156">
        <f>'rockfish harvests'!B155</f>
        <v>2001</v>
      </c>
      <c r="C156" t="str">
        <f>'rockfish harvests'!C155</f>
        <v>NORTHEAS</v>
      </c>
      <c r="D156">
        <f>'rockfish harvests'!D155</f>
        <v>2081</v>
      </c>
      <c r="E156">
        <v>1854</v>
      </c>
      <c r="F156" s="91">
        <v>0.95081967199999995</v>
      </c>
      <c r="G156" s="91">
        <v>7.7935999999999999E-4</v>
      </c>
      <c r="H156" s="7">
        <f t="shared" si="131"/>
        <v>1762.8196718879999</v>
      </c>
      <c r="I156">
        <f t="shared" si="132"/>
        <v>2678.9065977599998</v>
      </c>
      <c r="J156">
        <f t="shared" si="133"/>
        <v>51.758154891379192</v>
      </c>
      <c r="K156" s="6">
        <f t="shared" si="134"/>
        <v>101.44598358710321</v>
      </c>
      <c r="M156" s="2">
        <f>'rockfish harvests'!O155</f>
        <v>1620.5389030501337</v>
      </c>
      <c r="N156">
        <f>'rockfish harvests'!P155</f>
        <v>255673.74912670467</v>
      </c>
      <c r="O156">
        <f>IF([1]species_comp_Region2_forR!$D253&gt;49,[1]species_comp_Region2_forR!$N253,[1]species_comp_Region2_forR!$P253)</f>
        <v>0.82022471900000005</v>
      </c>
      <c r="P156">
        <f>IF([1]species_comp_Region2_forR!$D253&gt;49,[1]species_comp_Region2_forR!$O253,[1]species_comp_Region2_forR!$Q253)</f>
        <v>1.6756379999999999E-3</v>
      </c>
      <c r="Q156" s="13">
        <f t="shared" si="135"/>
        <v>1329.2060663828643</v>
      </c>
      <c r="R156" s="2">
        <f t="shared" si="143"/>
        <v>176838.15485700968</v>
      </c>
      <c r="S156">
        <f t="shared" si="136"/>
        <v>420.52128942184328</v>
      </c>
      <c r="T156" s="6">
        <f t="shared" si="137"/>
        <v>824.22172726681276</v>
      </c>
      <c r="V156" s="13">
        <f t="shared" si="138"/>
        <v>3092.0257382708642</v>
      </c>
      <c r="W156">
        <f t="shared" si="139"/>
        <v>179517.06145476969</v>
      </c>
      <c r="X156">
        <f t="shared" si="140"/>
        <v>423.69453791000149</v>
      </c>
      <c r="Y156" s="6">
        <f t="shared" si="141"/>
        <v>830.44129430360294</v>
      </c>
      <c r="Z156" s="14">
        <f t="shared" si="142"/>
        <v>0.13702814069941791</v>
      </c>
    </row>
    <row r="157" spans="1:26" x14ac:dyDescent="0.3">
      <c r="A157" t="str">
        <f>'rockfish harvests'!A156</f>
        <v>SC</v>
      </c>
      <c r="B157">
        <f>'rockfish harvests'!B156</f>
        <v>2002</v>
      </c>
      <c r="C157" t="str">
        <f>'rockfish harvests'!C156</f>
        <v>NORTHEAS</v>
      </c>
      <c r="D157">
        <f>'rockfish harvests'!D156</f>
        <v>2262</v>
      </c>
      <c r="E157">
        <v>2052</v>
      </c>
      <c r="F157" s="91">
        <v>0.87719298199999995</v>
      </c>
      <c r="G157" s="91">
        <v>1.923669E-3</v>
      </c>
      <c r="H157" s="7">
        <f t="shared" si="131"/>
        <v>1799.9999990639999</v>
      </c>
      <c r="I157">
        <f t="shared" si="132"/>
        <v>8100.0007529760005</v>
      </c>
      <c r="J157">
        <f t="shared" si="133"/>
        <v>90.000004183199906</v>
      </c>
      <c r="K157" s="6">
        <f t="shared" si="134"/>
        <v>176.40000819907181</v>
      </c>
      <c r="M157" s="2">
        <f>'rockfish harvests'!O156</f>
        <v>1761.4891872654503</v>
      </c>
      <c r="N157">
        <f>'rockfish harvests'!P156</f>
        <v>302083.62252065231</v>
      </c>
      <c r="O157">
        <f>IF([1]species_comp_Region2_forR!$D254&gt;49,[1]species_comp_Region2_forR!$N254,[1]species_comp_Region2_forR!$P254)</f>
        <v>0.60843373499999998</v>
      </c>
      <c r="P157">
        <f>IF([1]species_comp_Region2_forR!$D254&gt;49,[1]species_comp_Region2_forR!$O254,[1]species_comp_Region2_forR!$Q254)</f>
        <v>1.443892E-3</v>
      </c>
      <c r="Q157" s="13">
        <f t="shared" si="135"/>
        <v>1071.7494453700324</v>
      </c>
      <c r="R157" s="2">
        <f t="shared" si="143"/>
        <v>116745.1705223457</v>
      </c>
      <c r="S157">
        <f t="shared" si="136"/>
        <v>341.67992408443564</v>
      </c>
      <c r="T157" s="6">
        <f t="shared" si="137"/>
        <v>669.6926512054938</v>
      </c>
      <c r="V157" s="13">
        <f t="shared" si="138"/>
        <v>2871.7494444340323</v>
      </c>
      <c r="W157">
        <f t="shared" si="139"/>
        <v>124845.1712753217</v>
      </c>
      <c r="X157">
        <f t="shared" si="140"/>
        <v>353.33436186609663</v>
      </c>
      <c r="Y157" s="6">
        <f t="shared" si="141"/>
        <v>692.53534925754934</v>
      </c>
      <c r="Z157" s="14">
        <f t="shared" si="142"/>
        <v>0.12303801870700184</v>
      </c>
    </row>
    <row r="158" spans="1:26" x14ac:dyDescent="0.3">
      <c r="A158" t="str">
        <f>'rockfish harvests'!A157</f>
        <v>SC</v>
      </c>
      <c r="B158">
        <f>'rockfish harvests'!B157</f>
        <v>2003</v>
      </c>
      <c r="C158" t="str">
        <f>'rockfish harvests'!C157</f>
        <v>NORTHEAS</v>
      </c>
      <c r="D158">
        <f>'rockfish harvests'!D157</f>
        <v>2743</v>
      </c>
      <c r="E158">
        <v>2477</v>
      </c>
      <c r="F158" s="91">
        <v>0.85869565199999998</v>
      </c>
      <c r="G158" s="91">
        <v>1.3333780000000001E-3</v>
      </c>
      <c r="H158" s="7">
        <f t="shared" si="131"/>
        <v>2126.9891300039999</v>
      </c>
      <c r="I158">
        <f t="shared" si="132"/>
        <v>8180.9793869620007</v>
      </c>
      <c r="J158">
        <f t="shared" si="133"/>
        <v>90.448766641463948</v>
      </c>
      <c r="K158" s="6">
        <f t="shared" si="134"/>
        <v>177.27958261726934</v>
      </c>
      <c r="M158" s="2">
        <f>'rockfish harvests'!O157</f>
        <v>2136.0587270862643</v>
      </c>
      <c r="N158">
        <f>'rockfish harvests'!P157</f>
        <v>444215.38374428463</v>
      </c>
      <c r="O158">
        <f>IF([1]species_comp_Region2_forR!$D255&gt;49,[1]species_comp_Region2_forR!$N255,[1]species_comp_Region2_forR!$P255)</f>
        <v>0.73262032099999996</v>
      </c>
      <c r="P158">
        <f>IF([1]species_comp_Region2_forR!$D255&gt;49,[1]species_comp_Region2_forR!$O255,[1]species_comp_Region2_forR!$Q255)</f>
        <v>1.05316E-3</v>
      </c>
      <c r="Q158" s="13">
        <f t="shared" si="135"/>
        <v>1564.9200303127902</v>
      </c>
      <c r="R158" s="2">
        <f t="shared" si="143"/>
        <v>243697.9812720656</v>
      </c>
      <c r="S158">
        <f t="shared" si="136"/>
        <v>493.65775722869546</v>
      </c>
      <c r="T158" s="6">
        <f t="shared" si="137"/>
        <v>967.56920416824312</v>
      </c>
      <c r="V158" s="13">
        <f t="shared" si="138"/>
        <v>3691.9091603167899</v>
      </c>
      <c r="W158">
        <f t="shared" si="139"/>
        <v>251878.96065902759</v>
      </c>
      <c r="X158">
        <f t="shared" si="140"/>
        <v>501.87544337118908</v>
      </c>
      <c r="Y158" s="6">
        <f t="shared" si="141"/>
        <v>983.67586900753054</v>
      </c>
      <c r="Z158" s="14">
        <f t="shared" si="142"/>
        <v>0.13593927195330149</v>
      </c>
    </row>
    <row r="159" spans="1:26" x14ac:dyDescent="0.3">
      <c r="A159" t="str">
        <f>'rockfish harvests'!A158</f>
        <v>SC</v>
      </c>
      <c r="B159">
        <f>'rockfish harvests'!B158</f>
        <v>2004</v>
      </c>
      <c r="C159" t="str">
        <f>'rockfish harvests'!C158</f>
        <v>NORTHEAS</v>
      </c>
      <c r="D159">
        <f>'rockfish harvests'!D158</f>
        <v>3291</v>
      </c>
      <c r="E159">
        <v>3068</v>
      </c>
      <c r="F159" s="91">
        <v>0.77564102599999996</v>
      </c>
      <c r="G159" s="91">
        <v>1.122723E-3</v>
      </c>
      <c r="H159" s="7">
        <f t="shared" si="131"/>
        <v>2379.666667768</v>
      </c>
      <c r="I159">
        <f t="shared" si="132"/>
        <v>10567.769455152</v>
      </c>
      <c r="J159">
        <f t="shared" si="133"/>
        <v>102.7996568824624</v>
      </c>
      <c r="K159" s="6">
        <f t="shared" si="134"/>
        <v>201.4873274896263</v>
      </c>
      <c r="M159" s="2">
        <f>'rockfish harvests'!O158</f>
        <v>2562.8032339923066</v>
      </c>
      <c r="N159">
        <f>'rockfish harvests'!P158</f>
        <v>639436.97291537211</v>
      </c>
      <c r="O159">
        <f>IF([1]species_comp_Region2_forR!$D256&gt;49,[1]species_comp_Region2_forR!$N256,[1]species_comp_Region2_forR!$P256)</f>
        <v>0.77966101700000001</v>
      </c>
      <c r="P159">
        <f>IF([1]species_comp_Region2_forR!$D256&gt;49,[1]species_comp_Region2_forR!$O256,[1]species_comp_Region2_forR!$Q256)</f>
        <v>1.4682880000000001E-3</v>
      </c>
      <c r="Q159" s="13">
        <f t="shared" si="135"/>
        <v>1998.1177757853307</v>
      </c>
      <c r="R159" s="2">
        <f t="shared" si="143"/>
        <v>399277.92000580358</v>
      </c>
      <c r="S159">
        <f t="shared" si="136"/>
        <v>631.88441981568394</v>
      </c>
      <c r="T159" s="6">
        <f t="shared" si="137"/>
        <v>1238.4934628387405</v>
      </c>
      <c r="V159" s="13">
        <f t="shared" si="138"/>
        <v>4377.7844435533307</v>
      </c>
      <c r="W159">
        <f t="shared" si="139"/>
        <v>409845.68946095556</v>
      </c>
      <c r="X159">
        <f t="shared" si="140"/>
        <v>640.19191611653105</v>
      </c>
      <c r="Y159" s="6">
        <f t="shared" si="141"/>
        <v>1254.7761555884008</v>
      </c>
      <c r="Z159" s="14">
        <f t="shared" si="142"/>
        <v>0.14623650944241201</v>
      </c>
    </row>
    <row r="160" spans="1:26" x14ac:dyDescent="0.3">
      <c r="A160" t="str">
        <f>'rockfish harvests'!A159</f>
        <v>SC</v>
      </c>
      <c r="B160">
        <f>'rockfish harvests'!B159</f>
        <v>2005</v>
      </c>
      <c r="C160" t="str">
        <f>'rockfish harvests'!C159</f>
        <v>NORTHEAS</v>
      </c>
      <c r="D160">
        <f>'rockfish harvests'!D159</f>
        <v>4641</v>
      </c>
      <c r="E160">
        <v>4325</v>
      </c>
      <c r="F160" s="91">
        <v>0.93277310899999999</v>
      </c>
      <c r="G160" s="91">
        <v>5.3141899999999999E-4</v>
      </c>
      <c r="H160" s="7">
        <f t="shared" si="131"/>
        <v>4034.2436964250001</v>
      </c>
      <c r="I160">
        <f t="shared" si="132"/>
        <v>9940.5245318750003</v>
      </c>
      <c r="J160">
        <f t="shared" si="133"/>
        <v>99.702179173150469</v>
      </c>
      <c r="K160" s="6">
        <f t="shared" si="134"/>
        <v>195.41627117937492</v>
      </c>
      <c r="M160" s="2">
        <f>'rockfish harvests'!O159</f>
        <v>3614.0898842170445</v>
      </c>
      <c r="N160">
        <f>'rockfish harvests'!P159</f>
        <v>1271642.7403433286</v>
      </c>
      <c r="O160">
        <f>IF([1]species_comp_Region2_forR!$D257&gt;49,[1]species_comp_Region2_forR!$N257,[1]species_comp_Region2_forR!$P257)</f>
        <v>0.82183908000000006</v>
      </c>
      <c r="P160">
        <f>IF([1]species_comp_Region2_forR!$D257&gt;49,[1]species_comp_Region2_forR!$O257,[1]species_comp_Region2_forR!$Q257)</f>
        <v>8.4635600000000004E-4</v>
      </c>
      <c r="Q160" s="13">
        <f t="shared" si="135"/>
        <v>2970.2003054822426</v>
      </c>
      <c r="R160" s="2">
        <f t="shared" si="143"/>
        <v>871023.3347187792</v>
      </c>
      <c r="S160">
        <f t="shared" si="136"/>
        <v>933.28630908139826</v>
      </c>
      <c r="T160" s="6">
        <f t="shared" si="137"/>
        <v>1829.2411657995406</v>
      </c>
      <c r="V160" s="13">
        <f t="shared" si="138"/>
        <v>7004.4440019072426</v>
      </c>
      <c r="W160">
        <f t="shared" si="139"/>
        <v>880963.85925065423</v>
      </c>
      <c r="X160">
        <f t="shared" si="140"/>
        <v>938.59675007462829</v>
      </c>
      <c r="Y160" s="6">
        <f t="shared" si="141"/>
        <v>1839.6496301462714</v>
      </c>
      <c r="Z160" s="14">
        <f t="shared" si="142"/>
        <v>0.13400017900336664</v>
      </c>
    </row>
    <row r="161" spans="1:27" x14ac:dyDescent="0.3">
      <c r="A161" t="str">
        <f>'rockfish harvests'!A160</f>
        <v>SC</v>
      </c>
      <c r="B161">
        <f>'rockfish harvests'!B160</f>
        <v>2006</v>
      </c>
      <c r="C161" t="str">
        <f>'rockfish harvests'!C160</f>
        <v>NORTHEAS</v>
      </c>
      <c r="D161">
        <f>'rockfish harvests'!D160</f>
        <v>3693</v>
      </c>
      <c r="E161">
        <v>3519</v>
      </c>
      <c r="F161" s="91">
        <v>0.866071429</v>
      </c>
      <c r="G161" s="91">
        <v>1.0449700000000001E-3</v>
      </c>
      <c r="H161" s="7">
        <f t="shared" si="131"/>
        <v>3047.7053586510001</v>
      </c>
      <c r="I161">
        <f t="shared" si="132"/>
        <v>12940.240744170002</v>
      </c>
      <c r="J161">
        <f t="shared" si="133"/>
        <v>113.7551789773547</v>
      </c>
      <c r="K161" s="6">
        <f t="shared" si="134"/>
        <v>222.96015079561522</v>
      </c>
      <c r="M161" s="2">
        <f>'rockfish harvests'!O160</f>
        <v>2875.8530365036731</v>
      </c>
      <c r="N161">
        <f>'rockfish harvests'!P160</f>
        <v>805194.11996587296</v>
      </c>
      <c r="O161">
        <f>IF([1]species_comp_Region2_forR!$D258&gt;49,[1]species_comp_Region2_forR!$N258,[1]species_comp_Region2_forR!$P258)</f>
        <v>0.79807692299999999</v>
      </c>
      <c r="P161">
        <f>IF([1]species_comp_Region2_forR!$D258&gt;49,[1]species_comp_Region2_forR!$O258,[1]species_comp_Region2_forR!$Q258)</f>
        <v>1.564565E-3</v>
      </c>
      <c r="Q161" s="13">
        <f t="shared" si="135"/>
        <v>2295.1519423730583</v>
      </c>
      <c r="R161" s="2">
        <f t="shared" si="143"/>
        <v>527049.25548257388</v>
      </c>
      <c r="S161">
        <f t="shared" si="136"/>
        <v>725.98158067720556</v>
      </c>
      <c r="T161" s="6">
        <f t="shared" si="137"/>
        <v>1422.9238981273229</v>
      </c>
      <c r="V161" s="13">
        <f t="shared" si="138"/>
        <v>5342.857301024058</v>
      </c>
      <c r="W161">
        <f t="shared" si="139"/>
        <v>539989.49622674391</v>
      </c>
      <c r="X161">
        <f t="shared" si="140"/>
        <v>734.83977588773996</v>
      </c>
      <c r="Y161" s="6">
        <f t="shared" si="141"/>
        <v>1440.2859607399703</v>
      </c>
      <c r="Z161" s="14">
        <f t="shared" si="142"/>
        <v>0.13753685237801397</v>
      </c>
    </row>
    <row r="162" spans="1:27" x14ac:dyDescent="0.3">
      <c r="A162" t="str">
        <f>'rockfish harvests'!A161</f>
        <v>SC</v>
      </c>
      <c r="B162">
        <f>'rockfish harvests'!B161</f>
        <v>2007</v>
      </c>
      <c r="C162" t="str">
        <f>'rockfish harvests'!C161</f>
        <v>NORTHEAS</v>
      </c>
      <c r="D162">
        <f>'rockfish harvests'!D161</f>
        <v>5080</v>
      </c>
      <c r="E162">
        <v>4652</v>
      </c>
      <c r="F162" s="91">
        <v>0.62025316500000005</v>
      </c>
      <c r="G162" s="91">
        <v>3.0197330000000001E-3</v>
      </c>
      <c r="H162" s="7">
        <f t="shared" si="131"/>
        <v>2885.4177235800003</v>
      </c>
      <c r="I162">
        <f t="shared" si="132"/>
        <v>65350.355905232005</v>
      </c>
      <c r="J162">
        <f t="shared" si="133"/>
        <v>255.63715673828014</v>
      </c>
      <c r="K162" s="6">
        <f t="shared" si="134"/>
        <v>501.04882720702909</v>
      </c>
      <c r="M162" s="2">
        <f>'rockfish harvests'!O161</f>
        <v>3955.9527282530889</v>
      </c>
      <c r="N162">
        <f>'rockfish harvests'!P161</f>
        <v>1523594.5272363999</v>
      </c>
      <c r="O162">
        <f>IF([1]species_comp_Region2_forR!$D259&gt;49,[1]species_comp_Region2_forR!$N259,[1]species_comp_Region2_forR!$P259)</f>
        <v>0.89411764699999996</v>
      </c>
      <c r="P162">
        <f>IF([1]species_comp_Region2_forR!$D259&gt;49,[1]species_comp_Region2_forR!$O259,[1]species_comp_Region2_forR!$Q259)</f>
        <v>1.127039E-3</v>
      </c>
      <c r="Q162" s="13">
        <f t="shared" si="135"/>
        <v>3537.0871450288823</v>
      </c>
      <c r="R162" s="2">
        <f t="shared" si="143"/>
        <v>1237386.9262337924</v>
      </c>
      <c r="S162">
        <f t="shared" si="136"/>
        <v>1112.378949024923</v>
      </c>
      <c r="T162" s="6">
        <f t="shared" si="137"/>
        <v>2180.2627400888491</v>
      </c>
      <c r="V162" s="13">
        <f t="shared" si="138"/>
        <v>6422.504868608883</v>
      </c>
      <c r="W162">
        <f t="shared" si="139"/>
        <v>1302737.2821390245</v>
      </c>
      <c r="X162">
        <f t="shared" si="140"/>
        <v>1141.3751715097997</v>
      </c>
      <c r="Y162" s="6">
        <f t="shared" si="141"/>
        <v>2237.0953361592074</v>
      </c>
      <c r="Z162" s="14">
        <f t="shared" si="142"/>
        <v>0.17771495621411992</v>
      </c>
    </row>
    <row r="163" spans="1:27" x14ac:dyDescent="0.3">
      <c r="A163" t="str">
        <f>'rockfish harvests'!A162</f>
        <v>SC</v>
      </c>
      <c r="B163">
        <f>'rockfish harvests'!B162</f>
        <v>2008</v>
      </c>
      <c r="C163" t="str">
        <f>'rockfish harvests'!C162</f>
        <v>NORTHEAS</v>
      </c>
      <c r="D163">
        <f>'rockfish harvests'!D162</f>
        <v>6260</v>
      </c>
      <c r="E163">
        <v>5853</v>
      </c>
      <c r="F163" s="91">
        <v>0.82677165399999997</v>
      </c>
      <c r="G163" s="91">
        <v>1.1366690000000001E-3</v>
      </c>
      <c r="H163" s="7">
        <f t="shared" si="131"/>
        <v>4839.0944908619995</v>
      </c>
      <c r="I163">
        <f t="shared" si="132"/>
        <v>38939.562164421004</v>
      </c>
      <c r="J163">
        <f t="shared" si="133"/>
        <v>197.33109781385448</v>
      </c>
      <c r="K163" s="6">
        <f t="shared" si="134"/>
        <v>386.7689517151548</v>
      </c>
      <c r="M163" s="2">
        <f>'rockfish harvests'!O162</f>
        <v>4874.8551336347118</v>
      </c>
      <c r="N163">
        <f>'rockfish harvests'!P162</f>
        <v>2313612.6269270084</v>
      </c>
      <c r="O163">
        <f>IF([1]species_comp_Region2_forR!$D260&gt;49,[1]species_comp_Region2_forR!$N260,[1]species_comp_Region2_forR!$P260)</f>
        <v>0.693333333</v>
      </c>
      <c r="P163">
        <f>IF([1]species_comp_Region2_forR!$D260&gt;49,[1]species_comp_Region2_forR!$O260,[1]species_comp_Region2_forR!$Q260)</f>
        <v>2.873273E-3</v>
      </c>
      <c r="Q163" s="13">
        <f t="shared" si="135"/>
        <v>3379.8995576951152</v>
      </c>
      <c r="R163" s="2">
        <f t="shared" si="143"/>
        <v>1187108.0065497023</v>
      </c>
      <c r="S163">
        <f t="shared" si="136"/>
        <v>1089.5448621097262</v>
      </c>
      <c r="T163" s="6">
        <f t="shared" si="137"/>
        <v>2135.5079297350635</v>
      </c>
      <c r="V163" s="13">
        <f t="shared" si="138"/>
        <v>8218.9940485571151</v>
      </c>
      <c r="W163">
        <f t="shared" si="139"/>
        <v>1226047.5687141232</v>
      </c>
      <c r="X163">
        <f t="shared" si="140"/>
        <v>1107.2703232337274</v>
      </c>
      <c r="Y163" s="6">
        <f t="shared" si="141"/>
        <v>2170.2498335381056</v>
      </c>
      <c r="Z163" s="14">
        <f t="shared" si="142"/>
        <v>0.13472090583008928</v>
      </c>
    </row>
    <row r="164" spans="1:27" x14ac:dyDescent="0.3">
      <c r="A164" t="str">
        <f>'rockfish harvests'!A163</f>
        <v>SC</v>
      </c>
      <c r="B164">
        <f>'rockfish harvests'!B163</f>
        <v>2009</v>
      </c>
      <c r="C164" t="str">
        <f>'rockfish harvests'!C163</f>
        <v>NORTHEAS</v>
      </c>
      <c r="D164">
        <f>'rockfish harvests'!D163</f>
        <v>6369</v>
      </c>
      <c r="E164">
        <v>6087</v>
      </c>
      <c r="F164" s="91">
        <v>0.73611111100000004</v>
      </c>
      <c r="G164" s="91">
        <v>2.7359369999999999E-3</v>
      </c>
      <c r="H164" s="7">
        <f t="shared" si="131"/>
        <v>4480.708332657</v>
      </c>
      <c r="I164">
        <f t="shared" si="132"/>
        <v>101370.758535153</v>
      </c>
      <c r="J164">
        <f t="shared" si="133"/>
        <v>318.38774872025618</v>
      </c>
      <c r="K164" s="6">
        <f t="shared" si="134"/>
        <v>624.03998749170216</v>
      </c>
      <c r="M164" s="2">
        <f>'rockfish harvests'!O163</f>
        <v>4959.7367965047106</v>
      </c>
      <c r="N164">
        <f>'rockfish harvests'!P163</f>
        <v>2394883.9707024693</v>
      </c>
      <c r="O164">
        <f>IF([1]species_comp_Region2_forR!$D261&gt;49,[1]species_comp_Region2_forR!$N261,[1]species_comp_Region2_forR!$P261)</f>
        <v>0.55882352899999999</v>
      </c>
      <c r="P164">
        <f>IF([1]species_comp_Region2_forR!$D261&gt;49,[1]species_comp_Region2_forR!$O261,[1]species_comp_Region2_forR!$Q261)</f>
        <v>3.6796979999999999E-3</v>
      </c>
      <c r="Q164" s="13">
        <f t="shared" si="135"/>
        <v>2771.6176195339171</v>
      </c>
      <c r="R164" s="2">
        <f t="shared" si="143"/>
        <v>847212.61572416825</v>
      </c>
      <c r="S164">
        <f t="shared" si="136"/>
        <v>920.44153302867005</v>
      </c>
      <c r="T164" s="6">
        <f t="shared" si="137"/>
        <v>1804.0654047361932</v>
      </c>
      <c r="V164" s="13">
        <f t="shared" si="138"/>
        <v>7252.3259521909167</v>
      </c>
      <c r="W164">
        <f t="shared" si="139"/>
        <v>948583.37425932125</v>
      </c>
      <c r="X164">
        <f t="shared" si="140"/>
        <v>973.95244969111366</v>
      </c>
      <c r="Y164" s="6">
        <f t="shared" si="141"/>
        <v>1908.9468013945827</v>
      </c>
      <c r="Z164" s="14">
        <f t="shared" si="142"/>
        <v>0.13429518420871364</v>
      </c>
    </row>
    <row r="165" spans="1:27" x14ac:dyDescent="0.3">
      <c r="A165" t="str">
        <f>'rockfish harvests'!A164</f>
        <v>SC</v>
      </c>
      <c r="B165">
        <f>'rockfish harvests'!B164</f>
        <v>2010</v>
      </c>
      <c r="C165" t="str">
        <f>'rockfish harvests'!C164</f>
        <v>NORTHEAS</v>
      </c>
      <c r="D165">
        <f>'rockfish harvests'!D164</f>
        <v>8141</v>
      </c>
      <c r="E165">
        <v>6708</v>
      </c>
      <c r="F165" s="91">
        <v>0.53535353500000005</v>
      </c>
      <c r="G165" s="91">
        <v>2.5382669999999999E-3</v>
      </c>
      <c r="H165" s="7">
        <f t="shared" si="131"/>
        <v>3591.1515127800003</v>
      </c>
      <c r="I165">
        <f t="shared" si="132"/>
        <v>114215.070301488</v>
      </c>
      <c r="J165">
        <f t="shared" si="133"/>
        <v>337.95720187841539</v>
      </c>
      <c r="K165" s="6">
        <f t="shared" si="134"/>
        <v>662.39611568169414</v>
      </c>
      <c r="M165" s="2">
        <f>'rockfish harvests'!O164</f>
        <v>6339.6478662811805</v>
      </c>
      <c r="N165">
        <f>'rockfish harvests'!P164</f>
        <v>3912888.6469779164</v>
      </c>
      <c r="O165" s="32">
        <v>0.74806438500000005</v>
      </c>
      <c r="P165" s="32">
        <v>6.3493509999999996E-3</v>
      </c>
      <c r="Q165" s="13">
        <f t="shared" si="135"/>
        <v>4742.4647822061943</v>
      </c>
      <c r="R165" s="2">
        <f t="shared" si="143"/>
        <v>2469685.6821188279</v>
      </c>
      <c r="S165">
        <f t="shared" si="136"/>
        <v>1571.5233635294221</v>
      </c>
      <c r="T165" s="6">
        <f t="shared" si="137"/>
        <v>3080.1857925176673</v>
      </c>
      <c r="V165" s="13">
        <f t="shared" si="138"/>
        <v>8333.6162949861937</v>
      </c>
      <c r="W165">
        <f t="shared" si="139"/>
        <v>2583900.752420316</v>
      </c>
      <c r="X165">
        <f t="shared" si="140"/>
        <v>1607.4516329956296</v>
      </c>
      <c r="Y165" s="6">
        <f t="shared" si="141"/>
        <v>3150.605200671434</v>
      </c>
      <c r="Z165" s="14">
        <f t="shared" si="142"/>
        <v>0.19288764638260714</v>
      </c>
    </row>
    <row r="166" spans="1:27" x14ac:dyDescent="0.3">
      <c r="A166" t="str">
        <f>'rockfish harvests'!A165</f>
        <v>SC</v>
      </c>
      <c r="B166">
        <f>'rockfish harvests'!B165</f>
        <v>2011</v>
      </c>
      <c r="C166" t="str">
        <f>'rockfish harvests'!C165</f>
        <v>NORTHEAS</v>
      </c>
      <c r="D166">
        <f>'rockfish harvests'!D165</f>
        <v>6904</v>
      </c>
      <c r="E166">
        <v>6611</v>
      </c>
      <c r="F166" s="91">
        <v>0.862318841</v>
      </c>
      <c r="G166" s="91">
        <v>8.6660600000000002E-4</v>
      </c>
      <c r="H166" s="7">
        <f t="shared" si="131"/>
        <v>5700.7898578510003</v>
      </c>
      <c r="I166">
        <f t="shared" si="132"/>
        <v>37875.293410525999</v>
      </c>
      <c r="J166">
        <f t="shared" si="133"/>
        <v>194.6157583818073</v>
      </c>
      <c r="K166" s="6">
        <f t="shared" si="134"/>
        <v>381.44688642834228</v>
      </c>
      <c r="M166" s="2">
        <f>'rockfish harvests'!O165</f>
        <v>6000.5227354099534</v>
      </c>
      <c r="N166">
        <f>'rockfish harvests'!P165</f>
        <v>2122890.1028359062</v>
      </c>
      <c r="O166">
        <f>IF([1]species_comp_Region2_forR!$D263&gt;49,[1]species_comp_Region2_forR!$N263,[1]species_comp_Region2_forR!$P263)</f>
        <v>0.71830985899999999</v>
      </c>
      <c r="P166">
        <f>IF([1]species_comp_Region2_forR!$D263&gt;49,[1]species_comp_Region2_forR!$O263,[1]species_comp_Region2_forR!$Q263)</f>
        <v>2.890583E-3</v>
      </c>
      <c r="Q166" s="13">
        <f t="shared" si="135"/>
        <v>4310.2346399986181</v>
      </c>
      <c r="R166" s="2">
        <f t="shared" si="143"/>
        <v>1205561.1080755158</v>
      </c>
      <c r="S166">
        <f t="shared" si="136"/>
        <v>1097.9804679845247</v>
      </c>
      <c r="T166" s="6">
        <f t="shared" si="137"/>
        <v>2152.0417172496682</v>
      </c>
      <c r="V166" s="13">
        <f t="shared" si="138"/>
        <v>10011.024497849619</v>
      </c>
      <c r="W166">
        <f t="shared" si="139"/>
        <v>1243436.4014860417</v>
      </c>
      <c r="X166">
        <f t="shared" si="140"/>
        <v>1115.0947948430401</v>
      </c>
      <c r="Y166" s="6">
        <f t="shared" si="141"/>
        <v>2185.5857978923586</v>
      </c>
      <c r="Z166" s="14">
        <f t="shared" si="142"/>
        <v>0.11138668126149964</v>
      </c>
      <c r="AA166" s="14"/>
    </row>
    <row r="167" spans="1:27" x14ac:dyDescent="0.3">
      <c r="A167" t="str">
        <f>'rockfish harvests'!A166</f>
        <v>SC</v>
      </c>
      <c r="B167">
        <f>'rockfish harvests'!B166</f>
        <v>2012</v>
      </c>
      <c r="C167" t="str">
        <f>'rockfish harvests'!C166</f>
        <v>NORTHEAS</v>
      </c>
      <c r="D167">
        <f>'rockfish harvests'!D166</f>
        <v>6813</v>
      </c>
      <c r="E167">
        <v>6257</v>
      </c>
      <c r="F167" s="91">
        <v>0.75524475499999999</v>
      </c>
      <c r="G167" s="91">
        <v>1.301761E-3</v>
      </c>
      <c r="H167" s="7">
        <f t="shared" si="131"/>
        <v>4725.5664320349997</v>
      </c>
      <c r="I167">
        <f t="shared" si="132"/>
        <v>50964.006936288999</v>
      </c>
      <c r="J167">
        <f t="shared" si="133"/>
        <v>225.75209176503549</v>
      </c>
      <c r="K167" s="6">
        <f t="shared" si="134"/>
        <v>442.47409985946956</v>
      </c>
      <c r="M167" s="2">
        <f>'rockfish harvests'!O166</f>
        <v>4938.4793337446008</v>
      </c>
      <c r="N167">
        <f>'rockfish harvests'!P166</f>
        <v>2023168.1052428612</v>
      </c>
      <c r="O167" s="91">
        <v>0.74509803900000005</v>
      </c>
      <c r="P167" s="91">
        <v>1.2495189999999999E-3</v>
      </c>
      <c r="Q167" s="13">
        <f t="shared" si="135"/>
        <v>3679.6512672151289</v>
      </c>
      <c r="R167" s="2">
        <f t="shared" si="143"/>
        <v>1156206.4163753127</v>
      </c>
      <c r="S167">
        <f t="shared" si="136"/>
        <v>1075.2703922155174</v>
      </c>
      <c r="T167" s="6">
        <f t="shared" si="137"/>
        <v>2107.529968742414</v>
      </c>
      <c r="V167" s="13">
        <f t="shared" si="138"/>
        <v>8405.2176992501281</v>
      </c>
      <c r="W167">
        <f t="shared" si="139"/>
        <v>1207170.4233116016</v>
      </c>
      <c r="X167">
        <f t="shared" si="140"/>
        <v>1098.7130759718852</v>
      </c>
      <c r="Y167" s="6">
        <f t="shared" si="141"/>
        <v>2153.477628904895</v>
      </c>
      <c r="Z167" s="14">
        <f t="shared" si="142"/>
        <v>0.13071797962709603</v>
      </c>
      <c r="AA167" s="14"/>
    </row>
    <row r="168" spans="1:27" x14ac:dyDescent="0.3">
      <c r="A168" t="str">
        <f>'rockfish harvests'!A167</f>
        <v>SC</v>
      </c>
      <c r="B168">
        <f>'rockfish harvests'!B167</f>
        <v>2013</v>
      </c>
      <c r="C168" t="str">
        <f>'rockfish harvests'!C167</f>
        <v>NORTHEAS</v>
      </c>
      <c r="D168">
        <f>'rockfish harvests'!D167</f>
        <v>9965</v>
      </c>
      <c r="E168">
        <v>9327</v>
      </c>
      <c r="F168" s="91">
        <v>0.53982300900000002</v>
      </c>
      <c r="G168" s="91">
        <v>5.5080699999999995E-4</v>
      </c>
      <c r="H168" s="7">
        <f t="shared" si="131"/>
        <v>5034.9292049430005</v>
      </c>
      <c r="I168">
        <f t="shared" si="132"/>
        <v>47916.314243702996</v>
      </c>
      <c r="J168">
        <f t="shared" si="133"/>
        <v>218.89795395047207</v>
      </c>
      <c r="K168" s="6">
        <f t="shared" si="134"/>
        <v>429.03998974292523</v>
      </c>
      <c r="M168" s="2">
        <f>'rockfish harvests'!O167</f>
        <v>8625.830039525692</v>
      </c>
      <c r="N168">
        <f>'rockfish harvests'!P167</f>
        <v>4761147.9363994701</v>
      </c>
      <c r="O168" s="91">
        <v>0.66871165600000004</v>
      </c>
      <c r="P168" s="91">
        <v>1.3675079999999999E-3</v>
      </c>
      <c r="Q168" s="13">
        <f t="shared" si="135"/>
        <v>5768.1930901057713</v>
      </c>
      <c r="R168" s="2">
        <f t="shared" si="143"/>
        <v>2237327.920077065</v>
      </c>
      <c r="S168">
        <f t="shared" si="136"/>
        <v>1495.7700090846404</v>
      </c>
      <c r="T168" s="6">
        <f t="shared" si="137"/>
        <v>2931.7092178058952</v>
      </c>
      <c r="V168" s="13">
        <f t="shared" si="138"/>
        <v>10803.122295048772</v>
      </c>
      <c r="W168">
        <f t="shared" si="139"/>
        <v>2285244.2343207682</v>
      </c>
      <c r="X168">
        <f t="shared" si="140"/>
        <v>1511.7024291575271</v>
      </c>
      <c r="Y168" s="6">
        <f t="shared" si="141"/>
        <v>2962.9367611487532</v>
      </c>
      <c r="Z168" s="14">
        <f t="shared" si="142"/>
        <v>0.13993199261016998</v>
      </c>
      <c r="AA168" s="14"/>
    </row>
    <row r="169" spans="1:27" x14ac:dyDescent="0.3">
      <c r="A169" t="str">
        <f>'rockfish harvests'!A168</f>
        <v>SC</v>
      </c>
      <c r="B169">
        <f>'rockfish harvests'!B168</f>
        <v>2014</v>
      </c>
      <c r="C169" t="str">
        <f>'rockfish harvests'!C168</f>
        <v>NORTHEAS</v>
      </c>
      <c r="D169">
        <f>'rockfish harvests'!D168</f>
        <v>11896</v>
      </c>
      <c r="E169">
        <v>10360</v>
      </c>
      <c r="F169" s="91">
        <v>0.81493506500000001</v>
      </c>
      <c r="G169" s="91">
        <v>4.9125700000000004E-4</v>
      </c>
      <c r="H169" s="7">
        <f t="shared" si="131"/>
        <v>8442.7272733999998</v>
      </c>
      <c r="I169">
        <f t="shared" si="132"/>
        <v>52726.417307200005</v>
      </c>
      <c r="J169">
        <f t="shared" si="133"/>
        <v>229.62233625499067</v>
      </c>
      <c r="K169" s="6">
        <f t="shared" si="134"/>
        <v>450.0597790597817</v>
      </c>
      <c r="M169" s="2">
        <f>'rockfish harvests'!O168</f>
        <v>5411.0074000986679</v>
      </c>
      <c r="N169">
        <f>'rockfish harvests'!P168</f>
        <v>1633143.8585763292</v>
      </c>
      <c r="O169" s="91">
        <v>0.77777777800000003</v>
      </c>
      <c r="P169" s="91">
        <v>1.382716E-3</v>
      </c>
      <c r="Q169" s="13">
        <f t="shared" si="135"/>
        <v>4208.5613123902995</v>
      </c>
      <c r="R169" s="2">
        <f t="shared" si="143"/>
        <v>1030693.9410602401</v>
      </c>
      <c r="S169">
        <f t="shared" si="136"/>
        <v>1015.2309791669284</v>
      </c>
      <c r="T169" s="6">
        <f t="shared" si="137"/>
        <v>1989.8527191671797</v>
      </c>
      <c r="V169" s="13">
        <f t="shared" si="138"/>
        <v>12651.288585790298</v>
      </c>
      <c r="W169">
        <f t="shared" si="139"/>
        <v>1083420.3583674401</v>
      </c>
      <c r="X169">
        <f t="shared" si="140"/>
        <v>1040.8748043676724</v>
      </c>
      <c r="Y169" s="6">
        <f t="shared" si="141"/>
        <v>2040.1146165606378</v>
      </c>
      <c r="Z169" s="14">
        <f t="shared" si="142"/>
        <v>8.2274212410012079E-2</v>
      </c>
      <c r="AA169" s="14"/>
    </row>
    <row r="170" spans="1:27" x14ac:dyDescent="0.3">
      <c r="A170" t="str">
        <f>'rockfish harvests'!A169</f>
        <v>SC</v>
      </c>
      <c r="B170">
        <f>'rockfish harvests'!B169</f>
        <v>2015</v>
      </c>
      <c r="C170" t="str">
        <f>'rockfish harvests'!C169</f>
        <v>NORTHEAS</v>
      </c>
      <c r="D170">
        <f>'rockfish harvests'!D169</f>
        <v>12377</v>
      </c>
      <c r="E170">
        <v>11799</v>
      </c>
      <c r="F170" s="91">
        <v>0.699029126</v>
      </c>
      <c r="G170" s="91">
        <v>2.0626220000000001E-3</v>
      </c>
      <c r="H170" s="7">
        <f t="shared" si="131"/>
        <v>8247.8446576740007</v>
      </c>
      <c r="I170">
        <f t="shared" si="132"/>
        <v>287150.81146342203</v>
      </c>
      <c r="J170">
        <f t="shared" si="133"/>
        <v>535.86454581677822</v>
      </c>
      <c r="K170" s="6">
        <f t="shared" si="134"/>
        <v>1050.2945098008852</v>
      </c>
      <c r="M170" s="2">
        <f>'rockfish harvests'!O169</f>
        <v>10776.477406902814</v>
      </c>
      <c r="N170">
        <f>'rockfish harvests'!P169</f>
        <v>10110394.020791385</v>
      </c>
      <c r="O170" s="91">
        <v>0.73157894700000003</v>
      </c>
      <c r="P170" s="91">
        <v>5.1813E-4</v>
      </c>
      <c r="Q170" s="13">
        <f t="shared" si="135"/>
        <v>7883.8439937112516</v>
      </c>
      <c r="R170" s="2">
        <f t="shared" si="143"/>
        <v>5476571.5057466943</v>
      </c>
      <c r="S170">
        <f t="shared" si="136"/>
        <v>2340.2075774910854</v>
      </c>
      <c r="T170" s="6">
        <f t="shared" si="137"/>
        <v>4586.8068518825276</v>
      </c>
      <c r="V170" s="13">
        <f t="shared" si="138"/>
        <v>16131.688651385251</v>
      </c>
      <c r="W170">
        <f t="shared" si="139"/>
        <v>5763722.3172101164</v>
      </c>
      <c r="X170">
        <f t="shared" si="140"/>
        <v>2400.775357506428</v>
      </c>
      <c r="Y170" s="6">
        <f t="shared" si="141"/>
        <v>4705.5197007125989</v>
      </c>
      <c r="Z170" s="14">
        <f t="shared" si="142"/>
        <v>0.14882356146269102</v>
      </c>
      <c r="AA170" s="14"/>
    </row>
    <row r="171" spans="1:27" x14ac:dyDescent="0.3">
      <c r="A171" t="str">
        <f>'rockfish harvests'!A170</f>
        <v>SC</v>
      </c>
      <c r="B171">
        <f>'rockfish harvests'!B170</f>
        <v>2016</v>
      </c>
      <c r="C171" t="str">
        <f>'rockfish harvests'!C170</f>
        <v>NORTHEAS</v>
      </c>
      <c r="D171">
        <f>'rockfish harvests'!D170</f>
        <v>13580</v>
      </c>
      <c r="E171">
        <v>12861</v>
      </c>
      <c r="F171" s="91">
        <v>0.54517134</v>
      </c>
      <c r="G171" s="91">
        <v>7.7487400000000005E-4</v>
      </c>
      <c r="H171" s="7">
        <f t="shared" si="131"/>
        <v>7011.4486037400002</v>
      </c>
      <c r="I171">
        <f t="shared" si="132"/>
        <v>128168.282704554</v>
      </c>
      <c r="J171">
        <f t="shared" si="133"/>
        <v>358.00598138097359</v>
      </c>
      <c r="K171" s="6">
        <f t="shared" si="134"/>
        <v>701.69172350670829</v>
      </c>
      <c r="M171" s="2">
        <f>'rockfish harvests'!O170</f>
        <v>14147.366319691999</v>
      </c>
      <c r="N171">
        <f>'rockfish harvests'!P170</f>
        <v>22590691.391820997</v>
      </c>
      <c r="O171" s="91">
        <v>0.83437499999999998</v>
      </c>
      <c r="P171" s="91">
        <v>4.3320799999999998E-4</v>
      </c>
      <c r="Q171" s="13">
        <f t="shared" si="135"/>
        <v>11804.208772993012</v>
      </c>
      <c r="R171" s="2">
        <f t="shared" si="143"/>
        <v>15823716.767674301</v>
      </c>
      <c r="S171">
        <f t="shared" si="136"/>
        <v>3977.903564401015</v>
      </c>
      <c r="T171" s="6">
        <f t="shared" si="137"/>
        <v>7796.690986225989</v>
      </c>
      <c r="V171" s="13">
        <f t="shared" si="138"/>
        <v>18815.657376733012</v>
      </c>
      <c r="W171">
        <f t="shared" si="139"/>
        <v>15951885.050378855</v>
      </c>
      <c r="X171">
        <f t="shared" si="140"/>
        <v>3993.9811029070802</v>
      </c>
      <c r="Y171" s="6">
        <f t="shared" si="141"/>
        <v>7828.2029616978771</v>
      </c>
      <c r="Z171" s="14">
        <f t="shared" si="142"/>
        <v>0.21226901739005627</v>
      </c>
      <c r="AA171" s="14"/>
    </row>
    <row r="172" spans="1:27" x14ac:dyDescent="0.3">
      <c r="A172" t="str">
        <f>'rockfish harvests'!A171</f>
        <v>SC</v>
      </c>
      <c r="B172">
        <f>'rockfish harvests'!B171</f>
        <v>2017</v>
      </c>
      <c r="C172" t="str">
        <f>'rockfish harvests'!C171</f>
        <v>NORTHEAS</v>
      </c>
      <c r="D172">
        <f>'rockfish harvests'!D171</f>
        <v>6719</v>
      </c>
      <c r="E172">
        <v>6478</v>
      </c>
      <c r="F172" s="91">
        <v>0.62343096200000003</v>
      </c>
      <c r="G172" s="91">
        <v>9.8640699999999991E-4</v>
      </c>
      <c r="H172" s="7">
        <f t="shared" si="131"/>
        <v>4038.5857718360003</v>
      </c>
      <c r="I172">
        <f t="shared" si="132"/>
        <v>41394.060768987998</v>
      </c>
      <c r="J172">
        <f t="shared" si="133"/>
        <v>203.45530410630241</v>
      </c>
      <c r="K172" s="6">
        <f t="shared" si="134"/>
        <v>398.77239604835273</v>
      </c>
      <c r="M172" s="2">
        <f>'rockfish harvests'!O171</f>
        <v>3758.2825709322533</v>
      </c>
      <c r="N172">
        <f>'rockfish harvests'!P171</f>
        <v>1035822.3149322054</v>
      </c>
      <c r="O172" s="91">
        <v>0.712121212</v>
      </c>
      <c r="P172" s="91">
        <v>6.2311400000000002E-4</v>
      </c>
      <c r="Q172" s="13">
        <f t="shared" si="135"/>
        <v>2676.3527394507523</v>
      </c>
      <c r="R172" s="2">
        <f t="shared" si="143"/>
        <v>534729.4380215914</v>
      </c>
      <c r="S172">
        <f t="shared" si="136"/>
        <v>731.25196616596622</v>
      </c>
      <c r="T172" s="6">
        <f t="shared" si="137"/>
        <v>1433.2538536852937</v>
      </c>
      <c r="V172" s="13">
        <f t="shared" si="138"/>
        <v>6714.9385112867531</v>
      </c>
      <c r="W172">
        <f t="shared" si="139"/>
        <v>576123.49879057938</v>
      </c>
      <c r="X172">
        <f t="shared" si="140"/>
        <v>759.02799605191069</v>
      </c>
      <c r="Y172" s="6">
        <f t="shared" si="141"/>
        <v>1487.6948722617449</v>
      </c>
      <c r="Z172" s="14">
        <f t="shared" si="142"/>
        <v>0.11303573290747254</v>
      </c>
      <c r="AA172" s="14"/>
    </row>
    <row r="173" spans="1:27" x14ac:dyDescent="0.3">
      <c r="A173" t="str">
        <f>'rockfish harvests'!A172</f>
        <v>SC</v>
      </c>
      <c r="B173">
        <f>'rockfish harvests'!B172</f>
        <v>2018</v>
      </c>
      <c r="C173" t="str">
        <f>'rockfish harvests'!C172</f>
        <v>NORTHEAS</v>
      </c>
      <c r="D173">
        <f>'rockfish harvests'!D172</f>
        <v>8479</v>
      </c>
      <c r="E173">
        <v>8163</v>
      </c>
      <c r="F173" s="91">
        <v>0.75075075099999999</v>
      </c>
      <c r="G173" s="91">
        <v>5.6362700000000003E-4</v>
      </c>
      <c r="H173" s="7">
        <f t="shared" si="131"/>
        <v>6128.3783804129998</v>
      </c>
      <c r="I173">
        <f t="shared" si="132"/>
        <v>37557.042221763004</v>
      </c>
      <c r="J173">
        <f t="shared" si="133"/>
        <v>193.79639372744532</v>
      </c>
      <c r="K173" s="6">
        <f t="shared" si="134"/>
        <v>379.8409317057928</v>
      </c>
      <c r="M173" s="2">
        <f>'rockfish harvests'!O172</f>
        <v>8690.7789084181313</v>
      </c>
      <c r="N173">
        <f>'rockfish harvests'!P172</f>
        <v>6090869.3085533688</v>
      </c>
      <c r="O173" s="91">
        <v>0.75919732399999995</v>
      </c>
      <c r="P173" s="91">
        <v>6.13479E-4</v>
      </c>
      <c r="Q173" s="13">
        <f t="shared" si="135"/>
        <v>6598.0160907466861</v>
      </c>
      <c r="R173" s="2">
        <f t="shared" si="143"/>
        <v>3560731.2323117536</v>
      </c>
      <c r="S173">
        <f t="shared" si="136"/>
        <v>1886.9899926368855</v>
      </c>
      <c r="T173" s="6">
        <f t="shared" si="137"/>
        <v>3698.5003855682958</v>
      </c>
      <c r="V173" s="13">
        <f t="shared" si="138"/>
        <v>12726.394471159685</v>
      </c>
      <c r="W173">
        <f t="shared" si="139"/>
        <v>3598288.2745335167</v>
      </c>
      <c r="X173">
        <f t="shared" si="140"/>
        <v>1896.9154632016464</v>
      </c>
      <c r="Y173" s="6">
        <f t="shared" si="141"/>
        <v>3717.9543078752267</v>
      </c>
      <c r="Z173" s="14">
        <f t="shared" si="142"/>
        <v>0.14905364339447441</v>
      </c>
      <c r="AA173" s="14"/>
    </row>
    <row r="174" spans="1:27" x14ac:dyDescent="0.3">
      <c r="A174" t="str">
        <f>'rockfish harvests'!A173</f>
        <v>SC</v>
      </c>
      <c r="B174">
        <f>'rockfish harvests'!B173</f>
        <v>2019</v>
      </c>
      <c r="C174" t="str">
        <f>'rockfish harvests'!C173</f>
        <v>NORTHEAS</v>
      </c>
      <c r="D174">
        <f>'rockfish harvests'!D173</f>
        <v>9881</v>
      </c>
      <c r="E174">
        <v>9446</v>
      </c>
      <c r="F174" s="91">
        <v>0.792626728</v>
      </c>
      <c r="G174" s="91">
        <v>7.6097000000000003E-4</v>
      </c>
      <c r="H174" s="7">
        <f>E174*F174</f>
        <v>7487.1520726879999</v>
      </c>
      <c r="I174">
        <f>(E174^2)*G174</f>
        <v>67899.006268519996</v>
      </c>
      <c r="J174">
        <f>SQRT(I174)</f>
        <v>260.57437761322581</v>
      </c>
      <c r="K174" s="6">
        <f>(1.96*J174)</f>
        <v>510.72578012192258</v>
      </c>
      <c r="M174" s="2">
        <f>'rockfish harvests'!O173</f>
        <v>10303.660072182862</v>
      </c>
      <c r="N174">
        <f>'rockfish harvests'!P173</f>
        <v>5030013.8598571327</v>
      </c>
      <c r="O174" s="91">
        <v>0.78749999999999998</v>
      </c>
      <c r="P174" s="91">
        <v>7.0018299999999995E-4</v>
      </c>
      <c r="Q174" s="13">
        <f>M174*O174</f>
        <v>8114.1323068440033</v>
      </c>
      <c r="R174" s="2">
        <f t="shared" si="143"/>
        <v>3197251.6788598197</v>
      </c>
      <c r="S174">
        <f>SQRT(R174)</f>
        <v>1788.0860378795589</v>
      </c>
      <c r="T174" s="6">
        <f>(1.96*S174)</f>
        <v>3504.6486342439352</v>
      </c>
      <c r="V174" s="13">
        <f>Q174+H174</f>
        <v>15601.284379532004</v>
      </c>
      <c r="W174">
        <f>R174+I174</f>
        <v>3265150.6851283396</v>
      </c>
      <c r="X174">
        <f>SQRT(W174)</f>
        <v>1806.9727959015706</v>
      </c>
      <c r="Y174" s="6">
        <f>(1.96*X174)</f>
        <v>3541.6666799670784</v>
      </c>
      <c r="Z174" s="14">
        <f t="shared" si="142"/>
        <v>0.11582205361708654</v>
      </c>
      <c r="AA174" s="14"/>
    </row>
    <row r="175" spans="1:27" x14ac:dyDescent="0.3">
      <c r="A175" t="str">
        <f>'rockfish harvests'!A174</f>
        <v>SC</v>
      </c>
      <c r="B175">
        <f>'rockfish harvests'!B174</f>
        <v>2020</v>
      </c>
      <c r="C175" t="str">
        <f>'rockfish harvests'!C174</f>
        <v>NORTHEAS</v>
      </c>
      <c r="D175">
        <f>'rockfish harvests'!D174</f>
        <v>4479</v>
      </c>
      <c r="E175">
        <v>4183</v>
      </c>
      <c r="F175" s="91">
        <v>0.743243243</v>
      </c>
      <c r="G175" s="91">
        <v>2.6141469999999998E-3</v>
      </c>
      <c r="H175" s="7">
        <f t="shared" ref="H175:H176" si="164">E175*F175</f>
        <v>3108.9864854689999</v>
      </c>
      <c r="I175">
        <f t="shared" ref="I175:I176" si="165">(E175^2)*G175</f>
        <v>45741.008376882994</v>
      </c>
      <c r="J175">
        <f t="shared" ref="J175:J177" si="166">SQRT(I175)</f>
        <v>213.87147630500658</v>
      </c>
      <c r="K175" s="6">
        <f t="shared" ref="K175:K177" si="167">(1.96*J175)</f>
        <v>419.18809355781292</v>
      </c>
      <c r="M175" s="2">
        <f>'rockfish harvests'!O174</f>
        <v>5425.9695845697333</v>
      </c>
      <c r="N175">
        <f>'rockfish harvests'!P174</f>
        <v>2642689.7102351333</v>
      </c>
      <c r="O175" s="91">
        <v>0.72222222199999997</v>
      </c>
      <c r="P175" s="91">
        <v>1.8749280000000001E-3</v>
      </c>
      <c r="Q175" s="13">
        <f t="shared" ref="Q175:Q176" si="168">M175*O175</f>
        <v>3918.7558098723694</v>
      </c>
      <c r="R175" s="2">
        <f t="shared" si="143"/>
        <v>1438594.8841242231</v>
      </c>
      <c r="S175">
        <f t="shared" ref="S175:S177" si="169">SQRT(R175)</f>
        <v>1199.4143921615344</v>
      </c>
      <c r="T175" s="6">
        <f t="shared" ref="T175:T177" si="170">(1.96*S175)</f>
        <v>2350.8522086366074</v>
      </c>
      <c r="V175" s="13">
        <f t="shared" ref="V175:V176" si="171">Q175+H175</f>
        <v>7027.7422953413698</v>
      </c>
      <c r="W175">
        <f t="shared" ref="W175:W176" si="172">R175+I175</f>
        <v>1484335.892501106</v>
      </c>
      <c r="X175">
        <f t="shared" ref="X175:X176" si="173">SQRT(W175)</f>
        <v>1218.3332436165017</v>
      </c>
      <c r="Y175" s="6">
        <f t="shared" ref="Y175:Y176" si="174">(1.96*X175)</f>
        <v>2387.9331574883431</v>
      </c>
      <c r="Z175" s="14">
        <f t="shared" ref="Z175:Z176" si="175">X175/V175</f>
        <v>0.17336054630576372</v>
      </c>
      <c r="AA175" s="14"/>
    </row>
    <row r="176" spans="1:27" x14ac:dyDescent="0.3">
      <c r="A176" t="str">
        <f>'rockfish harvests'!A175</f>
        <v>SC</v>
      </c>
      <c r="B176">
        <f>'rockfish harvests'!B175</f>
        <v>2021</v>
      </c>
      <c r="C176" t="str">
        <f>'rockfish harvests'!C175</f>
        <v>NORTHEAS</v>
      </c>
      <c r="D176">
        <f>'rockfish harvests'!D175</f>
        <v>9680</v>
      </c>
      <c r="E176">
        <v>8979</v>
      </c>
      <c r="F176" s="91">
        <v>0.89789789799999997</v>
      </c>
      <c r="G176" s="91">
        <v>2.7613600000000001E-4</v>
      </c>
      <c r="H176" s="7">
        <f t="shared" si="164"/>
        <v>8062.2252261419999</v>
      </c>
      <c r="I176">
        <f t="shared" si="165"/>
        <v>22262.758367976003</v>
      </c>
      <c r="J176">
        <f t="shared" si="166"/>
        <v>149.20709891950852</v>
      </c>
      <c r="K176" s="6">
        <f t="shared" si="167"/>
        <v>292.44591388223671</v>
      </c>
      <c r="M176" s="2">
        <f>'rockfish harvests'!O175</f>
        <v>6922.7471252241812</v>
      </c>
      <c r="N176">
        <f>'rockfish harvests'!P175</f>
        <v>2666714.9901529583</v>
      </c>
      <c r="O176" s="91">
        <v>0.89705882400000003</v>
      </c>
      <c r="P176" s="91">
        <v>4.5489800000000002E-4</v>
      </c>
      <c r="Q176" s="13">
        <f t="shared" si="168"/>
        <v>6210.1113950029849</v>
      </c>
      <c r="R176" s="2">
        <f t="shared" si="143"/>
        <v>2168958.1195097747</v>
      </c>
      <c r="S176">
        <f t="shared" si="169"/>
        <v>1472.7383065262391</v>
      </c>
      <c r="T176" s="6">
        <f t="shared" si="170"/>
        <v>2886.5670807914285</v>
      </c>
      <c r="V176" s="13">
        <f t="shared" si="171"/>
        <v>14272.336621144985</v>
      </c>
      <c r="W176">
        <f t="shared" si="172"/>
        <v>2191220.8778777509</v>
      </c>
      <c r="X176">
        <f t="shared" si="173"/>
        <v>1480.277297629654</v>
      </c>
      <c r="Y176" s="6">
        <f t="shared" si="174"/>
        <v>2901.3435033541218</v>
      </c>
      <c r="Z176" s="14">
        <f t="shared" si="175"/>
        <v>0.10371653478496082</v>
      </c>
      <c r="AA176" s="14"/>
    </row>
    <row r="177" spans="1:27" s="51" customFormat="1" x14ac:dyDescent="0.3">
      <c r="A177" s="51" t="s">
        <v>81</v>
      </c>
      <c r="B177" s="51">
        <v>2022</v>
      </c>
      <c r="C177" s="51" t="s">
        <v>50</v>
      </c>
      <c r="D177">
        <f>'rockfish harvests'!D176</f>
        <v>10973</v>
      </c>
      <c r="E177" s="6">
        <v>10351</v>
      </c>
      <c r="F177" s="91">
        <v>0.905511811</v>
      </c>
      <c r="G177" s="91">
        <v>6.7904900000000004E-4</v>
      </c>
      <c r="H177" s="7">
        <f t="shared" ref="H177" si="176">E177*F177</f>
        <v>9372.9527556609992</v>
      </c>
      <c r="I177">
        <f t="shared" ref="I177" si="177">(E177^2)*G177</f>
        <v>72755.48349584901</v>
      </c>
      <c r="J177">
        <f t="shared" si="166"/>
        <v>269.73224407891803</v>
      </c>
      <c r="K177" s="6">
        <f t="shared" si="167"/>
        <v>528.67519839467934</v>
      </c>
      <c r="M177" s="2">
        <f>'rockfish harvests'!O176</f>
        <v>3514.0968005724208</v>
      </c>
      <c r="N177">
        <f>'rockfish harvests'!P176</f>
        <v>1054686.774762708</v>
      </c>
      <c r="O177" s="91">
        <v>0.946428571</v>
      </c>
      <c r="P177" s="91">
        <v>4.5677100000000002E-4</v>
      </c>
      <c r="Q177" s="13">
        <f t="shared" ref="Q177" si="178">M177*O177</f>
        <v>3325.8416133214282</v>
      </c>
      <c r="R177" s="2">
        <f t="shared" si="143"/>
        <v>950833.82181081874</v>
      </c>
      <c r="S177">
        <f t="shared" si="169"/>
        <v>975.10708222780272</v>
      </c>
      <c r="T177" s="6">
        <f t="shared" si="170"/>
        <v>1911.2098811664932</v>
      </c>
      <c r="V177" s="13">
        <f t="shared" ref="V177" si="179">Q177+H177</f>
        <v>12698.794368982428</v>
      </c>
      <c r="W177">
        <f t="shared" ref="W177" si="180">R177+I177</f>
        <v>1023589.3053066677</v>
      </c>
      <c r="X177">
        <f t="shared" ref="X177" si="181">SQRT(W177)</f>
        <v>1011.7259042382318</v>
      </c>
      <c r="Y177" s="6">
        <f t="shared" ref="Y177" si="182">(1.96*X177)</f>
        <v>1982.9827723069343</v>
      </c>
      <c r="Z177" s="14">
        <f t="shared" ref="Z177" si="183">X177/V177</f>
        <v>7.9671020322168024E-2</v>
      </c>
      <c r="AA177" s="79"/>
    </row>
    <row r="178" spans="1:27" x14ac:dyDescent="0.3">
      <c r="A178" t="str">
        <f>'rockfish harvests'!A177</f>
        <v>SC</v>
      </c>
      <c r="B178">
        <f>'rockfish harvests'!B177</f>
        <v>1998</v>
      </c>
      <c r="C178" t="str">
        <f>'rockfish harvests'!C177</f>
        <v>PWSI</v>
      </c>
      <c r="D178">
        <f>'rockfish harvests'!D177</f>
        <v>3821</v>
      </c>
      <c r="E178">
        <v>2098</v>
      </c>
      <c r="F178">
        <f>IF([1]species_comp_Region2_forR!$G277&gt;49,[1]species_comp_Region2_forR!$AD277,[1]species_comp_Region2_forR!$AF277)</f>
        <v>0.95776085700000002</v>
      </c>
      <c r="G178">
        <f>IF([1]species_comp_Region2_forR!$G277&gt;49,[1]species_comp_Region2_forR!$AE277,[1]species_comp_Region2_forR!$AG277)</f>
        <v>5.3939999999999999E-4</v>
      </c>
      <c r="H178" s="7">
        <f t="shared" si="131"/>
        <v>2009.382277986</v>
      </c>
      <c r="I178">
        <f t="shared" si="132"/>
        <v>2374.2251975999998</v>
      </c>
      <c r="J178">
        <f t="shared" si="133"/>
        <v>48.726021770713025</v>
      </c>
      <c r="K178" s="6">
        <f t="shared" si="134"/>
        <v>95.503002670597525</v>
      </c>
      <c r="M178" s="2">
        <f>'rockfish harvests'!O177</f>
        <v>9768.3550806147941</v>
      </c>
      <c r="N178">
        <f>'rockfish harvests'!P177</f>
        <v>8755809.3695013113</v>
      </c>
      <c r="O178" s="32">
        <v>0.38628944900000001</v>
      </c>
      <c r="P178" s="32">
        <v>3.9408665000000002E-2</v>
      </c>
      <c r="Q178" s="13">
        <f t="shared" si="135"/>
        <v>3773.4125017270394</v>
      </c>
      <c r="R178" s="2">
        <f t="shared" si="143"/>
        <v>5411997.3943025321</v>
      </c>
      <c r="S178">
        <f t="shared" si="136"/>
        <v>2326.3700037402759</v>
      </c>
      <c r="T178" s="6">
        <f t="shared" si="137"/>
        <v>4559.685207330941</v>
      </c>
      <c r="V178" s="13">
        <f t="shared" si="138"/>
        <v>5782.7947797130391</v>
      </c>
      <c r="W178">
        <f t="shared" si="139"/>
        <v>5414371.6195001323</v>
      </c>
      <c r="X178">
        <f t="shared" si="140"/>
        <v>2326.8802331663169</v>
      </c>
      <c r="Y178" s="6">
        <f t="shared" si="141"/>
        <v>4560.6852570059809</v>
      </c>
      <c r="Z178" s="14">
        <f>X178/V178</f>
        <v>0.40237987371251382</v>
      </c>
    </row>
    <row r="179" spans="1:27" x14ac:dyDescent="0.3">
      <c r="A179" t="str">
        <f>'rockfish harvests'!A178</f>
        <v>SC</v>
      </c>
      <c r="B179">
        <f>'rockfish harvests'!B178</f>
        <v>1999</v>
      </c>
      <c r="C179" t="str">
        <f>'rockfish harvests'!C178</f>
        <v>PWSI</v>
      </c>
      <c r="D179">
        <f>'rockfish harvests'!D178</f>
        <v>4514</v>
      </c>
      <c r="E179">
        <v>2609</v>
      </c>
      <c r="F179">
        <f>IF([1]species_comp_Region2_forR!$G278&gt;49,[1]species_comp_Region2_forR!$AD278,[1]species_comp_Region2_forR!$AF278)</f>
        <v>0.93727304600000005</v>
      </c>
      <c r="G179">
        <f>IF([1]species_comp_Region2_forR!$G278&gt;49,[1]species_comp_Region2_forR!$AE278,[1]species_comp_Region2_forR!$AG278)</f>
        <v>4.70338E-4</v>
      </c>
      <c r="H179" s="7">
        <f t="shared" si="131"/>
        <v>2445.345377014</v>
      </c>
      <c r="I179">
        <f t="shared" si="132"/>
        <v>3201.534795778</v>
      </c>
      <c r="J179">
        <f t="shared" si="133"/>
        <v>56.582106674972785</v>
      </c>
      <c r="K179" s="6">
        <f t="shared" si="134"/>
        <v>110.90092908294666</v>
      </c>
      <c r="M179" s="2">
        <f>'rockfish harvests'!O178</f>
        <v>11540.003882202349</v>
      </c>
      <c r="N179">
        <f>'rockfish harvests'!P178</f>
        <v>12219834.714956973</v>
      </c>
      <c r="O179">
        <f>IF([1]species_comp_Region2_forR!$D305&gt;49,[1]species_comp_Region2_forR!$N305,[1]species_comp_Region2_forR!$P305)</f>
        <v>0.45590863100000001</v>
      </c>
      <c r="P179">
        <f>IF([1]species_comp_Region2_forR!$D305&gt;49,[1]species_comp_Region2_forR!$O305,[1]species_comp_Region2_forR!$Q305)</f>
        <v>1.2852639999999999E-3</v>
      </c>
      <c r="Q179" s="13">
        <f t="shared" si="135"/>
        <v>5261.1873716695582</v>
      </c>
      <c r="R179" s="2">
        <f t="shared" si="143"/>
        <v>2726791.8845736063</v>
      </c>
      <c r="S179">
        <f t="shared" si="136"/>
        <v>1651.3000589152798</v>
      </c>
      <c r="T179" s="6">
        <f t="shared" si="137"/>
        <v>3236.5481154739482</v>
      </c>
      <c r="V179" s="13">
        <f t="shared" si="138"/>
        <v>7706.5327486835577</v>
      </c>
      <c r="W179">
        <f t="shared" si="139"/>
        <v>2729993.4193693842</v>
      </c>
      <c r="X179">
        <f t="shared" si="140"/>
        <v>1652.2691727952151</v>
      </c>
      <c r="Y179" s="6">
        <f t="shared" si="141"/>
        <v>3238.4475786786215</v>
      </c>
      <c r="Z179" s="14">
        <f t="shared" ref="Z179:Z199" si="184">X179/V179</f>
        <v>0.21439851443925395</v>
      </c>
    </row>
    <row r="180" spans="1:27" x14ac:dyDescent="0.3">
      <c r="A180" t="str">
        <f>'rockfish harvests'!A179</f>
        <v>SC</v>
      </c>
      <c r="B180">
        <f>'rockfish harvests'!B179</f>
        <v>2000</v>
      </c>
      <c r="C180" t="str">
        <f>'rockfish harvests'!C179</f>
        <v>PWSI</v>
      </c>
      <c r="D180">
        <f>'rockfish harvests'!D179</f>
        <v>6011</v>
      </c>
      <c r="E180">
        <v>3391</v>
      </c>
      <c r="F180">
        <f>IF([1]species_comp_Region2_forR!$G279&gt;49,[1]species_comp_Region2_forR!$AD279,[1]species_comp_Region2_forR!$AF279)</f>
        <v>0.69376139599999997</v>
      </c>
      <c r="G180">
        <f>IF([1]species_comp_Region2_forR!$G279&gt;49,[1]species_comp_Region2_forR!$AE279,[1]species_comp_Region2_forR!$AG279)</f>
        <v>1.6728859999999999E-3</v>
      </c>
      <c r="H180" s="7">
        <f t="shared" si="131"/>
        <v>2352.544893836</v>
      </c>
      <c r="I180">
        <f t="shared" si="132"/>
        <v>19236.317040565998</v>
      </c>
      <c r="J180">
        <f t="shared" si="133"/>
        <v>138.69505052656348</v>
      </c>
      <c r="K180" s="6">
        <f t="shared" si="134"/>
        <v>271.84229903206443</v>
      </c>
      <c r="M180" s="2">
        <f>'rockfish harvests'!O179</f>
        <v>15367.072072644733</v>
      </c>
      <c r="N180">
        <f>'rockfish harvests'!P179</f>
        <v>21668840.765019432</v>
      </c>
      <c r="O180">
        <f>IF([1]species_comp_Region2_forR!$D306&gt;49,[1]species_comp_Region2_forR!$N306,[1]species_comp_Region2_forR!$P306)</f>
        <v>0.64025618200000001</v>
      </c>
      <c r="P180">
        <f>IF([1]species_comp_Region2_forR!$D306&gt;49,[1]species_comp_Region2_forR!$O306,[1]species_comp_Region2_forR!$Q306)</f>
        <v>1.3086829999999999E-3</v>
      </c>
      <c r="Q180" s="13">
        <f t="shared" si="135"/>
        <v>9838.8628937503436</v>
      </c>
      <c r="R180" s="2">
        <f t="shared" si="143"/>
        <v>9220063.175594721</v>
      </c>
      <c r="S180">
        <f t="shared" si="136"/>
        <v>3036.4556930070166</v>
      </c>
      <c r="T180" s="6">
        <f t="shared" si="137"/>
        <v>5951.4531582937525</v>
      </c>
      <c r="V180" s="13">
        <f t="shared" si="138"/>
        <v>12191.407787586344</v>
      </c>
      <c r="W180">
        <f t="shared" si="139"/>
        <v>9239299.4926352873</v>
      </c>
      <c r="X180">
        <f t="shared" si="140"/>
        <v>3039.6216035281905</v>
      </c>
      <c r="Y180" s="6">
        <f t="shared" si="141"/>
        <v>5957.6583429152533</v>
      </c>
      <c r="Z180" s="14">
        <f t="shared" si="184"/>
        <v>0.24932490623627765</v>
      </c>
    </row>
    <row r="181" spans="1:27" x14ac:dyDescent="0.3">
      <c r="A181" t="str">
        <f>'rockfish harvests'!A180</f>
        <v>SC</v>
      </c>
      <c r="B181">
        <f>'rockfish harvests'!B180</f>
        <v>2001</v>
      </c>
      <c r="C181" t="str">
        <f>'rockfish harvests'!C180</f>
        <v>PWSI</v>
      </c>
      <c r="D181">
        <f>'rockfish harvests'!D180</f>
        <v>7036</v>
      </c>
      <c r="E181">
        <v>4209</v>
      </c>
      <c r="F181">
        <f>IF([1]species_comp_Region2_forR!$G280&gt;49,[1]species_comp_Region2_forR!$AD280,[1]species_comp_Region2_forR!$AF280)</f>
        <v>0.84953667499999996</v>
      </c>
      <c r="G181">
        <f>IF([1]species_comp_Region2_forR!$G280&gt;49,[1]species_comp_Region2_forR!$AE280,[1]species_comp_Region2_forR!$AG280)</f>
        <v>1.3177740000000001E-3</v>
      </c>
      <c r="H181" s="7">
        <f t="shared" si="131"/>
        <v>3575.6998650749997</v>
      </c>
      <c r="I181">
        <f t="shared" si="132"/>
        <v>23345.263814094</v>
      </c>
      <c r="J181">
        <f t="shared" si="133"/>
        <v>152.79156983974607</v>
      </c>
      <c r="K181" s="6">
        <f t="shared" si="134"/>
        <v>299.47147688590229</v>
      </c>
      <c r="M181" s="2">
        <f>'rockfish harvests'!O180</f>
        <v>17987.476144256918</v>
      </c>
      <c r="N181">
        <f>'rockfish harvests'!P180</f>
        <v>29688884.747428846</v>
      </c>
      <c r="O181">
        <f>IF([1]species_comp_Region2_forR!$D307&gt;49,[1]species_comp_Region2_forR!$N307,[1]species_comp_Region2_forR!$P307)</f>
        <v>6.4680016000000007E-2</v>
      </c>
      <c r="P181">
        <f>IF([1]species_comp_Region2_forR!$D307&gt;49,[1]species_comp_Region2_forR!$O307,[1]species_comp_Region2_forR!$Q307)</f>
        <v>2.49986E-4</v>
      </c>
      <c r="Q181" s="13">
        <f t="shared" ref="Q181:Q223" si="185">M181*O181</f>
        <v>1163.430244810156</v>
      </c>
      <c r="R181" s="2">
        <f t="shared" si="143"/>
        <v>212508.18240541682</v>
      </c>
      <c r="S181">
        <f t="shared" si="136"/>
        <v>460.98609784397712</v>
      </c>
      <c r="T181" s="6">
        <f t="shared" si="137"/>
        <v>903.53275177419516</v>
      </c>
      <c r="V181" s="13">
        <f t="shared" ref="V181:V223" si="186">Q181+H181</f>
        <v>4739.1301098851554</v>
      </c>
      <c r="W181">
        <f t="shared" ref="W181:W223" si="187">R181+I181</f>
        <v>235853.44621951084</v>
      </c>
      <c r="X181">
        <f t="shared" si="140"/>
        <v>485.64745054361282</v>
      </c>
      <c r="Y181" s="6">
        <f t="shared" si="141"/>
        <v>951.86900306548114</v>
      </c>
      <c r="Z181" s="14">
        <f t="shared" si="184"/>
        <v>0.10247607457128491</v>
      </c>
    </row>
    <row r="182" spans="1:27" x14ac:dyDescent="0.3">
      <c r="A182" t="str">
        <f>'rockfish harvests'!A181</f>
        <v>SC</v>
      </c>
      <c r="B182">
        <f>'rockfish harvests'!B181</f>
        <v>2002</v>
      </c>
      <c r="C182" t="str">
        <f>'rockfish harvests'!C181</f>
        <v>PWSI</v>
      </c>
      <c r="D182">
        <f>'rockfish harvests'!D181</f>
        <v>7398</v>
      </c>
      <c r="E182">
        <v>4880</v>
      </c>
      <c r="F182">
        <f>IF([1]species_comp_Region2_forR!$G281&gt;49,[1]species_comp_Region2_forR!$AD281,[1]species_comp_Region2_forR!$AF281)</f>
        <v>0.82339424400000005</v>
      </c>
      <c r="G182">
        <f>IF([1]species_comp_Region2_forR!$G281&gt;49,[1]species_comp_Region2_forR!$AE281,[1]species_comp_Region2_forR!$AG281)</f>
        <v>1.795261E-3</v>
      </c>
      <c r="H182" s="7">
        <f t="shared" ref="H182:H223" si="188">E182*F182</f>
        <v>4018.1639107200003</v>
      </c>
      <c r="I182">
        <f t="shared" si="132"/>
        <v>42753.063558399997</v>
      </c>
      <c r="J182">
        <f t="shared" ref="J182:J223" si="189">SQRT(I182)</f>
        <v>206.76813961149816</v>
      </c>
      <c r="K182" s="6">
        <f t="shared" ref="K182:K223" si="190">(1.96*J182)</f>
        <v>405.2655536385364</v>
      </c>
      <c r="M182" s="2">
        <f>'rockfish harvests'!O181</f>
        <v>18912.926167597027</v>
      </c>
      <c r="N182">
        <f>'rockfish harvests'!P181</f>
        <v>32822440.987651471</v>
      </c>
      <c r="O182">
        <f>IF([1]species_comp_Region2_forR!$D308&gt;49,[1]species_comp_Region2_forR!$N308,[1]species_comp_Region2_forR!$P308)</f>
        <v>0.26346793699999999</v>
      </c>
      <c r="P182">
        <f>IF([1]species_comp_Region2_forR!$D308&gt;49,[1]species_comp_Region2_forR!$O308,[1]species_comp_Region2_forR!$Q308)</f>
        <v>1.010691E-3</v>
      </c>
      <c r="Q182" s="13">
        <f t="shared" si="185"/>
        <v>4982.9496400101043</v>
      </c>
      <c r="R182" s="2">
        <f t="shared" si="143"/>
        <v>2673077.6341666402</v>
      </c>
      <c r="S182">
        <f t="shared" ref="S182:S223" si="191">SQRT(R182)</f>
        <v>1634.9549333748132</v>
      </c>
      <c r="T182" s="6">
        <f t="shared" ref="T182:T223" si="192">(1.96*S182)</f>
        <v>3204.5116694146336</v>
      </c>
      <c r="V182" s="13">
        <f t="shared" si="186"/>
        <v>9001.1135507301042</v>
      </c>
      <c r="W182">
        <f t="shared" si="187"/>
        <v>2715830.6977250404</v>
      </c>
      <c r="X182">
        <f t="shared" ref="X182:X223" si="193">SQRT(W182)</f>
        <v>1647.9777600820469</v>
      </c>
      <c r="Y182" s="6">
        <f t="shared" ref="Y182:Y223" si="194">(1.96*X182)</f>
        <v>3230.0364097608117</v>
      </c>
      <c r="Z182" s="14">
        <f t="shared" si="184"/>
        <v>0.18308598717192887</v>
      </c>
    </row>
    <row r="183" spans="1:27" x14ac:dyDescent="0.3">
      <c r="A183" t="str">
        <f>'rockfish harvests'!A182</f>
        <v>SC</v>
      </c>
      <c r="B183">
        <f>'rockfish harvests'!B182</f>
        <v>2003</v>
      </c>
      <c r="C183" t="str">
        <f>'rockfish harvests'!C182</f>
        <v>PWSI</v>
      </c>
      <c r="D183">
        <f>'rockfish harvests'!D182</f>
        <v>11932</v>
      </c>
      <c r="E183">
        <v>8745</v>
      </c>
      <c r="F183">
        <f>IF([1]species_comp_Region2_forR!$G282&gt;49,[1]species_comp_Region2_forR!$AD282,[1]species_comp_Region2_forR!$AF282)</f>
        <v>0.89467830500000001</v>
      </c>
      <c r="G183">
        <f>IF([1]species_comp_Region2_forR!$G282&gt;49,[1]species_comp_Region2_forR!$AE282,[1]species_comp_Region2_forR!$AG282)</f>
        <v>5.5104700000000004E-4</v>
      </c>
      <c r="H183" s="7">
        <f t="shared" si="188"/>
        <v>7823.9617772250003</v>
      </c>
      <c r="I183">
        <f t="shared" ref="I183:I223" si="195">(E183^2)*G183</f>
        <v>42141.333101175005</v>
      </c>
      <c r="J183">
        <f t="shared" si="189"/>
        <v>205.28354318155903</v>
      </c>
      <c r="K183" s="6">
        <f t="shared" si="190"/>
        <v>402.35574463585567</v>
      </c>
      <c r="M183" s="2">
        <f>'rockfish harvests'!O182</f>
        <v>30504.059885343027</v>
      </c>
      <c r="N183">
        <f>'rockfish harvests'!P182</f>
        <v>85382469.486194402</v>
      </c>
      <c r="O183">
        <f>IF([1]species_comp_Region2_forR!$D309&gt;49,[1]species_comp_Region2_forR!$N309,[1]species_comp_Region2_forR!$P309)</f>
        <v>0.57733725999999996</v>
      </c>
      <c r="P183">
        <f>IF([1]species_comp_Region2_forR!$D309&gt;49,[1]species_comp_Region2_forR!$O309,[1]species_comp_Region2_forR!$Q309)</f>
        <v>6.4384900000000005E-4</v>
      </c>
      <c r="Q183" s="13">
        <f t="shared" si="185"/>
        <v>17611.130353079858</v>
      </c>
      <c r="R183" s="2">
        <f t="shared" si="143"/>
        <v>29113613.996712249</v>
      </c>
      <c r="S183">
        <f t="shared" si="191"/>
        <v>5395.7032902775754</v>
      </c>
      <c r="T183" s="6">
        <f t="shared" si="192"/>
        <v>10575.578448944048</v>
      </c>
      <c r="V183" s="13">
        <f t="shared" si="186"/>
        <v>25435.09213030486</v>
      </c>
      <c r="W183">
        <f t="shared" si="187"/>
        <v>29155755.329813424</v>
      </c>
      <c r="X183">
        <f t="shared" si="193"/>
        <v>5399.6069606790297</v>
      </c>
      <c r="Y183" s="6">
        <f t="shared" si="194"/>
        <v>10583.229642930897</v>
      </c>
      <c r="Z183" s="14">
        <f t="shared" si="184"/>
        <v>0.212289656078958</v>
      </c>
    </row>
    <row r="184" spans="1:27" x14ac:dyDescent="0.3">
      <c r="A184" t="str">
        <f>'rockfish harvests'!A183</f>
        <v>SC</v>
      </c>
      <c r="B184">
        <f>'rockfish harvests'!B183</f>
        <v>2004</v>
      </c>
      <c r="C184" t="str">
        <f>'rockfish harvests'!C183</f>
        <v>PWSI</v>
      </c>
      <c r="D184">
        <f>'rockfish harvests'!D183</f>
        <v>10310</v>
      </c>
      <c r="E184">
        <v>7438</v>
      </c>
      <c r="F184">
        <f>IF([1]species_comp_Region2_forR!$G283&gt;49,[1]species_comp_Region2_forR!$AD283,[1]species_comp_Region2_forR!$AF283)</f>
        <v>0.86418368700000003</v>
      </c>
      <c r="G184">
        <f>IF([1]species_comp_Region2_forR!$G283&gt;49,[1]species_comp_Region2_forR!$AE283,[1]species_comp_Region2_forR!$AG283)</f>
        <v>5.6428000000000001E-4</v>
      </c>
      <c r="H184" s="7">
        <f t="shared" si="188"/>
        <v>6427.7982639060001</v>
      </c>
      <c r="I184">
        <f t="shared" si="195"/>
        <v>31218.138692320001</v>
      </c>
      <c r="J184">
        <f t="shared" si="189"/>
        <v>176.68655492798538</v>
      </c>
      <c r="K184" s="6">
        <f t="shared" si="190"/>
        <v>346.30564765885134</v>
      </c>
      <c r="M184" s="2">
        <f>'rockfish harvests'!O183</f>
        <v>26357.430222752817</v>
      </c>
      <c r="N184">
        <f>'rockfish harvests'!P183</f>
        <v>63746970.869564563</v>
      </c>
      <c r="O184">
        <f>IF([1]species_comp_Region2_forR!$D310&gt;49,[1]species_comp_Region2_forR!$N310,[1]species_comp_Region2_forR!$P310)</f>
        <v>0.46125918799999999</v>
      </c>
      <c r="P184">
        <f>IF([1]species_comp_Region2_forR!$D310&gt;49,[1]species_comp_Region2_forR!$O310,[1]species_comp_Region2_forR!$Q310)</f>
        <v>1.026856E-3</v>
      </c>
      <c r="Q184" s="13">
        <f t="shared" si="185"/>
        <v>12157.606862313623</v>
      </c>
      <c r="R184" s="2">
        <f t="shared" si="143"/>
        <v>14341638.307472795</v>
      </c>
      <c r="S184">
        <f t="shared" si="191"/>
        <v>3787.0355566686717</v>
      </c>
      <c r="T184" s="6">
        <f t="shared" si="192"/>
        <v>7422.589691070596</v>
      </c>
      <c r="V184" s="13">
        <f t="shared" si="186"/>
        <v>18585.405126219623</v>
      </c>
      <c r="W184">
        <f t="shared" si="187"/>
        <v>14372856.446165115</v>
      </c>
      <c r="X184">
        <f t="shared" si="193"/>
        <v>3791.1550279782959</v>
      </c>
      <c r="Y184" s="6">
        <f t="shared" si="194"/>
        <v>7430.6638548374603</v>
      </c>
      <c r="Z184" s="14">
        <f t="shared" si="184"/>
        <v>0.20398560064907439</v>
      </c>
    </row>
    <row r="185" spans="1:27" x14ac:dyDescent="0.3">
      <c r="A185" t="str">
        <f>'rockfish harvests'!A184</f>
        <v>SC</v>
      </c>
      <c r="B185">
        <f>'rockfish harvests'!B184</f>
        <v>2005</v>
      </c>
      <c r="C185" t="str">
        <f>'rockfish harvests'!C184</f>
        <v>PWSI</v>
      </c>
      <c r="D185">
        <f>'rockfish harvests'!D184</f>
        <v>10930</v>
      </c>
      <c r="E185">
        <v>8176</v>
      </c>
      <c r="F185">
        <f>IF([1]species_comp_Region2_forR!$G284&gt;49,[1]species_comp_Region2_forR!$AD284,[1]species_comp_Region2_forR!$AF284)</f>
        <v>0.96964636800000004</v>
      </c>
      <c r="G185">
        <f>IF([1]species_comp_Region2_forR!$G284&gt;49,[1]species_comp_Region2_forR!$AE284,[1]species_comp_Region2_forR!$AG284)</f>
        <v>2.0874000000000001E-4</v>
      </c>
      <c r="H185" s="7">
        <f t="shared" si="188"/>
        <v>7927.8287047680005</v>
      </c>
      <c r="I185">
        <f t="shared" si="195"/>
        <v>13953.63777024</v>
      </c>
      <c r="J185">
        <f t="shared" si="189"/>
        <v>118.12551701575744</v>
      </c>
      <c r="K185" s="6">
        <f t="shared" si="190"/>
        <v>231.52601335088457</v>
      </c>
      <c r="M185" s="2">
        <f>'rockfish harvests'!O184</f>
        <v>27942.455124606044</v>
      </c>
      <c r="N185">
        <f>'rockfish harvests'!P184</f>
        <v>71644448.857817397</v>
      </c>
      <c r="O185">
        <f>IF([1]species_comp_Region2_forR!$D311&gt;49,[1]species_comp_Region2_forR!$N311,[1]species_comp_Region2_forR!$P311)</f>
        <v>7.200906E-3</v>
      </c>
      <c r="P185">
        <f>IF([1]species_comp_Region2_forR!$D311&gt;49,[1]species_comp_Region2_forR!$O311,[1]species_comp_Region2_forR!$Q311)</f>
        <v>2.58089E-5</v>
      </c>
      <c r="Q185" s="13">
        <f t="shared" si="185"/>
        <v>201.21099276150642</v>
      </c>
      <c r="R185" s="2">
        <f t="shared" si="143"/>
        <v>25715.140953445432</v>
      </c>
      <c r="S185">
        <f t="shared" si="191"/>
        <v>160.35941180188158</v>
      </c>
      <c r="T185" s="6">
        <f t="shared" si="192"/>
        <v>314.30444713168788</v>
      </c>
      <c r="V185" s="13">
        <f t="shared" si="186"/>
        <v>8129.0396975295071</v>
      </c>
      <c r="W185">
        <f t="shared" si="187"/>
        <v>39668.778723685435</v>
      </c>
      <c r="X185">
        <f t="shared" si="193"/>
        <v>199.17022549489027</v>
      </c>
      <c r="Y185" s="6">
        <f t="shared" si="194"/>
        <v>390.37364196998493</v>
      </c>
      <c r="Z185" s="14">
        <f t="shared" si="184"/>
        <v>2.4501076745315934E-2</v>
      </c>
    </row>
    <row r="186" spans="1:27" x14ac:dyDescent="0.3">
      <c r="A186" t="str">
        <f>'rockfish harvests'!A185</f>
        <v>SC</v>
      </c>
      <c r="B186">
        <f>'rockfish harvests'!B185</f>
        <v>2006</v>
      </c>
      <c r="C186" t="str">
        <f>'rockfish harvests'!C185</f>
        <v>PWSI</v>
      </c>
      <c r="D186">
        <f>'rockfish harvests'!D185</f>
        <v>7578</v>
      </c>
      <c r="E186">
        <v>4593</v>
      </c>
      <c r="F186">
        <f>IF([1]species_comp_Region2_forR!$G285&gt;49,[1]species_comp_Region2_forR!$AD285,[1]species_comp_Region2_forR!$AF285)</f>
        <v>0.927193457</v>
      </c>
      <c r="G186">
        <f>IF([1]species_comp_Region2_forR!$G285&gt;49,[1]species_comp_Region2_forR!$AE285,[1]species_comp_Region2_forR!$AG285)</f>
        <v>6.5539600000000004E-4</v>
      </c>
      <c r="H186" s="7">
        <f t="shared" si="188"/>
        <v>4258.5995480009997</v>
      </c>
      <c r="I186">
        <f t="shared" si="195"/>
        <v>13826.003972004</v>
      </c>
      <c r="J186">
        <f t="shared" si="189"/>
        <v>117.58402940877643</v>
      </c>
      <c r="K186" s="6">
        <f t="shared" si="190"/>
        <v>230.46469764120181</v>
      </c>
      <c r="M186" s="2">
        <f>'rockfish harvests'!O185</f>
        <v>19373.094687489898</v>
      </c>
      <c r="N186">
        <f>'rockfish harvests'!P185</f>
        <v>34439070.708155498</v>
      </c>
      <c r="O186">
        <f>IF([1]species_comp_Region2_forR!$D312&gt;49,[1]species_comp_Region2_forR!$N312,[1]species_comp_Region2_forR!$P312)</f>
        <v>0.49833717599999999</v>
      </c>
      <c r="P186">
        <f>IF([1]species_comp_Region2_forR!$D312&gt;49,[1]species_comp_Region2_forR!$O312,[1]species_comp_Region2_forR!$Q312)</f>
        <v>7.5074199999999999E-4</v>
      </c>
      <c r="Q186" s="13">
        <f t="shared" si="185"/>
        <v>9654.3332969443181</v>
      </c>
      <c r="R186" s="2">
        <f t="shared" si="143"/>
        <v>8860217.7274086215</v>
      </c>
      <c r="S186">
        <f t="shared" si="191"/>
        <v>2976.6117864794901</v>
      </c>
      <c r="T186" s="6">
        <f t="shared" si="192"/>
        <v>5834.1591014998003</v>
      </c>
      <c r="V186" s="13">
        <f t="shared" si="186"/>
        <v>13912.932844945317</v>
      </c>
      <c r="W186">
        <f t="shared" si="187"/>
        <v>8874043.7313806247</v>
      </c>
      <c r="X186">
        <f t="shared" si="193"/>
        <v>2978.9333210699137</v>
      </c>
      <c r="Y186" s="6">
        <f t="shared" si="194"/>
        <v>5838.7093092970308</v>
      </c>
      <c r="Z186" s="14">
        <f t="shared" si="184"/>
        <v>0.21411253502543748</v>
      </c>
    </row>
    <row r="187" spans="1:27" x14ac:dyDescent="0.3">
      <c r="A187" t="str">
        <f>'rockfish harvests'!A186</f>
        <v>SC</v>
      </c>
      <c r="B187">
        <f>'rockfish harvests'!B186</f>
        <v>2007</v>
      </c>
      <c r="C187" t="str">
        <f>'rockfish harvests'!C186</f>
        <v>PWSI</v>
      </c>
      <c r="D187">
        <f>'rockfish harvests'!D186</f>
        <v>12404</v>
      </c>
      <c r="E187">
        <v>9289</v>
      </c>
      <c r="F187">
        <f>IF([1]species_comp_Region2_forR!$G286&gt;49,[1]species_comp_Region2_forR!$AD286,[1]species_comp_Region2_forR!$AF286)</f>
        <v>0.91921996800000005</v>
      </c>
      <c r="G187">
        <f>IF([1]species_comp_Region2_forR!$G286&gt;49,[1]species_comp_Region2_forR!$AE286,[1]species_comp_Region2_forR!$AG286)</f>
        <v>3.2855999999999998E-4</v>
      </c>
      <c r="H187" s="7">
        <f t="shared" si="188"/>
        <v>8538.6342827520002</v>
      </c>
      <c r="I187">
        <f t="shared" si="195"/>
        <v>28349.970779759999</v>
      </c>
      <c r="J187">
        <f t="shared" si="189"/>
        <v>168.37449563327576</v>
      </c>
      <c r="K187" s="6">
        <f t="shared" si="190"/>
        <v>330.01401144122048</v>
      </c>
      <c r="M187" s="2">
        <f>'rockfish harvests'!O186</f>
        <v>31710.724004173229</v>
      </c>
      <c r="N187">
        <f>'rockfish harvests'!P186</f>
        <v>92271108.350786552</v>
      </c>
      <c r="O187">
        <f>IF([1]species_comp_Region2_forR!$D313&gt;49,[1]species_comp_Region2_forR!$N313,[1]species_comp_Region2_forR!$P313)</f>
        <v>0.632294256</v>
      </c>
      <c r="P187">
        <f>IF([1]species_comp_Region2_forR!$D313&gt;49,[1]species_comp_Region2_forR!$O313,[1]species_comp_Region2_forR!$Q313)</f>
        <v>7.3343300000000002E-4</v>
      </c>
      <c r="Q187" s="13">
        <f t="shared" si="185"/>
        <v>20050.508641440054</v>
      </c>
      <c r="R187" s="2">
        <f t="shared" si="143"/>
        <v>37694815.358993948</v>
      </c>
      <c r="S187">
        <f t="shared" si="191"/>
        <v>6139.6103588903707</v>
      </c>
      <c r="T187" s="6">
        <f t="shared" si="192"/>
        <v>12033.636303425126</v>
      </c>
      <c r="V187" s="13">
        <f t="shared" si="186"/>
        <v>28589.142924192056</v>
      </c>
      <c r="W187">
        <f t="shared" si="187"/>
        <v>37723165.329773709</v>
      </c>
      <c r="X187">
        <f t="shared" si="193"/>
        <v>6141.918701006527</v>
      </c>
      <c r="Y187" s="6">
        <f t="shared" si="194"/>
        <v>12038.160653972793</v>
      </c>
      <c r="Z187" s="14">
        <f t="shared" si="184"/>
        <v>0.21483395697774668</v>
      </c>
    </row>
    <row r="188" spans="1:27" x14ac:dyDescent="0.3">
      <c r="A188" t="str">
        <f>'rockfish harvests'!A187</f>
        <v>SC</v>
      </c>
      <c r="B188">
        <f>'rockfish harvests'!B187</f>
        <v>2008</v>
      </c>
      <c r="C188" t="str">
        <f>'rockfish harvests'!C187</f>
        <v>PWSI</v>
      </c>
      <c r="D188">
        <f>'rockfish harvests'!D187</f>
        <v>9522</v>
      </c>
      <c r="E188">
        <v>6899</v>
      </c>
      <c r="F188">
        <f>IF([1]species_comp_Region2_forR!$G287&gt;49,[1]species_comp_Region2_forR!$AD287,[1]species_comp_Region2_forR!$AF287)</f>
        <v>0.82721429800000001</v>
      </c>
      <c r="G188">
        <f>IF([1]species_comp_Region2_forR!$G287&gt;49,[1]species_comp_Region2_forR!$AE287,[1]species_comp_Region2_forR!$AG287)</f>
        <v>1.0065549999999999E-3</v>
      </c>
      <c r="H188" s="7">
        <f t="shared" si="188"/>
        <v>5706.9514419019997</v>
      </c>
      <c r="I188">
        <f t="shared" si="195"/>
        <v>47908.194097554995</v>
      </c>
      <c r="J188">
        <f t="shared" si="189"/>
        <v>218.87940537555147</v>
      </c>
      <c r="K188" s="6">
        <f t="shared" si="190"/>
        <v>429.00363453608088</v>
      </c>
      <c r="M188" s="2">
        <f>'rockfish harvests'!O187</f>
        <v>24342.914702332913</v>
      </c>
      <c r="N188">
        <f>'rockfish harvests'!P187</f>
        <v>54374913.17494791</v>
      </c>
      <c r="O188">
        <f>IF([1]species_comp_Region2_forR!$D314&gt;49,[1]species_comp_Region2_forR!$N314,[1]species_comp_Region2_forR!$P314)</f>
        <v>0.57020615699999999</v>
      </c>
      <c r="P188">
        <f>IF([1]species_comp_Region2_forR!$D314&gt;49,[1]species_comp_Region2_forR!$O314,[1]species_comp_Region2_forR!$Q314)</f>
        <v>4.6066E-4</v>
      </c>
      <c r="Q188" s="13">
        <f t="shared" si="185"/>
        <v>13880.479842596049</v>
      </c>
      <c r="R188" s="2">
        <f t="shared" si="143"/>
        <v>17977215.835049875</v>
      </c>
      <c r="S188">
        <f t="shared" si="191"/>
        <v>4239.9546972874459</v>
      </c>
      <c r="T188" s="6">
        <f t="shared" si="192"/>
        <v>8310.3112066833946</v>
      </c>
      <c r="V188" s="13">
        <f t="shared" si="186"/>
        <v>19587.431284498049</v>
      </c>
      <c r="W188">
        <f t="shared" si="187"/>
        <v>18025124.029147431</v>
      </c>
      <c r="X188">
        <f t="shared" si="193"/>
        <v>4245.6005498807153</v>
      </c>
      <c r="Y188" s="6">
        <f t="shared" si="194"/>
        <v>8321.3770777662012</v>
      </c>
      <c r="Z188" s="14">
        <f t="shared" si="184"/>
        <v>0.21675126708629644</v>
      </c>
    </row>
    <row r="189" spans="1:27" x14ac:dyDescent="0.3">
      <c r="A189" t="str">
        <f>'rockfish harvests'!A188</f>
        <v>SC</v>
      </c>
      <c r="B189">
        <f>'rockfish harvests'!B188</f>
        <v>2009</v>
      </c>
      <c r="C189" t="str">
        <f>'rockfish harvests'!C188</f>
        <v>PWSI</v>
      </c>
      <c r="D189">
        <f>'rockfish harvests'!D188</f>
        <v>8197</v>
      </c>
      <c r="E189">
        <v>5973</v>
      </c>
      <c r="F189">
        <f>IF([1]species_comp_Region2_forR!$G288&gt;49,[1]species_comp_Region2_forR!$AD288,[1]species_comp_Region2_forR!$AF288)</f>
        <v>0.861424631</v>
      </c>
      <c r="G189">
        <f>IF([1]species_comp_Region2_forR!$G288&gt;49,[1]species_comp_Region2_forR!$AE288,[1]species_comp_Region2_forR!$AG288)</f>
        <v>5.4014600000000003E-4</v>
      </c>
      <c r="H189" s="7">
        <f t="shared" si="188"/>
        <v>5145.2893209630001</v>
      </c>
      <c r="I189">
        <f t="shared" si="195"/>
        <v>19270.642462434</v>
      </c>
      <c r="J189">
        <f t="shared" si="189"/>
        <v>138.81873959388193</v>
      </c>
      <c r="K189" s="6">
        <f t="shared" si="190"/>
        <v>272.0847296040086</v>
      </c>
      <c r="M189" s="2">
        <f>'rockfish harvests'!O188</f>
        <v>20955.563097565941</v>
      </c>
      <c r="N189">
        <f>'rockfish harvests'!P188</f>
        <v>40295086.4991799</v>
      </c>
      <c r="O189">
        <f>IF([1]species_comp_Region2_forR!$D315&gt;49,[1]species_comp_Region2_forR!$N315,[1]species_comp_Region2_forR!$P315)</f>
        <v>0.33918759599999998</v>
      </c>
      <c r="P189">
        <f>IF([1]species_comp_Region2_forR!$D315&gt;49,[1]species_comp_Region2_forR!$O315,[1]species_comp_Region2_forR!$Q315)</f>
        <v>4.6891100000000002E-4</v>
      </c>
      <c r="Q189" s="13">
        <f t="shared" si="185"/>
        <v>7107.867069889704</v>
      </c>
      <c r="R189" s="2">
        <f t="shared" si="143"/>
        <v>4860688.5234812116</v>
      </c>
      <c r="S189">
        <f t="shared" si="191"/>
        <v>2204.6969232711358</v>
      </c>
      <c r="T189" s="6">
        <f t="shared" si="192"/>
        <v>4321.2059696114256</v>
      </c>
      <c r="V189" s="13">
        <f t="shared" si="186"/>
        <v>12253.156390852704</v>
      </c>
      <c r="W189">
        <f t="shared" si="187"/>
        <v>4879959.1659436459</v>
      </c>
      <c r="X189">
        <f t="shared" si="193"/>
        <v>2209.0629610637279</v>
      </c>
      <c r="Y189" s="6">
        <f t="shared" si="194"/>
        <v>4329.7634036849067</v>
      </c>
      <c r="Z189" s="14">
        <f t="shared" si="184"/>
        <v>0.18028521717986479</v>
      </c>
    </row>
    <row r="190" spans="1:27" x14ac:dyDescent="0.3">
      <c r="A190" t="str">
        <f>'rockfish harvests'!A189</f>
        <v>SC</v>
      </c>
      <c r="B190">
        <f>'rockfish harvests'!B189</f>
        <v>2010</v>
      </c>
      <c r="C190" t="str">
        <f>'rockfish harvests'!C189</f>
        <v>PWSI</v>
      </c>
      <c r="D190">
        <f>'rockfish harvests'!D189</f>
        <v>11909</v>
      </c>
      <c r="E190">
        <v>8081</v>
      </c>
      <c r="F190">
        <f>IF([1]species_comp_Region2_forR!$G289&gt;49,[1]species_comp_Region2_forR!$AD289,[1]species_comp_Region2_forR!$AF289)</f>
        <v>0.86930544399999998</v>
      </c>
      <c r="G190">
        <f>IF([1]species_comp_Region2_forR!$G289&gt;49,[1]species_comp_Region2_forR!$AE289,[1]species_comp_Region2_forR!$AG289)</f>
        <v>5.0720300000000002E-4</v>
      </c>
      <c r="H190" s="7">
        <f t="shared" si="188"/>
        <v>7024.8572929639995</v>
      </c>
      <c r="I190">
        <f t="shared" si="195"/>
        <v>33121.654846883001</v>
      </c>
      <c r="J190">
        <f t="shared" si="189"/>
        <v>181.99355715761754</v>
      </c>
      <c r="K190" s="6">
        <f t="shared" si="190"/>
        <v>356.70737202893037</v>
      </c>
      <c r="M190" s="2">
        <f>'rockfish harvests'!O189</f>
        <v>30445.260574467829</v>
      </c>
      <c r="N190">
        <f>'rockfish harvests'!P189</f>
        <v>85053622.000279784</v>
      </c>
      <c r="O190">
        <f>IF([1]species_comp_Region2_forR!$D316&gt;49,[1]species_comp_Region2_forR!$N316,[1]species_comp_Region2_forR!$P316)</f>
        <v>0.57179370600000001</v>
      </c>
      <c r="P190">
        <f>IF([1]species_comp_Region2_forR!$D316&gt;49,[1]species_comp_Region2_forR!$O316,[1]species_comp_Region2_forR!$Q316)</f>
        <v>5.2654999999999998E-4</v>
      </c>
      <c r="Q190" s="13">
        <f t="shared" si="185"/>
        <v>17408.408374010651</v>
      </c>
      <c r="R190" s="2">
        <f t="shared" si="143"/>
        <v>28340966.691020481</v>
      </c>
      <c r="S190">
        <f t="shared" si="191"/>
        <v>5323.6234550370373</v>
      </c>
      <c r="T190" s="6">
        <f t="shared" si="192"/>
        <v>10434.301971872594</v>
      </c>
      <c r="V190" s="13">
        <f t="shared" si="186"/>
        <v>24433.26566697465</v>
      </c>
      <c r="W190">
        <f t="shared" si="187"/>
        <v>28374088.345867366</v>
      </c>
      <c r="X190">
        <f t="shared" si="193"/>
        <v>5326.7333653813912</v>
      </c>
      <c r="Y190" s="6">
        <f t="shared" si="194"/>
        <v>10440.397396147526</v>
      </c>
      <c r="Z190" s="14">
        <f t="shared" si="184"/>
        <v>0.21801151913071112</v>
      </c>
    </row>
    <row r="191" spans="1:27" x14ac:dyDescent="0.3">
      <c r="A191" t="str">
        <f>'rockfish harvests'!A190</f>
        <v>SC</v>
      </c>
      <c r="B191">
        <f>'rockfish harvests'!B190</f>
        <v>2011</v>
      </c>
      <c r="C191" t="str">
        <f>'rockfish harvests'!C190</f>
        <v>PWSI</v>
      </c>
      <c r="D191">
        <f>'rockfish harvests'!D190</f>
        <v>11367</v>
      </c>
      <c r="E191">
        <v>8192</v>
      </c>
      <c r="F191">
        <f>IF([1]species_comp_Region2_forR!$G290&gt;49,[1]species_comp_Region2_forR!$AD290,[1]species_comp_Region2_forR!$AF290)</f>
        <v>0.795681572</v>
      </c>
      <c r="G191">
        <f>IF([1]species_comp_Region2_forR!$G290&gt;49,[1]species_comp_Region2_forR!$AE290,[1]species_comp_Region2_forR!$AG290)</f>
        <v>6.1580499999999998E-4</v>
      </c>
      <c r="H191" s="7">
        <f t="shared" si="188"/>
        <v>6518.223437824</v>
      </c>
      <c r="I191">
        <f t="shared" si="195"/>
        <v>41325.973995519998</v>
      </c>
      <c r="J191">
        <f t="shared" si="189"/>
        <v>203.2879091228005</v>
      </c>
      <c r="K191" s="6">
        <f t="shared" si="190"/>
        <v>398.44430188068895</v>
      </c>
      <c r="M191" s="2">
        <f>'rockfish harvests'!O190</f>
        <v>58599.987281399051</v>
      </c>
      <c r="N191">
        <f>'rockfish harvests'!P190</f>
        <v>100066036.13433234</v>
      </c>
      <c r="O191">
        <f>IF([1]species_comp_Region2_forR!$D317&gt;49,[1]species_comp_Region2_forR!$N317,[1]species_comp_Region2_forR!$P317)</f>
        <v>0.59104858400000004</v>
      </c>
      <c r="P191">
        <f>IF([1]species_comp_Region2_forR!$D317&gt;49,[1]species_comp_Region2_forR!$O317,[1]species_comp_Region2_forR!$Q317)</f>
        <v>4.8536199999999998E-4</v>
      </c>
      <c r="Q191" s="13">
        <f t="shared" si="185"/>
        <v>34635.439505088922</v>
      </c>
      <c r="R191" s="2">
        <f t="shared" si="143"/>
        <v>36672193.045702167</v>
      </c>
      <c r="S191">
        <f t="shared" si="191"/>
        <v>6055.7570167322738</v>
      </c>
      <c r="T191" s="6">
        <f t="shared" si="192"/>
        <v>11869.283752795256</v>
      </c>
      <c r="V191" s="13">
        <f t="shared" si="186"/>
        <v>41153.662942912924</v>
      </c>
      <c r="W191">
        <f t="shared" si="187"/>
        <v>36713519.019697689</v>
      </c>
      <c r="X191">
        <f t="shared" si="193"/>
        <v>6059.1681788590167</v>
      </c>
      <c r="Y191" s="6">
        <f t="shared" si="194"/>
        <v>11875.969630563673</v>
      </c>
      <c r="Z191" s="14">
        <f t="shared" si="184"/>
        <v>0.14723277943117982</v>
      </c>
    </row>
    <row r="192" spans="1:27" x14ac:dyDescent="0.3">
      <c r="A192" t="str">
        <f>'rockfish harvests'!A191</f>
        <v>SC</v>
      </c>
      <c r="B192">
        <f>'rockfish harvests'!B191</f>
        <v>2012</v>
      </c>
      <c r="C192" t="str">
        <f>'rockfish harvests'!C191</f>
        <v>PWSI</v>
      </c>
      <c r="D192">
        <f>'rockfish harvests'!D191</f>
        <v>13580</v>
      </c>
      <c r="E192">
        <v>9313</v>
      </c>
      <c r="F192">
        <f>IF([1]species_comp_Region2_forR!$G291&gt;49,[1]species_comp_Region2_forR!$AD291,[1]species_comp_Region2_forR!$AF291)</f>
        <v>0.84658620699999998</v>
      </c>
      <c r="G192">
        <f>IF([1]species_comp_Region2_forR!$G291&gt;49,[1]species_comp_Region2_forR!$AE291,[1]species_comp_Region2_forR!$AG291)</f>
        <v>3.8312099999999999E-4</v>
      </c>
      <c r="H192" s="7">
        <f t="shared" si="188"/>
        <v>7884.2573457910003</v>
      </c>
      <c r="I192">
        <f t="shared" si="195"/>
        <v>33228.838695248996</v>
      </c>
      <c r="J192">
        <f t="shared" si="189"/>
        <v>182.28779085624191</v>
      </c>
      <c r="K192" s="6">
        <f t="shared" si="190"/>
        <v>357.28407007823415</v>
      </c>
      <c r="M192" s="2">
        <f>'rockfish harvests'!O191</f>
        <v>31117.154090427939</v>
      </c>
      <c r="N192">
        <f>'rockfish harvests'!P191</f>
        <v>29413124.019685954</v>
      </c>
      <c r="O192">
        <f>IF([1]species_comp_Region2_forR!$D318&gt;49,[1]species_comp_Region2_forR!$N318,[1]species_comp_Region2_forR!$P318)</f>
        <v>0.324685055</v>
      </c>
      <c r="P192">
        <f>IF([1]species_comp_Region2_forR!$D318&gt;49,[1]species_comp_Region2_forR!$O318,[1]species_comp_Region2_forR!$Q318)</f>
        <v>4.8402800000000001E-4</v>
      </c>
      <c r="Q192" s="13">
        <f t="shared" si="185"/>
        <v>10103.27488729407</v>
      </c>
      <c r="R192" s="2">
        <f t="shared" si="143"/>
        <v>3583652.9466951601</v>
      </c>
      <c r="S192">
        <f t="shared" si="191"/>
        <v>1893.0538678799292</v>
      </c>
      <c r="T192" s="6">
        <f t="shared" si="192"/>
        <v>3710.3855810446612</v>
      </c>
      <c r="V192" s="13">
        <f t="shared" si="186"/>
        <v>17987.532233085069</v>
      </c>
      <c r="W192">
        <f t="shared" si="187"/>
        <v>3616881.7853904092</v>
      </c>
      <c r="X192">
        <f t="shared" si="193"/>
        <v>1901.8101338962333</v>
      </c>
      <c r="Y192" s="6">
        <f t="shared" si="194"/>
        <v>3727.5478624366174</v>
      </c>
      <c r="Z192" s="14">
        <f t="shared" si="184"/>
        <v>0.10572935237876435</v>
      </c>
    </row>
    <row r="193" spans="1:26" x14ac:dyDescent="0.3">
      <c r="A193" t="str">
        <f>'rockfish harvests'!A192</f>
        <v>SC</v>
      </c>
      <c r="B193">
        <f>'rockfish harvests'!B192</f>
        <v>2013</v>
      </c>
      <c r="C193" t="str">
        <f>'rockfish harvests'!C192</f>
        <v>PWSI</v>
      </c>
      <c r="D193">
        <f>'rockfish harvests'!D192</f>
        <v>14209</v>
      </c>
      <c r="E193">
        <v>10875</v>
      </c>
      <c r="F193">
        <f>IF([1]species_comp_Region2_forR!$G292&gt;49,[1]species_comp_Region2_forR!$AD292,[1]species_comp_Region2_forR!$AF292)</f>
        <v>0.79206865900000001</v>
      </c>
      <c r="G193">
        <f>IF([1]species_comp_Region2_forR!$G292&gt;49,[1]species_comp_Region2_forR!$AE292,[1]species_comp_Region2_forR!$AG292)</f>
        <v>4.4512399999999998E-4</v>
      </c>
      <c r="H193" s="7">
        <f t="shared" si="188"/>
        <v>8613.7466666250002</v>
      </c>
      <c r="I193">
        <f t="shared" si="195"/>
        <v>52642.868062499998</v>
      </c>
      <c r="J193">
        <f t="shared" si="189"/>
        <v>229.44033660736292</v>
      </c>
      <c r="K193" s="6">
        <f t="shared" si="190"/>
        <v>449.70305975043129</v>
      </c>
      <c r="M193" s="2">
        <f>'rockfish harvests'!O192</f>
        <v>46247.943133398883</v>
      </c>
      <c r="N193">
        <f>'rockfish harvests'!P192</f>
        <v>49601334.787597425</v>
      </c>
      <c r="O193">
        <f>IF([1]species_comp_Region2_forR!$D319&gt;49,[1]species_comp_Region2_forR!$N319,[1]species_comp_Region2_forR!$P319)</f>
        <v>0.273217231</v>
      </c>
      <c r="P193">
        <f>IF([1]species_comp_Region2_forR!$D319&gt;49,[1]species_comp_Region2_forR!$O319,[1]species_comp_Region2_forR!$Q319)</f>
        <v>3.0549199999999998E-4</v>
      </c>
      <c r="Q193" s="13">
        <f t="shared" si="185"/>
        <v>12635.734962352706</v>
      </c>
      <c r="R193" s="2">
        <f t="shared" si="143"/>
        <v>4371184.5129561312</v>
      </c>
      <c r="S193">
        <f t="shared" si="191"/>
        <v>2090.7377915358329</v>
      </c>
      <c r="T193" s="6">
        <f t="shared" si="192"/>
        <v>4097.8460714102321</v>
      </c>
      <c r="V193" s="13">
        <f t="shared" si="186"/>
        <v>21249.481628977708</v>
      </c>
      <c r="W193">
        <f t="shared" si="187"/>
        <v>4423827.3810186312</v>
      </c>
      <c r="X193">
        <f t="shared" si="193"/>
        <v>2103.2896569466202</v>
      </c>
      <c r="Y193" s="6">
        <f t="shared" si="194"/>
        <v>4122.4477276153757</v>
      </c>
      <c r="Z193" s="14">
        <f t="shared" si="184"/>
        <v>9.8980751327052835E-2</v>
      </c>
    </row>
    <row r="194" spans="1:26" x14ac:dyDescent="0.3">
      <c r="A194" t="str">
        <f>'rockfish harvests'!A193</f>
        <v>SC</v>
      </c>
      <c r="B194">
        <f>'rockfish harvests'!B193</f>
        <v>2014</v>
      </c>
      <c r="C194" t="str">
        <f>'rockfish harvests'!C193</f>
        <v>PWSI</v>
      </c>
      <c r="D194">
        <f>'rockfish harvests'!D193</f>
        <v>14913</v>
      </c>
      <c r="E194">
        <v>10729</v>
      </c>
      <c r="F194">
        <f>IF([1]species_comp_Region2_forR!$G293&gt;49,[1]species_comp_Region2_forR!$AD293,[1]species_comp_Region2_forR!$AF293)</f>
        <v>0.78820150899999997</v>
      </c>
      <c r="G194">
        <f>IF([1]species_comp_Region2_forR!$G293&gt;49,[1]species_comp_Region2_forR!$AE293,[1]species_comp_Region2_forR!$AG293)</f>
        <v>3.2415500000000002E-4</v>
      </c>
      <c r="H194" s="7">
        <f t="shared" si="188"/>
        <v>8456.6139900609996</v>
      </c>
      <c r="I194">
        <f t="shared" si="195"/>
        <v>37313.949157355004</v>
      </c>
      <c r="J194">
        <f t="shared" si="189"/>
        <v>193.16818878209477</v>
      </c>
      <c r="K194" s="6">
        <f t="shared" si="190"/>
        <v>378.60965001290577</v>
      </c>
      <c r="M194" s="2">
        <f>'rockfish harvests'!O193</f>
        <v>37953.469599823133</v>
      </c>
      <c r="N194">
        <f>'rockfish harvests'!P193</f>
        <v>47097436.38695576</v>
      </c>
      <c r="O194">
        <f>IF([1]species_comp_Region2_forR!$D320&gt;49,[1]species_comp_Region2_forR!$N320,[1]species_comp_Region2_forR!$P320)</f>
        <v>0.150144051</v>
      </c>
      <c r="P194">
        <f>IF([1]species_comp_Region2_forR!$D320&gt;49,[1]species_comp_Region2_forR!$O320,[1]species_comp_Region2_forR!$Q320)</f>
        <v>2.5830100000000001E-4</v>
      </c>
      <c r="Q194" s="13">
        <f t="shared" si="185"/>
        <v>5698.4876752227938</v>
      </c>
      <c r="R194" s="2">
        <f t="shared" si="143"/>
        <v>1445967.7114954619</v>
      </c>
      <c r="S194">
        <f t="shared" si="191"/>
        <v>1202.4839755670184</v>
      </c>
      <c r="T194" s="6">
        <f t="shared" si="192"/>
        <v>2356.8685921113561</v>
      </c>
      <c r="V194" s="13">
        <f t="shared" si="186"/>
        <v>14155.101665283793</v>
      </c>
      <c r="W194">
        <f t="shared" si="187"/>
        <v>1483281.6606528168</v>
      </c>
      <c r="X194">
        <f t="shared" si="193"/>
        <v>1217.9005134463227</v>
      </c>
      <c r="Y194" s="6">
        <f t="shared" si="194"/>
        <v>2387.0850063547928</v>
      </c>
      <c r="Z194" s="14">
        <f t="shared" si="184"/>
        <v>8.6039686767725193E-2</v>
      </c>
    </row>
    <row r="195" spans="1:26" x14ac:dyDescent="0.3">
      <c r="A195" t="str">
        <f>'rockfish harvests'!A194</f>
        <v>SC</v>
      </c>
      <c r="B195">
        <f>'rockfish harvests'!B194</f>
        <v>2015</v>
      </c>
      <c r="C195" t="str">
        <f>'rockfish harvests'!C194</f>
        <v>PWSI</v>
      </c>
      <c r="D195">
        <f>'rockfish harvests'!D194</f>
        <v>20073</v>
      </c>
      <c r="E195">
        <v>14853</v>
      </c>
      <c r="F195">
        <f>IF([1]species_comp_Region2_forR!$G294&gt;49,[1]species_comp_Region2_forR!$AD294,[1]species_comp_Region2_forR!$AF294)</f>
        <v>0.84435566500000003</v>
      </c>
      <c r="G195">
        <f>IF([1]species_comp_Region2_forR!$G294&gt;49,[1]species_comp_Region2_forR!$AE294,[1]species_comp_Region2_forR!$AG294)</f>
        <v>3.74414E-4</v>
      </c>
      <c r="H195" s="7">
        <f t="shared" si="188"/>
        <v>12541.214692245001</v>
      </c>
      <c r="I195">
        <f t="shared" si="195"/>
        <v>82600.074972125993</v>
      </c>
      <c r="J195">
        <f t="shared" si="189"/>
        <v>287.40228769466324</v>
      </c>
      <c r="K195" s="6">
        <f t="shared" si="190"/>
        <v>563.30848388153993</v>
      </c>
      <c r="M195" s="2">
        <f>'rockfish harvests'!O194</f>
        <v>52130.446754112942</v>
      </c>
      <c r="N195">
        <f>'rockfish harvests'!P194</f>
        <v>59819505.590102598</v>
      </c>
      <c r="O195">
        <f>IF([1]species_comp_Region2_forR!$D321&gt;49,[1]species_comp_Region2_forR!$N321,[1]species_comp_Region2_forR!$P321)</f>
        <v>8.9524672999999999E-2</v>
      </c>
      <c r="P195">
        <f>IF([1]species_comp_Region2_forR!$D321&gt;49,[1]species_comp_Region2_forR!$O321,[1]species_comp_Region2_forR!$Q321)</f>
        <v>1.6567099999999999E-4</v>
      </c>
      <c r="Q195" s="13">
        <f t="shared" si="185"/>
        <v>4666.961199005872</v>
      </c>
      <c r="R195" s="2">
        <f t="shared" si="143"/>
        <v>939568.55176519614</v>
      </c>
      <c r="S195">
        <f t="shared" si="191"/>
        <v>969.31344350792745</v>
      </c>
      <c r="T195" s="6">
        <f t="shared" si="192"/>
        <v>1899.8543492755377</v>
      </c>
      <c r="V195" s="13">
        <f t="shared" si="186"/>
        <v>17208.175891250874</v>
      </c>
      <c r="W195">
        <f t="shared" si="187"/>
        <v>1022168.6267373222</v>
      </c>
      <c r="X195">
        <f t="shared" si="193"/>
        <v>1011.0235539972955</v>
      </c>
      <c r="Y195" s="6">
        <f t="shared" si="194"/>
        <v>1981.6061658346991</v>
      </c>
      <c r="Z195" s="14">
        <f t="shared" si="184"/>
        <v>5.8752511619277942E-2</v>
      </c>
    </row>
    <row r="196" spans="1:26" x14ac:dyDescent="0.3">
      <c r="A196" t="str">
        <f>'rockfish harvests'!A195</f>
        <v>SC</v>
      </c>
      <c r="B196">
        <f>'rockfish harvests'!B195</f>
        <v>2016</v>
      </c>
      <c r="C196" t="str">
        <f>'rockfish harvests'!C195</f>
        <v>PWSI</v>
      </c>
      <c r="D196">
        <f>'rockfish harvests'!D195</f>
        <v>28893</v>
      </c>
      <c r="E196">
        <v>22198</v>
      </c>
      <c r="F196">
        <f>IF([1]species_comp_Region2_forR!$G295&gt;49,[1]species_comp_Region2_forR!$AD295,[1]species_comp_Region2_forR!$AF295)</f>
        <v>0.62289141199999998</v>
      </c>
      <c r="G196">
        <f>IF([1]species_comp_Region2_forR!$G295&gt;49,[1]species_comp_Region2_forR!$AE295,[1]species_comp_Region2_forR!$AG295)</f>
        <v>3.9412399999999998E-4</v>
      </c>
      <c r="H196" s="7">
        <f t="shared" si="188"/>
        <v>13826.943563576</v>
      </c>
      <c r="I196">
        <f t="shared" si="195"/>
        <v>194205.07552529598</v>
      </c>
      <c r="J196">
        <f t="shared" si="189"/>
        <v>440.68704941862768</v>
      </c>
      <c r="K196" s="6">
        <f t="shared" si="190"/>
        <v>863.74661686051024</v>
      </c>
      <c r="M196" s="2">
        <f>'rockfish harvests'!O195</f>
        <v>64825.548631333717</v>
      </c>
      <c r="N196">
        <f>'rockfish harvests'!P195</f>
        <v>114245520.83381788</v>
      </c>
      <c r="O196">
        <f>IF([1]species_comp_Region2_forR!$D322&gt;49,[1]species_comp_Region2_forR!$N322,[1]species_comp_Region2_forR!$P322)</f>
        <v>0.33847740799999998</v>
      </c>
      <c r="P196">
        <f>IF([1]species_comp_Region2_forR!$D322&gt;49,[1]species_comp_Region2_forR!$O322,[1]species_comp_Region2_forR!$Q322)</f>
        <v>1.777067E-3</v>
      </c>
      <c r="Q196" s="13">
        <f t="shared" si="185"/>
        <v>21941.983672911781</v>
      </c>
      <c r="R196" s="2">
        <f t="shared" ref="R196:R259" si="196">(M196^2)*P196+(O196^2)*N196+(P196*N196)</f>
        <v>20759644.09910956</v>
      </c>
      <c r="S196">
        <f t="shared" si="191"/>
        <v>4556.2752440024469</v>
      </c>
      <c r="T196" s="6">
        <f t="shared" si="192"/>
        <v>8930.299478244795</v>
      </c>
      <c r="V196" s="13">
        <f t="shared" si="186"/>
        <v>35768.927236487783</v>
      </c>
      <c r="W196" s="2">
        <f>R196+I196</f>
        <v>20953849.174634855</v>
      </c>
      <c r="X196">
        <f>SQRT(W196)</f>
        <v>4577.5374574802618</v>
      </c>
      <c r="Y196" s="6">
        <f t="shared" si="194"/>
        <v>8971.9734166613125</v>
      </c>
      <c r="Z196" s="14">
        <f t="shared" si="184"/>
        <v>0.12797525145821897</v>
      </c>
    </row>
    <row r="197" spans="1:26" x14ac:dyDescent="0.3">
      <c r="A197" t="str">
        <f>'rockfish harvests'!A196</f>
        <v>SC</v>
      </c>
      <c r="B197">
        <f>'rockfish harvests'!B196</f>
        <v>2017</v>
      </c>
      <c r="C197" t="str">
        <f>'rockfish harvests'!C196</f>
        <v>PWSI</v>
      </c>
      <c r="D197">
        <f>'rockfish harvests'!D196</f>
        <v>16300</v>
      </c>
      <c r="E197">
        <v>11566</v>
      </c>
      <c r="F197">
        <f>IF([1]species_comp_Region2_forR!$G296&gt;49,[1]species_comp_Region2_forR!$AD296,[1]species_comp_Region2_forR!$AF296)</f>
        <v>0.71663333600000001</v>
      </c>
      <c r="G197">
        <f>IF([1]species_comp_Region2_forR!$G296&gt;49,[1]species_comp_Region2_forR!$AE296,[1]species_comp_Region2_forR!$AG296)</f>
        <v>5.8521599999999995E-4</v>
      </c>
      <c r="H197" s="7">
        <f t="shared" si="188"/>
        <v>8288.5811641759992</v>
      </c>
      <c r="I197">
        <f t="shared" si="195"/>
        <v>78285.723088895989</v>
      </c>
      <c r="J197">
        <f t="shared" si="189"/>
        <v>279.79585967075349</v>
      </c>
      <c r="K197" s="6">
        <f t="shared" si="190"/>
        <v>548.39988495467685</v>
      </c>
      <c r="M197" s="2">
        <f>'rockfish harvests'!O196</f>
        <v>33515.774784613517</v>
      </c>
      <c r="N197">
        <f>'rockfish harvests'!P196</f>
        <v>29331655.3806163</v>
      </c>
      <c r="O197">
        <f>IF([1]species_comp_Region2_forR!$D323&gt;49,[1]species_comp_Region2_forR!$N323,[1]species_comp_Region2_forR!$P323)</f>
        <v>0.54382908600000002</v>
      </c>
      <c r="P197">
        <f>IF([1]species_comp_Region2_forR!$D323&gt;49,[1]species_comp_Region2_forR!$O323,[1]species_comp_Region2_forR!$Q323)</f>
        <v>2.2349459999999998E-3</v>
      </c>
      <c r="Q197" s="13">
        <f t="shared" si="185"/>
        <v>18226.853167698217</v>
      </c>
      <c r="R197" s="2">
        <f t="shared" si="196"/>
        <v>11250924.780794183</v>
      </c>
      <c r="S197">
        <f t="shared" si="191"/>
        <v>3354.2398215980597</v>
      </c>
      <c r="T197" s="6">
        <f t="shared" si="192"/>
        <v>6574.3100503321966</v>
      </c>
      <c r="V197" s="13">
        <f t="shared" si="186"/>
        <v>26515.434331874218</v>
      </c>
      <c r="W197">
        <f t="shared" si="187"/>
        <v>11329210.503883079</v>
      </c>
      <c r="X197">
        <f t="shared" si="193"/>
        <v>3365.8892590046808</v>
      </c>
      <c r="Y197" s="6">
        <f t="shared" si="194"/>
        <v>6597.1429476491739</v>
      </c>
      <c r="Z197" s="14">
        <f t="shared" si="184"/>
        <v>0.1269407552173695</v>
      </c>
    </row>
    <row r="198" spans="1:26" x14ac:dyDescent="0.3">
      <c r="A198" t="str">
        <f>'rockfish harvests'!A197</f>
        <v>SC</v>
      </c>
      <c r="B198">
        <f>'rockfish harvests'!B197</f>
        <v>2018</v>
      </c>
      <c r="C198" t="str">
        <f>'rockfish harvests'!C197</f>
        <v>PWSI</v>
      </c>
      <c r="D198">
        <f>'rockfish harvests'!D197</f>
        <v>12107</v>
      </c>
      <c r="E198">
        <v>8741</v>
      </c>
      <c r="F198">
        <f>IF([1]species_comp_Region2_forR!$G297&gt;49,[1]species_comp_Region2_forR!$AD297,[1]species_comp_Region2_forR!$AF297)</f>
        <v>0.90328051799999998</v>
      </c>
      <c r="G198">
        <f>IF([1]species_comp_Region2_forR!$G297&gt;49,[1]species_comp_Region2_forR!$AE297,[1]species_comp_Region2_forR!$AG297)</f>
        <v>2.9219000000000001E-4</v>
      </c>
      <c r="H198" s="7">
        <f t="shared" si="188"/>
        <v>7895.5750078379997</v>
      </c>
      <c r="I198">
        <f t="shared" si="195"/>
        <v>22324.800617389999</v>
      </c>
      <c r="J198">
        <f t="shared" si="189"/>
        <v>149.41486076488511</v>
      </c>
      <c r="K198" s="6">
        <f t="shared" si="190"/>
        <v>292.8531270991748</v>
      </c>
      <c r="M198" s="2">
        <f>'rockfish harvests'!O197</f>
        <v>22239.009039310491</v>
      </c>
      <c r="N198">
        <f>'rockfish harvests'!P197</f>
        <v>18423976.825865198</v>
      </c>
      <c r="O198">
        <f>IF([1]species_comp_Region2_forR!$D324&gt;49,[1]species_comp_Region2_forR!$N324,[1]species_comp_Region2_forR!$P324)</f>
        <v>0.33293387600000002</v>
      </c>
      <c r="P198">
        <f>IF([1]species_comp_Region2_forR!$D324&gt;49,[1]species_comp_Region2_forR!$O324,[1]species_comp_Region2_forR!$Q324)</f>
        <v>9.1394600000000001E-4</v>
      </c>
      <c r="Q198" s="13">
        <f t="shared" si="185"/>
        <v>7404.1194778566787</v>
      </c>
      <c r="R198" s="2">
        <f t="shared" si="196"/>
        <v>2511057.0939710317</v>
      </c>
      <c r="S198">
        <f t="shared" si="191"/>
        <v>1584.6315325560802</v>
      </c>
      <c r="T198" s="6">
        <f t="shared" si="192"/>
        <v>3105.8778038099172</v>
      </c>
      <c r="V198" s="13">
        <f t="shared" si="186"/>
        <v>15299.694485694679</v>
      </c>
      <c r="W198">
        <f t="shared" si="187"/>
        <v>2533381.8945884216</v>
      </c>
      <c r="X198">
        <f t="shared" si="193"/>
        <v>1591.6601064889519</v>
      </c>
      <c r="Y198" s="6">
        <f t="shared" si="194"/>
        <v>3119.6538087183458</v>
      </c>
      <c r="Z198" s="14">
        <f t="shared" si="184"/>
        <v>0.10403214966005793</v>
      </c>
    </row>
    <row r="199" spans="1:26" x14ac:dyDescent="0.3">
      <c r="A199" t="str">
        <f>'rockfish harvests'!A198</f>
        <v>SC</v>
      </c>
      <c r="B199">
        <f>'rockfish harvests'!B198</f>
        <v>2019</v>
      </c>
      <c r="C199" t="str">
        <f>'rockfish harvests'!C198</f>
        <v>PWSI</v>
      </c>
      <c r="D199">
        <f>'rockfish harvests'!D198</f>
        <v>15083</v>
      </c>
      <c r="E199">
        <v>11420</v>
      </c>
      <c r="F199">
        <f>IF([1]species_comp_Region2_forR!$G298&gt;49,[1]species_comp_Region2_forR!$AD298,[1]species_comp_Region2_forR!$AF298)</f>
        <v>0.78596997499999999</v>
      </c>
      <c r="G199">
        <f>IF([1]species_comp_Region2_forR!$G298&gt;49,[1]species_comp_Region2_forR!$AE298,[1]species_comp_Region2_forR!$AG298)</f>
        <v>6.7831100000000002E-4</v>
      </c>
      <c r="H199" s="7">
        <f>E199*F199</f>
        <v>8975.7771145000006</v>
      </c>
      <c r="I199">
        <f>(E199^2)*G199</f>
        <v>88462.878700400004</v>
      </c>
      <c r="J199">
        <f>SQRT(I199)</f>
        <v>297.42709812725536</v>
      </c>
      <c r="K199" s="6">
        <f>(1.96*J199)</f>
        <v>582.95711232942051</v>
      </c>
      <c r="M199" s="2">
        <f>'rockfish harvests'!O198</f>
        <v>32001.722103820983</v>
      </c>
      <c r="N199">
        <f>'rockfish harvests'!P198</f>
        <v>26016565.548853625</v>
      </c>
      <c r="O199">
        <f>IF([1]species_comp_Region2_forR!$D325&gt;49,[1]species_comp_Region2_forR!$N325,[1]species_comp_Region2_forR!$P325)</f>
        <v>0.3079288</v>
      </c>
      <c r="P199">
        <f>IF([1]species_comp_Region2_forR!$D325&gt;49,[1]species_comp_Region2_forR!$O325,[1]species_comp_Region2_forR!$Q325)</f>
        <v>6.7439400000000004E-4</v>
      </c>
      <c r="Q199" s="13">
        <f>M199*O199</f>
        <v>9854.25188536307</v>
      </c>
      <c r="R199" s="2">
        <f t="shared" si="196"/>
        <v>3175093.7421659045</v>
      </c>
      <c r="S199">
        <f>SQRT(R199)</f>
        <v>1781.8792726124586</v>
      </c>
      <c r="T199" s="6">
        <f>(1.96*S199)</f>
        <v>3492.483374320419</v>
      </c>
      <c r="V199" s="13">
        <f>Q199+H199</f>
        <v>18830.028999863069</v>
      </c>
      <c r="W199">
        <f>R199+I199</f>
        <v>3263556.6208663043</v>
      </c>
      <c r="X199">
        <f>SQRT(W199)</f>
        <v>1806.5316550966672</v>
      </c>
      <c r="Y199" s="6">
        <f>(1.96*X199)</f>
        <v>3540.8020439894676</v>
      </c>
      <c r="Z199" s="14">
        <f t="shared" si="184"/>
        <v>9.593886738622677E-2</v>
      </c>
    </row>
    <row r="200" spans="1:26" x14ac:dyDescent="0.3">
      <c r="A200" t="str">
        <f>'rockfish harvests'!A199</f>
        <v>SC</v>
      </c>
      <c r="B200">
        <f>'rockfish harvests'!B199</f>
        <v>2020</v>
      </c>
      <c r="C200" t="str">
        <f>'rockfish harvests'!C199</f>
        <v>PWSI</v>
      </c>
      <c r="D200">
        <f>'rockfish harvests'!D199</f>
        <v>9001</v>
      </c>
      <c r="E200">
        <v>6714</v>
      </c>
      <c r="F200">
        <v>0.76293124608498553</v>
      </c>
      <c r="G200">
        <v>5.81566430328607E-4</v>
      </c>
      <c r="H200" s="7">
        <f t="shared" ref="H200:H202" si="197">E200*F200</f>
        <v>5122.3203862145929</v>
      </c>
      <c r="I200">
        <f t="shared" ref="I200:I201" si="198">(E200^2)*G200</f>
        <v>26215.73290680116</v>
      </c>
      <c r="J200">
        <f t="shared" ref="J200:J201" si="199">SQRT(I200)</f>
        <v>161.91273238013483</v>
      </c>
      <c r="K200" s="6">
        <f t="shared" ref="K200:K201" si="200">(1.96*J200)</f>
        <v>317.34895546506425</v>
      </c>
      <c r="M200" s="2">
        <f>'rockfish harvests'!O199</f>
        <v>18605.884326200114</v>
      </c>
      <c r="N200">
        <f>'rockfish harvests'!P199</f>
        <v>9865637.9851696268</v>
      </c>
      <c r="O200">
        <v>0.3560718793171877</v>
      </c>
      <c r="P200">
        <v>8.7513242777371688E-4</v>
      </c>
      <c r="Q200" s="13">
        <f t="shared" ref="Q200:Q201" si="201">M200*O200</f>
        <v>6625.0321983882814</v>
      </c>
      <c r="R200" s="2">
        <f t="shared" si="196"/>
        <v>1562422.5995515399</v>
      </c>
      <c r="S200">
        <f t="shared" ref="S200:S201" si="202">SQRT(R200)</f>
        <v>1249.9690394371933</v>
      </c>
      <c r="T200" s="6">
        <f t="shared" ref="T200:T201" si="203">(1.96*S200)</f>
        <v>2449.9393172968989</v>
      </c>
      <c r="V200" s="13">
        <f t="shared" ref="V200:V201" si="204">Q200+H200</f>
        <v>11747.352584602875</v>
      </c>
      <c r="W200">
        <f t="shared" ref="W200:W201" si="205">R200+I200</f>
        <v>1588638.332458341</v>
      </c>
      <c r="X200">
        <f t="shared" ref="X200:X201" si="206">SQRT(W200)</f>
        <v>1260.4119693411124</v>
      </c>
      <c r="Y200" s="6">
        <f t="shared" ref="Y200:Y201" si="207">(1.96*X200)</f>
        <v>2470.4074599085802</v>
      </c>
      <c r="Z200" s="14">
        <f t="shared" ref="Z200:Z201" si="208">X200/V200</f>
        <v>0.10729327823131149</v>
      </c>
    </row>
    <row r="201" spans="1:26" x14ac:dyDescent="0.3">
      <c r="A201" t="str">
        <f>'rockfish harvests'!A200</f>
        <v>SC</v>
      </c>
      <c r="B201">
        <f>'rockfish harvests'!B200</f>
        <v>2021</v>
      </c>
      <c r="C201" t="str">
        <f>'rockfish harvests'!C200</f>
        <v>PWSI</v>
      </c>
      <c r="D201">
        <f>'rockfish harvests'!D200</f>
        <v>16848</v>
      </c>
      <c r="E201">
        <v>13201</v>
      </c>
      <c r="F201">
        <v>0.79591399159382248</v>
      </c>
      <c r="G201">
        <v>5.1730862923251967E-4</v>
      </c>
      <c r="H201" s="7">
        <f t="shared" si="197"/>
        <v>10506.860603030051</v>
      </c>
      <c r="I201">
        <f t="shared" si="198"/>
        <v>90149.51302259459</v>
      </c>
      <c r="J201">
        <f t="shared" si="199"/>
        <v>300.2490849654576</v>
      </c>
      <c r="K201" s="6">
        <f t="shared" si="200"/>
        <v>588.48820653229689</v>
      </c>
      <c r="M201" s="2">
        <f>'rockfish harvests'!O200</f>
        <v>26712.114727976325</v>
      </c>
      <c r="N201">
        <f>'rockfish harvests'!P200</f>
        <v>21799295.268585149</v>
      </c>
      <c r="O201">
        <v>0.47254049763713746</v>
      </c>
      <c r="P201">
        <v>1.0090930191497326E-3</v>
      </c>
      <c r="Q201" s="13">
        <f t="shared" si="201"/>
        <v>12622.555986498241</v>
      </c>
      <c r="R201" s="2">
        <f t="shared" si="196"/>
        <v>5609686.0111010987</v>
      </c>
      <c r="S201">
        <f t="shared" si="202"/>
        <v>2368.4775724294072</v>
      </c>
      <c r="T201" s="6">
        <f t="shared" si="203"/>
        <v>4642.2160419616384</v>
      </c>
      <c r="V201" s="13">
        <f t="shared" si="204"/>
        <v>23129.416589528293</v>
      </c>
      <c r="W201">
        <f t="shared" si="205"/>
        <v>5699835.5241236929</v>
      </c>
      <c r="X201">
        <f t="shared" si="206"/>
        <v>2387.432831332369</v>
      </c>
      <c r="Y201" s="6">
        <f t="shared" si="207"/>
        <v>4679.368349411443</v>
      </c>
      <c r="Z201" s="14">
        <f t="shared" si="208"/>
        <v>0.10322062478710618</v>
      </c>
    </row>
    <row r="202" spans="1:26" s="51" customFormat="1" x14ac:dyDescent="0.3">
      <c r="A202" s="51" t="s">
        <v>81</v>
      </c>
      <c r="B202" s="51">
        <v>2022</v>
      </c>
      <c r="C202" s="51" t="s">
        <v>51</v>
      </c>
      <c r="D202">
        <f>'rockfish harvests'!D201</f>
        <v>21685</v>
      </c>
      <c r="E202" s="43">
        <v>17939</v>
      </c>
      <c r="F202" s="103">
        <v>0.81138590295596424</v>
      </c>
      <c r="G202" s="91">
        <v>1.7292521970655234E-4</v>
      </c>
      <c r="H202" s="7">
        <f t="shared" si="197"/>
        <v>14555.451713127042</v>
      </c>
      <c r="I202">
        <f t="shared" ref="I202" si="209">(E202^2)*G202</f>
        <v>55648.6708571899</v>
      </c>
      <c r="J202">
        <f t="shared" ref="J202" si="210">SQRT(I202)</f>
        <v>235.89970508076075</v>
      </c>
      <c r="K202" s="6">
        <f t="shared" ref="K202" si="211">(1.96*J202)</f>
        <v>462.36342195829104</v>
      </c>
      <c r="M202" s="2">
        <f>'rockfish harvests'!O201</f>
        <v>25116.853981705674</v>
      </c>
      <c r="N202">
        <f>'rockfish harvests'!P201</f>
        <v>15249701.106684575</v>
      </c>
      <c r="O202" s="103">
        <v>3.3372019489131696E-2</v>
      </c>
      <c r="P202" s="91">
        <v>8.5565856244956785E-5</v>
      </c>
      <c r="Q202" s="13">
        <f t="shared" ref="Q202" si="212">M202*O202</f>
        <v>838.20014058315678</v>
      </c>
      <c r="R202" s="2">
        <f t="shared" si="196"/>
        <v>72268.083142917865</v>
      </c>
      <c r="S202">
        <f t="shared" ref="S202" si="213">SQRT(R202)</f>
        <v>268.82723660916105</v>
      </c>
      <c r="T202" s="6">
        <f t="shared" ref="T202" si="214">(1.96*S202)</f>
        <v>526.90138375395566</v>
      </c>
      <c r="V202" s="13">
        <f t="shared" ref="V202" si="215">Q202+H202</f>
        <v>15393.651853710198</v>
      </c>
      <c r="W202">
        <f t="shared" ref="W202" si="216">R202+I202</f>
        <v>127916.75400010776</v>
      </c>
      <c r="X202">
        <f t="shared" ref="X202" si="217">SQRT(W202)</f>
        <v>357.65451765650573</v>
      </c>
      <c r="Y202" s="6">
        <f t="shared" ref="Y202" si="218">(1.96*X202)</f>
        <v>701.00285460675127</v>
      </c>
      <c r="Z202" s="14">
        <f t="shared" ref="Z202" si="219">X202/V202</f>
        <v>2.32338967423317E-2</v>
      </c>
    </row>
    <row r="203" spans="1:26" x14ac:dyDescent="0.3">
      <c r="A203" t="str">
        <f>'rockfish harvests'!A202</f>
        <v>SC</v>
      </c>
      <c r="B203">
        <f>'rockfish harvests'!B202</f>
        <v>1998</v>
      </c>
      <c r="C203" t="str">
        <f>'rockfish harvests'!C202</f>
        <v>PWSO</v>
      </c>
      <c r="D203">
        <f>'rockfish harvests'!D202</f>
        <v>7091</v>
      </c>
      <c r="E203">
        <v>5439</v>
      </c>
      <c r="F203">
        <f>IF([1]species_comp_Region2_forR!$G331&gt;49,[1]species_comp_Region2_forR!$AD331,[1]species_comp_Region2_forR!$AF331)</f>
        <v>0.95001530899999997</v>
      </c>
      <c r="G203">
        <f>IF([1]species_comp_Region2_forR!$G331&gt;49,[1]species_comp_Region2_forR!$AE331,[1]species_comp_Region2_forR!$AG331)</f>
        <v>5.7212300000000001E-4</v>
      </c>
      <c r="H203" s="7">
        <f t="shared" si="188"/>
        <v>5167.1332656509994</v>
      </c>
      <c r="I203">
        <f t="shared" si="195"/>
        <v>16924.955086683</v>
      </c>
      <c r="J203">
        <f t="shared" si="189"/>
        <v>130.09594569656272</v>
      </c>
      <c r="K203" s="6">
        <f t="shared" si="190"/>
        <v>254.98805356526293</v>
      </c>
      <c r="M203" s="2">
        <f>'rockfish harvests'!O202</f>
        <v>1471.2039985303945</v>
      </c>
      <c r="N203">
        <f>'rockfish harvests'!P202</f>
        <v>494154.9077878145</v>
      </c>
      <c r="O203" s="32">
        <v>0.70942925999999995</v>
      </c>
      <c r="P203" s="32">
        <v>1.0326715E-2</v>
      </c>
      <c r="Q203" s="13">
        <f t="shared" si="185"/>
        <v>1043.7151639864587</v>
      </c>
      <c r="R203" s="2">
        <f t="shared" si="196"/>
        <v>276157.72610344709</v>
      </c>
      <c r="S203">
        <f t="shared" si="191"/>
        <v>525.50711327578347</v>
      </c>
      <c r="T203" s="6">
        <f t="shared" si="192"/>
        <v>1029.9939420205355</v>
      </c>
      <c r="V203" s="13">
        <f t="shared" si="186"/>
        <v>6210.8484296374581</v>
      </c>
      <c r="W203">
        <f t="shared" si="187"/>
        <v>293082.68119013007</v>
      </c>
      <c r="X203">
        <f t="shared" si="193"/>
        <v>541.37111226046227</v>
      </c>
      <c r="Y203" s="6">
        <f t="shared" si="194"/>
        <v>1061.087380030506</v>
      </c>
      <c r="Z203" s="14">
        <f>X203/V203</f>
        <v>8.7165403953041468E-2</v>
      </c>
    </row>
    <row r="204" spans="1:26" x14ac:dyDescent="0.3">
      <c r="A204" t="str">
        <f>'rockfish harvests'!A203</f>
        <v>SC</v>
      </c>
      <c r="B204">
        <f>'rockfish harvests'!B203</f>
        <v>1999</v>
      </c>
      <c r="C204" t="str">
        <f>'rockfish harvests'!C203</f>
        <v>PWSO</v>
      </c>
      <c r="D204">
        <f>'rockfish harvests'!D203</f>
        <v>4594</v>
      </c>
      <c r="E204">
        <v>3253</v>
      </c>
      <c r="F204">
        <f>IF([1]species_comp_Region2_forR!$G332&gt;49,[1]species_comp_Region2_forR!$AD332,[1]species_comp_Region2_forR!$AF332)</f>
        <v>0.98670537599999997</v>
      </c>
      <c r="G204">
        <f>IF([1]species_comp_Region2_forR!$G332&gt;49,[1]species_comp_Region2_forR!$AE332,[1]species_comp_Region2_forR!$AG332)</f>
        <v>8.4089000000000001E-5</v>
      </c>
      <c r="H204" s="7">
        <f t="shared" si="188"/>
        <v>3209.7525881279998</v>
      </c>
      <c r="I204">
        <f t="shared" si="195"/>
        <v>889.83055480100006</v>
      </c>
      <c r="J204">
        <f t="shared" si="189"/>
        <v>29.830027737181204</v>
      </c>
      <c r="K204" s="6">
        <f t="shared" si="190"/>
        <v>58.466854364875161</v>
      </c>
      <c r="M204" s="2">
        <f>'rockfish harvests'!O203</f>
        <v>953.13935541512274</v>
      </c>
      <c r="N204">
        <f>'rockfish harvests'!P203</f>
        <v>207410.20653889881</v>
      </c>
      <c r="O204" s="32">
        <v>0.70942925999999995</v>
      </c>
      <c r="P204" s="32">
        <v>1.0326715E-2</v>
      </c>
      <c r="Q204" s="13">
        <f t="shared" si="185"/>
        <v>676.1849475890275</v>
      </c>
      <c r="R204" s="2">
        <f t="shared" si="196"/>
        <v>115910.88159954737</v>
      </c>
      <c r="S204">
        <f t="shared" si="191"/>
        <v>340.45687186418689</v>
      </c>
      <c r="T204" s="6">
        <f t="shared" si="192"/>
        <v>667.29546885380626</v>
      </c>
      <c r="V204" s="13">
        <f t="shared" si="186"/>
        <v>3885.9375357170275</v>
      </c>
      <c r="W204">
        <f t="shared" si="187"/>
        <v>116800.71215434837</v>
      </c>
      <c r="X204">
        <f t="shared" si="193"/>
        <v>341.761191703137</v>
      </c>
      <c r="Y204" s="6">
        <f t="shared" si="194"/>
        <v>669.85193573814854</v>
      </c>
      <c r="Z204" s="14">
        <f t="shared" ref="Z204:Z278" si="220">X204/V204</f>
        <v>8.7948194885246841E-2</v>
      </c>
    </row>
    <row r="205" spans="1:26" x14ac:dyDescent="0.3">
      <c r="A205" t="str">
        <f>'rockfish harvests'!A204</f>
        <v>SC</v>
      </c>
      <c r="B205">
        <f>'rockfish harvests'!B204</f>
        <v>2000</v>
      </c>
      <c r="C205" t="str">
        <f>'rockfish harvests'!C204</f>
        <v>PWSO</v>
      </c>
      <c r="D205">
        <f>'rockfish harvests'!D204</f>
        <v>9244</v>
      </c>
      <c r="E205">
        <v>7038</v>
      </c>
      <c r="F205">
        <f>IF([1]species_comp_Region2_forR!$G333&gt;49,[1]species_comp_Region2_forR!$AD333,[1]species_comp_Region2_forR!$AF333)</f>
        <v>0.97999830700000001</v>
      </c>
      <c r="G205">
        <f>IF([1]species_comp_Region2_forR!$G333&gt;49,[1]species_comp_Region2_forR!$AE333,[1]species_comp_Region2_forR!$AG333)</f>
        <v>2.6851499999999999E-4</v>
      </c>
      <c r="H205" s="7">
        <f t="shared" si="188"/>
        <v>6897.2280846660005</v>
      </c>
      <c r="I205">
        <f t="shared" si="195"/>
        <v>13300.47271566</v>
      </c>
      <c r="J205">
        <f t="shared" si="189"/>
        <v>115.32767541080501</v>
      </c>
      <c r="K205" s="6">
        <f t="shared" si="190"/>
        <v>226.04224380517783</v>
      </c>
      <c r="M205" s="2">
        <f>'rockfish harvests'!O204</f>
        <v>1917.897301144405</v>
      </c>
      <c r="N205">
        <f>'rockfish harvests'!P204</f>
        <v>839784.81191828009</v>
      </c>
      <c r="O205" s="32">
        <v>0.70942925999999995</v>
      </c>
      <c r="P205" s="32">
        <v>1.0326715E-2</v>
      </c>
      <c r="Q205" s="13">
        <f t="shared" si="185"/>
        <v>1360.6124631068724</v>
      </c>
      <c r="R205" s="2">
        <f t="shared" si="196"/>
        <v>469312.4775665378</v>
      </c>
      <c r="S205">
        <f t="shared" si="191"/>
        <v>685.06384926263468</v>
      </c>
      <c r="T205" s="6">
        <f t="shared" si="192"/>
        <v>1342.725144554764</v>
      </c>
      <c r="V205" s="13">
        <f t="shared" si="186"/>
        <v>8257.8405477728738</v>
      </c>
      <c r="W205">
        <f t="shared" si="187"/>
        <v>482612.95028219779</v>
      </c>
      <c r="X205">
        <f t="shared" si="193"/>
        <v>694.70349810706853</v>
      </c>
      <c r="Y205" s="6">
        <f t="shared" si="194"/>
        <v>1361.6188562898542</v>
      </c>
      <c r="Z205" s="14">
        <f t="shared" si="220"/>
        <v>8.4126533333757442E-2</v>
      </c>
    </row>
    <row r="206" spans="1:26" x14ac:dyDescent="0.3">
      <c r="A206" t="str">
        <f>'rockfish harvests'!A205</f>
        <v>SC</v>
      </c>
      <c r="B206">
        <f>'rockfish harvests'!B205</f>
        <v>2001</v>
      </c>
      <c r="C206" t="str">
        <f>'rockfish harvests'!C205</f>
        <v>PWSO</v>
      </c>
      <c r="D206">
        <f>'rockfish harvests'!D205</f>
        <v>11235</v>
      </c>
      <c r="E206">
        <v>8211</v>
      </c>
      <c r="F206">
        <f>IF([1]species_comp_Region2_forR!$G334&gt;49,[1]species_comp_Region2_forR!$AD334,[1]species_comp_Region2_forR!$AF334)</f>
        <v>0.91102233300000002</v>
      </c>
      <c r="G206">
        <f>IF([1]species_comp_Region2_forR!$G334&gt;49,[1]species_comp_Region2_forR!$AE334,[1]species_comp_Region2_forR!$AG334)</f>
        <v>3.89715E-4</v>
      </c>
      <c r="H206" s="7">
        <f t="shared" si="188"/>
        <v>7480.4043762629999</v>
      </c>
      <c r="I206">
        <f t="shared" si="195"/>
        <v>26274.788341514999</v>
      </c>
      <c r="J206">
        <f t="shared" si="189"/>
        <v>162.09499789171471</v>
      </c>
      <c r="K206" s="6">
        <f t="shared" si="190"/>
        <v>317.70619586776081</v>
      </c>
      <c r="M206" s="2">
        <f>'rockfish harvests'!O205</f>
        <v>2330.979681778168</v>
      </c>
      <c r="N206">
        <f>'rockfish harvests'!P205</f>
        <v>1240492.9366742759</v>
      </c>
      <c r="O206">
        <f>IF([1]species_comp_Region2_forR!$D361&gt;49,[1]species_comp_Region2_forR!$N361,[1]species_comp_Region2_forR!$P361)</f>
        <v>0.65110920400000005</v>
      </c>
      <c r="P206">
        <f>IF([1]species_comp_Region2_forR!$D361&gt;49,[1]species_comp_Region2_forR!$O361,[1]species_comp_Region2_forR!$Q361)</f>
        <v>4.454235E-3</v>
      </c>
      <c r="Q206" s="13">
        <f t="shared" si="185"/>
        <v>1517.7223251427563</v>
      </c>
      <c r="R206" s="2">
        <f t="shared" si="196"/>
        <v>555625.92232795374</v>
      </c>
      <c r="S206">
        <f t="shared" si="191"/>
        <v>745.40319447125648</v>
      </c>
      <c r="T206" s="6">
        <f t="shared" si="192"/>
        <v>1460.9902611636626</v>
      </c>
      <c r="V206" s="13">
        <f t="shared" si="186"/>
        <v>8998.1267014057557</v>
      </c>
      <c r="W206">
        <f t="shared" si="187"/>
        <v>581900.71066946874</v>
      </c>
      <c r="X206">
        <f t="shared" si="193"/>
        <v>762.8241675966151</v>
      </c>
      <c r="Y206" s="6">
        <f t="shared" si="194"/>
        <v>1495.1353684893656</v>
      </c>
      <c r="Z206" s="14">
        <f t="shared" si="220"/>
        <v>8.4775886460616401E-2</v>
      </c>
    </row>
    <row r="207" spans="1:26" x14ac:dyDescent="0.3">
      <c r="A207" t="str">
        <f>'rockfish harvests'!A206</f>
        <v>SC</v>
      </c>
      <c r="B207">
        <f>'rockfish harvests'!B206</f>
        <v>2002</v>
      </c>
      <c r="C207" t="str">
        <f>'rockfish harvests'!C206</f>
        <v>PWSO</v>
      </c>
      <c r="D207">
        <f>'rockfish harvests'!D206</f>
        <v>9018</v>
      </c>
      <c r="E207">
        <v>6632</v>
      </c>
      <c r="F207">
        <f>IF([1]species_comp_Region2_forR!$G335&gt;49,[1]species_comp_Region2_forR!$AD335,[1]species_comp_Region2_forR!$AF335)</f>
        <v>0.92577644299999995</v>
      </c>
      <c r="G207">
        <f>IF([1]species_comp_Region2_forR!$G335&gt;49,[1]species_comp_Region2_forR!$AE335,[1]species_comp_Region2_forR!$AG335)</f>
        <v>3.5238199999999999E-4</v>
      </c>
      <c r="H207" s="7">
        <f t="shared" si="188"/>
        <v>6139.7493699759998</v>
      </c>
      <c r="I207">
        <f t="shared" si="195"/>
        <v>15498.966915968</v>
      </c>
      <c r="J207">
        <f t="shared" si="189"/>
        <v>124.49484694543787</v>
      </c>
      <c r="K207" s="6">
        <f t="shared" si="190"/>
        <v>244.00990001305823</v>
      </c>
      <c r="M207" s="2">
        <f>'rockfish harvests'!O206</f>
        <v>1871.0079902336911</v>
      </c>
      <c r="N207">
        <f>'rockfish harvests'!P206</f>
        <v>799224.16063675296</v>
      </c>
      <c r="O207" s="32">
        <v>0.70942925999999995</v>
      </c>
      <c r="P207" s="32">
        <v>1.0326715E-2</v>
      </c>
      <c r="Q207" s="13">
        <f t="shared" si="185"/>
        <v>1327.3478139655747</v>
      </c>
      <c r="R207" s="2">
        <f t="shared" si="196"/>
        <v>446645.21867534192</v>
      </c>
      <c r="S207">
        <f t="shared" si="191"/>
        <v>668.31520907079607</v>
      </c>
      <c r="T207" s="6">
        <f t="shared" si="192"/>
        <v>1309.8978097787603</v>
      </c>
      <c r="V207" s="13">
        <f t="shared" si="186"/>
        <v>7467.0971839415743</v>
      </c>
      <c r="W207">
        <f t="shared" si="187"/>
        <v>462144.18559130991</v>
      </c>
      <c r="X207">
        <f t="shared" si="193"/>
        <v>679.81187514731596</v>
      </c>
      <c r="Y207" s="6">
        <f t="shared" si="194"/>
        <v>1332.4312752887392</v>
      </c>
      <c r="Z207" s="14">
        <f t="shared" si="220"/>
        <v>9.1040983986292665E-2</v>
      </c>
    </row>
    <row r="208" spans="1:26" x14ac:dyDescent="0.3">
      <c r="A208" t="str">
        <f>'rockfish harvests'!A207</f>
        <v>SC</v>
      </c>
      <c r="B208">
        <f>'rockfish harvests'!B207</f>
        <v>2003</v>
      </c>
      <c r="C208" t="str">
        <f>'rockfish harvests'!C207</f>
        <v>PWSO</v>
      </c>
      <c r="D208">
        <f>'rockfish harvests'!D207</f>
        <v>9696</v>
      </c>
      <c r="E208">
        <v>7248</v>
      </c>
      <c r="F208">
        <f>IF([1]species_comp_Region2_forR!$G336&gt;49,[1]species_comp_Region2_forR!$AD336,[1]species_comp_Region2_forR!$AF336)</f>
        <v>0.96045200200000003</v>
      </c>
      <c r="G208">
        <f>IF([1]species_comp_Region2_forR!$G336&gt;49,[1]species_comp_Region2_forR!$AE336,[1]species_comp_Region2_forR!$AG336)</f>
        <v>1.22135E-4</v>
      </c>
      <c r="H208" s="7">
        <f t="shared" si="188"/>
        <v>6961.3561104959999</v>
      </c>
      <c r="I208">
        <f t="shared" si="195"/>
        <v>6416.1795110399999</v>
      </c>
      <c r="J208">
        <f t="shared" si="189"/>
        <v>80.101058114359518</v>
      </c>
      <c r="K208" s="6">
        <f t="shared" si="190"/>
        <v>156.99807390414466</v>
      </c>
      <c r="M208" s="2">
        <f>'rockfish harvests'!O207</f>
        <v>2011.675922965831</v>
      </c>
      <c r="N208">
        <f>'rockfish harvests'!P207</f>
        <v>923917.84611739591</v>
      </c>
      <c r="O208">
        <f>IF([1]species_comp_Region2_forR!$D363&gt;49,[1]species_comp_Region2_forR!$N363,[1]species_comp_Region2_forR!$P363)</f>
        <v>0.89012781799999996</v>
      </c>
      <c r="P208">
        <f>IF([1]species_comp_Region2_forR!$D363&gt;49,[1]species_comp_Region2_forR!$O363,[1]species_comp_Region2_forR!$Q363)</f>
        <v>1.6300049999999999E-3</v>
      </c>
      <c r="Q208" s="13">
        <f t="shared" si="185"/>
        <v>1790.6486998327111</v>
      </c>
      <c r="R208" s="2">
        <f t="shared" si="196"/>
        <v>740147.90730767313</v>
      </c>
      <c r="S208">
        <f t="shared" si="191"/>
        <v>860.318491785265</v>
      </c>
      <c r="T208" s="6">
        <f t="shared" si="192"/>
        <v>1686.2242438991193</v>
      </c>
      <c r="V208" s="13">
        <f t="shared" si="186"/>
        <v>8752.0048103287118</v>
      </c>
      <c r="W208">
        <f t="shared" si="187"/>
        <v>746564.08681871311</v>
      </c>
      <c r="X208">
        <f t="shared" si="193"/>
        <v>864.03940119575168</v>
      </c>
      <c r="Y208" s="6">
        <f t="shared" si="194"/>
        <v>1693.5172263436732</v>
      </c>
      <c r="Z208" s="14">
        <f t="shared" si="220"/>
        <v>9.8724740207643893E-2</v>
      </c>
    </row>
    <row r="209" spans="1:26" x14ac:dyDescent="0.3">
      <c r="A209" t="str">
        <f>'rockfish harvests'!A208</f>
        <v>SC</v>
      </c>
      <c r="B209">
        <f>'rockfish harvests'!B208</f>
        <v>2004</v>
      </c>
      <c r="C209" t="str">
        <f>'rockfish harvests'!C208</f>
        <v>PWSO</v>
      </c>
      <c r="D209">
        <f>'rockfish harvests'!D208</f>
        <v>12216</v>
      </c>
      <c r="E209">
        <v>9240</v>
      </c>
      <c r="F209">
        <f>IF([1]species_comp_Region2_forR!$G337&gt;49,[1]species_comp_Region2_forR!$AD337,[1]species_comp_Region2_forR!$AF337)</f>
        <v>0.92333540599999997</v>
      </c>
      <c r="G209">
        <f>IF([1]species_comp_Region2_forR!$G337&gt;49,[1]species_comp_Region2_forR!$AE337,[1]species_comp_Region2_forR!$AG337)</f>
        <v>1.8876599999999999E-4</v>
      </c>
      <c r="H209" s="7">
        <f t="shared" si="188"/>
        <v>8531.6191514399998</v>
      </c>
      <c r="I209">
        <f t="shared" si="195"/>
        <v>16116.388041599999</v>
      </c>
      <c r="J209">
        <f t="shared" si="189"/>
        <v>126.95033691014766</v>
      </c>
      <c r="K209" s="6">
        <f t="shared" si="190"/>
        <v>248.8226603438894</v>
      </c>
      <c r="M209" s="2">
        <f>'rockfish harvests'!O208</f>
        <v>2534.5124871029911</v>
      </c>
      <c r="N209">
        <f>'rockfish harvests'!P208</f>
        <v>1466581.4594766509</v>
      </c>
      <c r="O209">
        <f>IF([1]species_comp_Region2_forR!$D364&gt;49,[1]species_comp_Region2_forR!$N364,[1]species_comp_Region2_forR!$P364)</f>
        <v>0.70360321999999997</v>
      </c>
      <c r="P209">
        <f>IF([1]species_comp_Region2_forR!$D364&gt;49,[1]species_comp_Region2_forR!$O364,[1]species_comp_Region2_forR!$Q364)</f>
        <v>3.861958E-3</v>
      </c>
      <c r="Q209" s="13">
        <f t="shared" si="185"/>
        <v>1783.2911470558729</v>
      </c>
      <c r="R209" s="2">
        <f t="shared" si="196"/>
        <v>756514.28036271373</v>
      </c>
      <c r="S209">
        <f t="shared" si="191"/>
        <v>869.77829379831826</v>
      </c>
      <c r="T209" s="6">
        <f t="shared" si="192"/>
        <v>1704.7654558447039</v>
      </c>
      <c r="V209" s="13">
        <f t="shared" si="186"/>
        <v>10314.910298495874</v>
      </c>
      <c r="W209">
        <f t="shared" si="187"/>
        <v>772630.66840431374</v>
      </c>
      <c r="X209">
        <f t="shared" si="193"/>
        <v>878.99412307723298</v>
      </c>
      <c r="Y209" s="6">
        <f t="shared" si="194"/>
        <v>1722.8284812313766</v>
      </c>
      <c r="Z209" s="14">
        <f t="shared" si="220"/>
        <v>8.5215876594235476E-2</v>
      </c>
    </row>
    <row r="210" spans="1:26" x14ac:dyDescent="0.3">
      <c r="A210" t="str">
        <f>'rockfish harvests'!A209</f>
        <v>SC</v>
      </c>
      <c r="B210">
        <f>'rockfish harvests'!B209</f>
        <v>2005</v>
      </c>
      <c r="C210" t="str">
        <f>'rockfish harvests'!C209</f>
        <v>PWSO</v>
      </c>
      <c r="D210">
        <f>'rockfish harvests'!D209</f>
        <v>9664</v>
      </c>
      <c r="E210">
        <v>7477</v>
      </c>
      <c r="F210">
        <f>IF([1]species_comp_Region2_forR!$G338&gt;49,[1]species_comp_Region2_forR!$AD338,[1]species_comp_Region2_forR!$AF338)</f>
        <v>0.931865587</v>
      </c>
      <c r="G210">
        <f>IF([1]species_comp_Region2_forR!$G338&gt;49,[1]species_comp_Region2_forR!$AE338,[1]species_comp_Region2_forR!$AG338)</f>
        <v>2.7133399999999997E-4</v>
      </c>
      <c r="H210" s="7">
        <f t="shared" si="188"/>
        <v>6967.5589939989995</v>
      </c>
      <c r="I210">
        <f t="shared" si="195"/>
        <v>15169.070805685998</v>
      </c>
      <c r="J210">
        <f t="shared" si="189"/>
        <v>123.16278173898964</v>
      </c>
      <c r="K210" s="6">
        <f t="shared" si="190"/>
        <v>241.39905220841968</v>
      </c>
      <c r="M210" s="2">
        <f>'rockfish harvests'!O209</f>
        <v>2005.0367285005977</v>
      </c>
      <c r="N210">
        <f>'rockfish harvests'!P209</f>
        <v>917829.44196419709</v>
      </c>
      <c r="O210">
        <f>IF([1]species_comp_Region2_forR!$D365&gt;49,[1]species_comp_Region2_forR!$N365,[1]species_comp_Region2_forR!$P365)</f>
        <v>0.86423101300000005</v>
      </c>
      <c r="P210">
        <f>IF([1]species_comp_Region2_forR!$D365&gt;49,[1]species_comp_Region2_forR!$O365,[1]species_comp_Region2_forR!$Q365)</f>
        <v>2.0230309999999998E-3</v>
      </c>
      <c r="Q210" s="13">
        <f t="shared" si="185"/>
        <v>1732.8149229742776</v>
      </c>
      <c r="R210" s="2">
        <f t="shared" si="196"/>
        <v>695512.17541804584</v>
      </c>
      <c r="S210">
        <f t="shared" si="191"/>
        <v>833.97372585594439</v>
      </c>
      <c r="T210" s="6">
        <f t="shared" si="192"/>
        <v>1634.5885026776509</v>
      </c>
      <c r="V210" s="13">
        <f t="shared" si="186"/>
        <v>8700.3739169732762</v>
      </c>
      <c r="W210">
        <f t="shared" si="187"/>
        <v>710681.24622373178</v>
      </c>
      <c r="X210">
        <f t="shared" si="193"/>
        <v>843.01912565714179</v>
      </c>
      <c r="Y210" s="6">
        <f t="shared" si="194"/>
        <v>1652.3174862879978</v>
      </c>
      <c r="Z210" s="14">
        <f t="shared" si="220"/>
        <v>9.6894585646775847E-2</v>
      </c>
    </row>
    <row r="211" spans="1:26" x14ac:dyDescent="0.3">
      <c r="A211" t="str">
        <f>'rockfish harvests'!A210</f>
        <v>SC</v>
      </c>
      <c r="B211">
        <f>'rockfish harvests'!B210</f>
        <v>2006</v>
      </c>
      <c r="C211" t="str">
        <f>'rockfish harvests'!C210</f>
        <v>PWSO</v>
      </c>
      <c r="D211">
        <f>'rockfish harvests'!D210</f>
        <v>9129</v>
      </c>
      <c r="E211">
        <v>6195</v>
      </c>
      <c r="F211">
        <f>IF([1]species_comp_Region2_forR!$G339&gt;49,[1]species_comp_Region2_forR!$AD339,[1]species_comp_Region2_forR!$AF339)</f>
        <v>0.96043807999999997</v>
      </c>
      <c r="G211">
        <f>IF([1]species_comp_Region2_forR!$G339&gt;49,[1]species_comp_Region2_forR!$AE339,[1]species_comp_Region2_forR!$AG339)</f>
        <v>1.2024299999999999E-4</v>
      </c>
      <c r="H211" s="7">
        <f t="shared" si="188"/>
        <v>5949.9139055999995</v>
      </c>
      <c r="I211">
        <f t="shared" si="195"/>
        <v>4614.6888600749999</v>
      </c>
      <c r="J211">
        <f t="shared" si="189"/>
        <v>67.931501235251673</v>
      </c>
      <c r="K211" s="6">
        <f t="shared" si="190"/>
        <v>133.14574242109327</v>
      </c>
      <c r="M211" s="2">
        <f>'rockfish harvests'!O210</f>
        <v>1894.0376960349713</v>
      </c>
      <c r="N211">
        <f>'rockfish harvests'!P210</f>
        <v>819020.09295315738</v>
      </c>
      <c r="O211" s="32">
        <v>0.70942925999999995</v>
      </c>
      <c r="P211" s="32">
        <v>1.0326715E-2</v>
      </c>
      <c r="Q211" s="13">
        <f t="shared" si="185"/>
        <v>1343.6857611101946</v>
      </c>
      <c r="R211" s="2">
        <f t="shared" si="196"/>
        <v>457708.14564103633</v>
      </c>
      <c r="S211">
        <f t="shared" si="191"/>
        <v>676.54131111192044</v>
      </c>
      <c r="T211" s="6">
        <f t="shared" si="192"/>
        <v>1326.0209697793641</v>
      </c>
      <c r="V211" s="13">
        <f t="shared" si="186"/>
        <v>7293.5996667101936</v>
      </c>
      <c r="W211">
        <f t="shared" si="187"/>
        <v>462322.83450111136</v>
      </c>
      <c r="X211">
        <f t="shared" si="193"/>
        <v>679.94325829521347</v>
      </c>
      <c r="Y211" s="6">
        <f t="shared" si="194"/>
        <v>1332.6887862586184</v>
      </c>
      <c r="Z211" s="14">
        <f t="shared" si="220"/>
        <v>9.3224647549363576E-2</v>
      </c>
    </row>
    <row r="212" spans="1:26" x14ac:dyDescent="0.3">
      <c r="A212" t="str">
        <f>'rockfish harvests'!A211</f>
        <v>SC</v>
      </c>
      <c r="B212">
        <f>'rockfish harvests'!B211</f>
        <v>2007</v>
      </c>
      <c r="C212" t="str">
        <f>'rockfish harvests'!C211</f>
        <v>PWSO</v>
      </c>
      <c r="D212">
        <f>'rockfish harvests'!D211</f>
        <v>12198</v>
      </c>
      <c r="E212">
        <v>8339</v>
      </c>
      <c r="F212">
        <f>IF([1]species_comp_Region2_forR!$G340&gt;49,[1]species_comp_Region2_forR!$AD340,[1]species_comp_Region2_forR!$AF340)</f>
        <v>0.97732030299999995</v>
      </c>
      <c r="G212">
        <f>IF([1]species_comp_Region2_forR!$G340&gt;49,[1]species_comp_Region2_forR!$AE340,[1]species_comp_Region2_forR!$AG340)</f>
        <v>5.0605800000000003E-5</v>
      </c>
      <c r="H212" s="7">
        <f t="shared" si="188"/>
        <v>8149.8740067169992</v>
      </c>
      <c r="I212">
        <f t="shared" si="195"/>
        <v>3519.0727283418</v>
      </c>
      <c r="J212">
        <f t="shared" si="189"/>
        <v>59.321772801744558</v>
      </c>
      <c r="K212" s="6">
        <f t="shared" si="190"/>
        <v>116.27067469141933</v>
      </c>
      <c r="M212" s="2">
        <f>'rockfish harvests'!O211</f>
        <v>2530.7779402162978</v>
      </c>
      <c r="N212">
        <f>'rockfish harvests'!P211</f>
        <v>1462262.6943327789</v>
      </c>
      <c r="O212" s="32">
        <v>0.70942925999999995</v>
      </c>
      <c r="P212" s="32">
        <v>1.0326715E-2</v>
      </c>
      <c r="Q212" s="13">
        <f t="shared" si="185"/>
        <v>1795.4079213519722</v>
      </c>
      <c r="R212" s="2">
        <f t="shared" si="196"/>
        <v>817183.30480739579</v>
      </c>
      <c r="S212">
        <f t="shared" si="191"/>
        <v>903.98191619489592</v>
      </c>
      <c r="T212" s="6">
        <f t="shared" si="192"/>
        <v>1771.804555741996</v>
      </c>
      <c r="V212" s="13">
        <f t="shared" si="186"/>
        <v>9945.281928068971</v>
      </c>
      <c r="W212">
        <f t="shared" si="187"/>
        <v>820702.37753573759</v>
      </c>
      <c r="X212">
        <f t="shared" si="193"/>
        <v>905.92625391680622</v>
      </c>
      <c r="Y212" s="6">
        <f t="shared" si="194"/>
        <v>1775.6154576769402</v>
      </c>
      <c r="Z212" s="14">
        <f t="shared" si="220"/>
        <v>9.1091058098611954E-2</v>
      </c>
    </row>
    <row r="213" spans="1:26" x14ac:dyDescent="0.3">
      <c r="A213" t="str">
        <f>'rockfish harvests'!A212</f>
        <v>SC</v>
      </c>
      <c r="B213">
        <f>'rockfish harvests'!B212</f>
        <v>2008</v>
      </c>
      <c r="C213" t="str">
        <f>'rockfish harvests'!C212</f>
        <v>PWSO</v>
      </c>
      <c r="D213">
        <f>'rockfish harvests'!D212</f>
        <v>13387</v>
      </c>
      <c r="E213">
        <v>9818</v>
      </c>
      <c r="F213">
        <f>IF([1]species_comp_Region2_forR!$G341&gt;49,[1]species_comp_Region2_forR!$AD341,[1]species_comp_Region2_forR!$AF341)</f>
        <v>0.926579029</v>
      </c>
      <c r="G213">
        <f>IF([1]species_comp_Region2_forR!$G341&gt;49,[1]species_comp_Region2_forR!$AE341,[1]species_comp_Region2_forR!$AG341)</f>
        <v>1.895E-4</v>
      </c>
      <c r="H213" s="7">
        <f t="shared" si="188"/>
        <v>9097.1529067219999</v>
      </c>
      <c r="I213">
        <f t="shared" si="195"/>
        <v>18266.496997999999</v>
      </c>
      <c r="J213">
        <f t="shared" si="189"/>
        <v>135.15360519793765</v>
      </c>
      <c r="K213" s="6">
        <f t="shared" si="190"/>
        <v>264.90106618795778</v>
      </c>
      <c r="M213" s="2">
        <f>'rockfish harvests'!O212</f>
        <v>2777.4655095651397</v>
      </c>
      <c r="N213">
        <f>'rockfish harvests'!P212</f>
        <v>1761224.3005580062</v>
      </c>
      <c r="O213" s="32">
        <v>0.70942925999999995</v>
      </c>
      <c r="P213" s="32">
        <v>1.0326715E-2</v>
      </c>
      <c r="Q213" s="13">
        <f t="shared" si="185"/>
        <v>1970.4153011263197</v>
      </c>
      <c r="R213" s="2">
        <f t="shared" si="196"/>
        <v>984257.54826071323</v>
      </c>
      <c r="S213">
        <f t="shared" si="191"/>
        <v>992.09754977054206</v>
      </c>
      <c r="T213" s="6">
        <f t="shared" si="192"/>
        <v>1944.5111975502623</v>
      </c>
      <c r="V213" s="13">
        <f t="shared" si="186"/>
        <v>11067.568207848319</v>
      </c>
      <c r="W213">
        <f t="shared" si="187"/>
        <v>1002524.0452587132</v>
      </c>
      <c r="X213">
        <f t="shared" si="193"/>
        <v>1001.2612272822279</v>
      </c>
      <c r="Y213" s="6">
        <f t="shared" si="194"/>
        <v>1962.4720054731665</v>
      </c>
      <c r="Z213" s="14">
        <f t="shared" si="220"/>
        <v>9.0468042164150012E-2</v>
      </c>
    </row>
    <row r="214" spans="1:26" x14ac:dyDescent="0.3">
      <c r="A214" t="str">
        <f>'rockfish harvests'!A213</f>
        <v>SC</v>
      </c>
      <c r="B214">
        <f>'rockfish harvests'!B213</f>
        <v>2009</v>
      </c>
      <c r="C214" t="str">
        <f>'rockfish harvests'!C213</f>
        <v>PWSO</v>
      </c>
      <c r="D214">
        <f>'rockfish harvests'!D213</f>
        <v>13724</v>
      </c>
      <c r="E214">
        <v>10348</v>
      </c>
      <c r="F214">
        <f>IF([1]species_comp_Region2_forR!$G342&gt;49,[1]species_comp_Region2_forR!$AD342,[1]species_comp_Region2_forR!$AF342)</f>
        <v>0.82006284399999996</v>
      </c>
      <c r="G214">
        <f>IF([1]species_comp_Region2_forR!$G342&gt;49,[1]species_comp_Region2_forR!$AE342,[1]species_comp_Region2_forR!$AG342)</f>
        <v>1.8869500000000001E-4</v>
      </c>
      <c r="H214" s="7">
        <f t="shared" si="188"/>
        <v>8486.0103097119991</v>
      </c>
      <c r="I214">
        <f t="shared" si="195"/>
        <v>20205.66891928</v>
      </c>
      <c r="J214">
        <f t="shared" si="189"/>
        <v>142.14664582493671</v>
      </c>
      <c r="K214" s="6">
        <f t="shared" si="190"/>
        <v>278.60742581687595</v>
      </c>
      <c r="M214" s="2">
        <f>'rockfish harvests'!O213</f>
        <v>2847.384526277132</v>
      </c>
      <c r="N214">
        <f>'rockfish harvests'!P213</f>
        <v>1851013.392635928</v>
      </c>
      <c r="O214">
        <f>IF([1]species_comp_Region2_forR!$D369&gt;49,[1]species_comp_Region2_forR!$N369,[1]species_comp_Region2_forR!$P369)</f>
        <v>0.65525882800000002</v>
      </c>
      <c r="P214">
        <f>IF([1]species_comp_Region2_forR!$D369&gt;49,[1]species_comp_Region2_forR!$O369,[1]species_comp_Region2_forR!$Q369)</f>
        <v>2.2817649999999998E-3</v>
      </c>
      <c r="Q214" s="13">
        <f t="shared" si="185"/>
        <v>1865.7738475536887</v>
      </c>
      <c r="R214" s="2">
        <f t="shared" si="196"/>
        <v>817481.97042799357</v>
      </c>
      <c r="S214">
        <f t="shared" si="191"/>
        <v>904.1470955701808</v>
      </c>
      <c r="T214" s="6">
        <f t="shared" si="192"/>
        <v>1772.1283073175543</v>
      </c>
      <c r="V214" s="13">
        <f t="shared" si="186"/>
        <v>10351.784157265687</v>
      </c>
      <c r="W214">
        <f t="shared" si="187"/>
        <v>837687.63934727362</v>
      </c>
      <c r="X214">
        <f t="shared" si="193"/>
        <v>915.2527734715004</v>
      </c>
      <c r="Y214" s="6">
        <f t="shared" si="194"/>
        <v>1793.8954360041407</v>
      </c>
      <c r="Z214" s="14">
        <f t="shared" si="220"/>
        <v>8.8414978477802289E-2</v>
      </c>
    </row>
    <row r="215" spans="1:26" x14ac:dyDescent="0.3">
      <c r="A215" t="str">
        <f>'rockfish harvests'!A214</f>
        <v>SC</v>
      </c>
      <c r="B215">
        <f>'rockfish harvests'!B214</f>
        <v>2010</v>
      </c>
      <c r="C215" t="str">
        <f>'rockfish harvests'!C214</f>
        <v>PWSO</v>
      </c>
      <c r="D215">
        <f>'rockfish harvests'!D214</f>
        <v>13038</v>
      </c>
      <c r="E215">
        <v>8515</v>
      </c>
      <c r="F215">
        <f>IF([1]species_comp_Region2_forR!$G343&gt;49,[1]species_comp_Region2_forR!$AD343,[1]species_comp_Region2_forR!$AF343)</f>
        <v>0.89574330099999999</v>
      </c>
      <c r="G215">
        <f>IF([1]species_comp_Region2_forR!$G343&gt;49,[1]species_comp_Region2_forR!$AE343,[1]species_comp_Region2_forR!$AG343)</f>
        <v>2.0083300000000001E-4</v>
      </c>
      <c r="H215" s="7">
        <f t="shared" si="188"/>
        <v>7627.2542080149997</v>
      </c>
      <c r="I215">
        <f t="shared" si="195"/>
        <v>14561.441852425001</v>
      </c>
      <c r="J215">
        <f t="shared" si="189"/>
        <v>120.67079950188861</v>
      </c>
      <c r="K215" s="6">
        <f t="shared" si="190"/>
        <v>236.51476702370167</v>
      </c>
      <c r="M215" s="2">
        <f>'rockfish harvests'!O214</f>
        <v>2705.0567949286833</v>
      </c>
      <c r="N215">
        <f>'rockfish harvests'!P214</f>
        <v>1670590.8394394808</v>
      </c>
      <c r="O215">
        <f>IF([1]species_comp_Region2_forR!$D370&gt;49,[1]species_comp_Region2_forR!$N370,[1]species_comp_Region2_forR!$P370)</f>
        <v>0.71079927399999998</v>
      </c>
      <c r="P215">
        <f>IF([1]species_comp_Region2_forR!$D370&gt;49,[1]species_comp_Region2_forR!$O370,[1]species_comp_Region2_forR!$Q370)</f>
        <v>2.0153300000000001E-3</v>
      </c>
      <c r="Q215" s="13">
        <f t="shared" si="185"/>
        <v>1922.752405964075</v>
      </c>
      <c r="R215" s="2">
        <f t="shared" si="196"/>
        <v>862155.60941562802</v>
      </c>
      <c r="S215">
        <f t="shared" si="191"/>
        <v>928.52334888016037</v>
      </c>
      <c r="T215" s="6">
        <f t="shared" si="192"/>
        <v>1819.9057638051142</v>
      </c>
      <c r="V215" s="13">
        <f t="shared" si="186"/>
        <v>9550.0066139790742</v>
      </c>
      <c r="W215">
        <f t="shared" si="187"/>
        <v>876717.05126805301</v>
      </c>
      <c r="X215">
        <f t="shared" si="193"/>
        <v>936.33169938225046</v>
      </c>
      <c r="Y215" s="6">
        <f t="shared" si="194"/>
        <v>1835.2101307892108</v>
      </c>
      <c r="Z215" s="14">
        <f t="shared" si="220"/>
        <v>9.8045136221337301E-2</v>
      </c>
    </row>
    <row r="216" spans="1:26" x14ac:dyDescent="0.3">
      <c r="A216" t="str">
        <f>'rockfish harvests'!A215</f>
        <v>SC</v>
      </c>
      <c r="B216">
        <f>'rockfish harvests'!B215</f>
        <v>2011</v>
      </c>
      <c r="C216" t="str">
        <f>'rockfish harvests'!C215</f>
        <v>PWSO</v>
      </c>
      <c r="D216">
        <f>'rockfish harvests'!D215</f>
        <v>15590</v>
      </c>
      <c r="E216">
        <v>11330</v>
      </c>
      <c r="F216">
        <f>IF([1]species_comp_Region2_forR!$G344&gt;49,[1]species_comp_Region2_forR!$AD344,[1]species_comp_Region2_forR!$AF344)</f>
        <v>0.92510807900000003</v>
      </c>
      <c r="G216">
        <f>IF([1]species_comp_Region2_forR!$G344&gt;49,[1]species_comp_Region2_forR!$AE344,[1]species_comp_Region2_forR!$AG344)</f>
        <v>1.2574099999999999E-4</v>
      </c>
      <c r="H216" s="7">
        <f t="shared" si="188"/>
        <v>10481.47453507</v>
      </c>
      <c r="I216">
        <f t="shared" si="195"/>
        <v>16141.233854899998</v>
      </c>
      <c r="J216">
        <f t="shared" si="189"/>
        <v>127.04815565327975</v>
      </c>
      <c r="K216" s="6">
        <f t="shared" si="190"/>
        <v>249.0143850804283</v>
      </c>
      <c r="M216" s="2">
        <f>'rockfish harvests'!O215</f>
        <v>3693.2731282159002</v>
      </c>
      <c r="N216">
        <f>'rockfish harvests'!P215</f>
        <v>1342172.6209808656</v>
      </c>
      <c r="O216">
        <f>IF([1]species_comp_Region2_forR!$D371&gt;49,[1]species_comp_Region2_forR!$N371,[1]species_comp_Region2_forR!$P371)</f>
        <v>0.820387388</v>
      </c>
      <c r="P216">
        <f>IF([1]species_comp_Region2_forR!$D371&gt;49,[1]species_comp_Region2_forR!$O371,[1]species_comp_Region2_forR!$Q371)</f>
        <v>1.067768E-3</v>
      </c>
      <c r="Q216" s="13">
        <f t="shared" si="185"/>
        <v>3029.9146948276316</v>
      </c>
      <c r="R216" s="2">
        <f t="shared" si="196"/>
        <v>919327.54488515353</v>
      </c>
      <c r="S216">
        <f t="shared" si="191"/>
        <v>958.81569912322232</v>
      </c>
      <c r="T216" s="6">
        <f t="shared" si="192"/>
        <v>1879.2787702815158</v>
      </c>
      <c r="V216" s="13">
        <f t="shared" si="186"/>
        <v>13511.389229897632</v>
      </c>
      <c r="W216">
        <f t="shared" si="187"/>
        <v>935468.77874005353</v>
      </c>
      <c r="X216">
        <f t="shared" si="193"/>
        <v>967.19634963126987</v>
      </c>
      <c r="Y216" s="6">
        <f t="shared" si="194"/>
        <v>1895.704845277289</v>
      </c>
      <c r="Z216" s="14">
        <f t="shared" si="220"/>
        <v>7.1583782627702292E-2</v>
      </c>
    </row>
    <row r="217" spans="1:26" x14ac:dyDescent="0.3">
      <c r="A217" t="str">
        <f>'rockfish harvests'!A216</f>
        <v>SC</v>
      </c>
      <c r="B217">
        <f>'rockfish harvests'!B216</f>
        <v>2012</v>
      </c>
      <c r="C217" t="str">
        <f>'rockfish harvests'!C216</f>
        <v>PWSO</v>
      </c>
      <c r="D217">
        <f>'rockfish harvests'!D216</f>
        <v>16566</v>
      </c>
      <c r="E217">
        <v>11401</v>
      </c>
      <c r="F217">
        <f>IF([1]species_comp_Region2_forR!$G345&gt;49,[1]species_comp_Region2_forR!$AD345,[1]species_comp_Region2_forR!$AF345)</f>
        <v>0.83521020599999996</v>
      </c>
      <c r="G217">
        <f>IF([1]species_comp_Region2_forR!$G345&gt;49,[1]species_comp_Region2_forR!$AE345,[1]species_comp_Region2_forR!$AG345)</f>
        <v>2.4446599999999999E-4</v>
      </c>
      <c r="H217" s="7">
        <f t="shared" si="188"/>
        <v>9522.2315586059995</v>
      </c>
      <c r="I217">
        <f t="shared" si="195"/>
        <v>31776.375429265998</v>
      </c>
      <c r="J217">
        <f t="shared" si="189"/>
        <v>178.25929268699008</v>
      </c>
      <c r="K217" s="6">
        <f t="shared" si="190"/>
        <v>349.38821366650058</v>
      </c>
      <c r="M217" s="2">
        <f>'rockfish harvests'!O216</f>
        <v>2004.0431802604508</v>
      </c>
      <c r="N217">
        <f>'rockfish harvests'!P216</f>
        <v>375586.44375818601</v>
      </c>
      <c r="O217">
        <f>IF([1]species_comp_Region2_forR!$D372&gt;49,[1]species_comp_Region2_forR!$N372,[1]species_comp_Region2_forR!$P372)</f>
        <v>0.72013129799999998</v>
      </c>
      <c r="P217">
        <f>IF([1]species_comp_Region2_forR!$D372&gt;49,[1]species_comp_Region2_forR!$O372,[1]species_comp_Region2_forR!$Q372)</f>
        <v>7.1979399999999995E-4</v>
      </c>
      <c r="Q217" s="13">
        <f t="shared" si="185"/>
        <v>1443.1742166490064</v>
      </c>
      <c r="R217" s="2">
        <f t="shared" si="196"/>
        <v>197936.20438040677</v>
      </c>
      <c r="S217">
        <f t="shared" si="191"/>
        <v>444.9002184539886</v>
      </c>
      <c r="T217" s="6">
        <f t="shared" si="192"/>
        <v>872.00442816981763</v>
      </c>
      <c r="V217" s="13">
        <f t="shared" si="186"/>
        <v>10965.405775255005</v>
      </c>
      <c r="W217">
        <f t="shared" si="187"/>
        <v>229712.57980967275</v>
      </c>
      <c r="X217">
        <f t="shared" si="193"/>
        <v>479.28340239327372</v>
      </c>
      <c r="Y217" s="6">
        <f t="shared" si="194"/>
        <v>939.39546869081641</v>
      </c>
      <c r="Z217" s="14">
        <f t="shared" si="220"/>
        <v>4.3708679114715918E-2</v>
      </c>
    </row>
    <row r="218" spans="1:26" x14ac:dyDescent="0.3">
      <c r="A218" t="str">
        <f>'rockfish harvests'!A217</f>
        <v>SC</v>
      </c>
      <c r="B218">
        <f>'rockfish harvests'!B217</f>
        <v>2013</v>
      </c>
      <c r="C218" t="str">
        <f>'rockfish harvests'!C217</f>
        <v>PWSO</v>
      </c>
      <c r="D218">
        <f>'rockfish harvests'!D217</f>
        <v>19818</v>
      </c>
      <c r="E218">
        <v>14223</v>
      </c>
      <c r="F218">
        <f>IF([1]species_comp_Region2_forR!$G346&gt;49,[1]species_comp_Region2_forR!$AD346,[1]species_comp_Region2_forR!$AF346)</f>
        <v>0.70982587200000002</v>
      </c>
      <c r="G218">
        <f>IF([1]species_comp_Region2_forR!$G346&gt;49,[1]species_comp_Region2_forR!$AE346,[1]species_comp_Region2_forR!$AG346)</f>
        <v>3.4617300000000002E-4</v>
      </c>
      <c r="H218" s="7">
        <f t="shared" si="188"/>
        <v>10095.853377456</v>
      </c>
      <c r="I218">
        <f t="shared" si="195"/>
        <v>70028.627049117</v>
      </c>
      <c r="J218">
        <f t="shared" si="189"/>
        <v>264.62922561409766</v>
      </c>
      <c r="K218" s="6">
        <f t="shared" si="190"/>
        <v>518.6732822036314</v>
      </c>
      <c r="M218" s="2">
        <f>'rockfish harvests'!O217</f>
        <v>6885.7645042839649</v>
      </c>
      <c r="N218">
        <f>'rockfish harvests'!P217</f>
        <v>4343369.567205376</v>
      </c>
      <c r="O218">
        <f>IF([1]species_comp_Region2_forR!$D373&gt;49,[1]species_comp_Region2_forR!$N373,[1]species_comp_Region2_forR!$P373)</f>
        <v>0.59766794000000001</v>
      </c>
      <c r="P218">
        <f>IF([1]species_comp_Region2_forR!$D373&gt;49,[1]species_comp_Region2_forR!$O373,[1]species_comp_Region2_forR!$Q373)</f>
        <v>7.3760999999999998E-4</v>
      </c>
      <c r="Q218" s="13">
        <f t="shared" si="185"/>
        <v>4115.4006866005184</v>
      </c>
      <c r="R218" s="2">
        <f t="shared" si="196"/>
        <v>1589658.4385420568</v>
      </c>
      <c r="S218">
        <f t="shared" si="191"/>
        <v>1260.8165760895026</v>
      </c>
      <c r="T218" s="6">
        <f t="shared" si="192"/>
        <v>2471.200489135425</v>
      </c>
      <c r="V218" s="13">
        <f t="shared" si="186"/>
        <v>14211.254064056518</v>
      </c>
      <c r="W218">
        <f t="shared" si="187"/>
        <v>1659687.0655911737</v>
      </c>
      <c r="X218">
        <f t="shared" si="193"/>
        <v>1288.2884248456064</v>
      </c>
      <c r="Y218" s="6">
        <f t="shared" si="194"/>
        <v>2525.0453126973885</v>
      </c>
      <c r="Z218" s="14">
        <f t="shared" si="220"/>
        <v>9.0652691102327113E-2</v>
      </c>
    </row>
    <row r="219" spans="1:26" x14ac:dyDescent="0.3">
      <c r="A219" t="str">
        <f>'rockfish harvests'!A218</f>
        <v>SC</v>
      </c>
      <c r="B219">
        <f>'rockfish harvests'!B218</f>
        <v>2014</v>
      </c>
      <c r="C219" t="str">
        <f>'rockfish harvests'!C218</f>
        <v>PWSO</v>
      </c>
      <c r="D219">
        <f>'rockfish harvests'!D218</f>
        <v>21309</v>
      </c>
      <c r="E219">
        <v>15752</v>
      </c>
      <c r="F219">
        <f>IF([1]species_comp_Region2_forR!$G347&gt;49,[1]species_comp_Region2_forR!$AD347,[1]species_comp_Region2_forR!$AF347)</f>
        <v>0.75754714099999998</v>
      </c>
      <c r="G219">
        <f>IF([1]species_comp_Region2_forR!$G347&gt;49,[1]species_comp_Region2_forR!$AE347,[1]species_comp_Region2_forR!$AG347)</f>
        <v>1.8837899999999999E-4</v>
      </c>
      <c r="H219" s="7">
        <f t="shared" si="188"/>
        <v>11932.882565032</v>
      </c>
      <c r="I219">
        <f t="shared" si="195"/>
        <v>46741.634318015997</v>
      </c>
      <c r="J219">
        <f t="shared" si="189"/>
        <v>216.19813671263682</v>
      </c>
      <c r="K219" s="6">
        <f t="shared" si="190"/>
        <v>423.74834795676816</v>
      </c>
      <c r="M219" s="2">
        <f>'rockfish harvests'!O218</f>
        <v>7356.7256448320622</v>
      </c>
      <c r="N219">
        <f>'rockfish harvests'!P218</f>
        <v>3862984.9469756186</v>
      </c>
      <c r="O219">
        <f>IF([1]species_comp_Region2_forR!$D374&gt;49,[1]species_comp_Region2_forR!$N374,[1]species_comp_Region2_forR!$P374)</f>
        <v>0.74516604200000003</v>
      </c>
      <c r="P219">
        <f>IF([1]species_comp_Region2_forR!$D374&gt;49,[1]species_comp_Region2_forR!$O374,[1]species_comp_Region2_forR!$Q374)</f>
        <v>7.1121200000000002E-4</v>
      </c>
      <c r="Q219" s="13">
        <f t="shared" si="185"/>
        <v>5481.9821308394057</v>
      </c>
      <c r="R219" s="2">
        <f t="shared" si="196"/>
        <v>2186248.2382129864</v>
      </c>
      <c r="S219">
        <f t="shared" si="191"/>
        <v>1478.5967124990459</v>
      </c>
      <c r="T219" s="6">
        <f t="shared" si="192"/>
        <v>2898.0495564981297</v>
      </c>
      <c r="V219" s="13">
        <f t="shared" si="186"/>
        <v>17414.864695871405</v>
      </c>
      <c r="W219">
        <f t="shared" si="187"/>
        <v>2232989.8725310024</v>
      </c>
      <c r="X219">
        <f t="shared" si="193"/>
        <v>1494.319200348775</v>
      </c>
      <c r="Y219" s="6">
        <f t="shared" si="194"/>
        <v>2928.865632683599</v>
      </c>
      <c r="Z219" s="14">
        <f t="shared" si="220"/>
        <v>8.5807109411710658E-2</v>
      </c>
    </row>
    <row r="220" spans="1:26" x14ac:dyDescent="0.3">
      <c r="A220" t="str">
        <f>'rockfish harvests'!A219</f>
        <v>SC</v>
      </c>
      <c r="B220">
        <f>'rockfish harvests'!B219</f>
        <v>2015</v>
      </c>
      <c r="C220" t="str">
        <f>'rockfish harvests'!C219</f>
        <v>PWSO</v>
      </c>
      <c r="D220">
        <f>'rockfish harvests'!D219</f>
        <v>24516</v>
      </c>
      <c r="E220">
        <v>18386</v>
      </c>
      <c r="F220">
        <f>IF([1]species_comp_Region2_forR!$G348&gt;49,[1]species_comp_Region2_forR!$AD348,[1]species_comp_Region2_forR!$AF348)</f>
        <v>0.69841151400000001</v>
      </c>
      <c r="G220">
        <f>IF([1]species_comp_Region2_forR!$G348&gt;49,[1]species_comp_Region2_forR!$AE348,[1]species_comp_Region2_forR!$AG348)</f>
        <v>2.3377700000000001E-4</v>
      </c>
      <c r="H220" s="7">
        <f t="shared" si="188"/>
        <v>12840.994096404</v>
      </c>
      <c r="I220">
        <f t="shared" si="195"/>
        <v>79027.14502989201</v>
      </c>
      <c r="J220">
        <f t="shared" si="189"/>
        <v>281.11767114482865</v>
      </c>
      <c r="K220" s="6">
        <f t="shared" si="190"/>
        <v>550.99063544386411</v>
      </c>
      <c r="M220" s="2">
        <f>'rockfish harvests'!O219</f>
        <v>2612.963774691143</v>
      </c>
      <c r="N220">
        <f>'rockfish harvests'!P219</f>
        <v>501421.42786728247</v>
      </c>
      <c r="O220">
        <f>IF([1]species_comp_Region2_forR!$D375&gt;49,[1]species_comp_Region2_forR!$N375,[1]species_comp_Region2_forR!$P375)</f>
        <v>0.73094164299999997</v>
      </c>
      <c r="P220">
        <f>IF([1]species_comp_Region2_forR!$D375&gt;49,[1]species_comp_Region2_forR!$O375,[1]species_comp_Region2_forR!$Q375)</f>
        <v>9.8332999999999992E-4</v>
      </c>
      <c r="Q220" s="13">
        <f t="shared" si="185"/>
        <v>1909.9240345722258</v>
      </c>
      <c r="R220" s="2">
        <f t="shared" si="196"/>
        <v>275104.10375102685</v>
      </c>
      <c r="S220">
        <f t="shared" si="191"/>
        <v>524.50367372500534</v>
      </c>
      <c r="T220" s="6">
        <f t="shared" si="192"/>
        <v>1028.0272005010104</v>
      </c>
      <c r="V220" s="13">
        <f t="shared" si="186"/>
        <v>14750.918130976226</v>
      </c>
      <c r="W220">
        <f t="shared" si="187"/>
        <v>354131.24878091889</v>
      </c>
      <c r="X220">
        <f t="shared" si="193"/>
        <v>595.08927799189837</v>
      </c>
      <c r="Y220" s="6">
        <f t="shared" si="194"/>
        <v>1166.3749848641207</v>
      </c>
      <c r="Z220" s="14">
        <f t="shared" si="220"/>
        <v>4.0342524628500187E-2</v>
      </c>
    </row>
    <row r="221" spans="1:26" x14ac:dyDescent="0.3">
      <c r="A221" t="str">
        <f>'rockfish harvests'!A220</f>
        <v>SC</v>
      </c>
      <c r="B221">
        <f>'rockfish harvests'!B220</f>
        <v>2016</v>
      </c>
      <c r="C221" t="str">
        <f>'rockfish harvests'!C220</f>
        <v>PWSO</v>
      </c>
      <c r="D221">
        <f>'rockfish harvests'!D220</f>
        <v>29349</v>
      </c>
      <c r="E221">
        <v>21660</v>
      </c>
      <c r="F221">
        <f>IF([1]species_comp_Region2_forR!$G349&gt;49,[1]species_comp_Region2_forR!$AD349,[1]species_comp_Region2_forR!$AF349)</f>
        <v>0.85681116099999999</v>
      </c>
      <c r="G221">
        <f>IF([1]species_comp_Region2_forR!$G349&gt;49,[1]species_comp_Region2_forR!$AE349,[1]species_comp_Region2_forR!$AG349)</f>
        <v>1.48171E-4</v>
      </c>
      <c r="H221" s="7">
        <f t="shared" si="188"/>
        <v>18558.52974726</v>
      </c>
      <c r="I221">
        <f t="shared" si="195"/>
        <v>69515.254407600005</v>
      </c>
      <c r="J221">
        <f t="shared" si="189"/>
        <v>263.65745657500378</v>
      </c>
      <c r="K221" s="6">
        <f t="shared" si="190"/>
        <v>516.7686148870074</v>
      </c>
      <c r="M221" s="2">
        <f>'rockfish harvests'!O220</f>
        <v>3728.736072598942</v>
      </c>
      <c r="N221">
        <f>'rockfish harvests'!P220</f>
        <v>690520.60458105023</v>
      </c>
      <c r="O221">
        <f>IF([1]species_comp_Region2_forR!$D376&gt;49,[1]species_comp_Region2_forR!$N376,[1]species_comp_Region2_forR!$P376)</f>
        <v>0.52053716800000005</v>
      </c>
      <c r="P221">
        <f>IF([1]species_comp_Region2_forR!$D376&gt;49,[1]species_comp_Region2_forR!$O376,[1]species_comp_Region2_forR!$Q376)</f>
        <v>1.1242260000000001E-3</v>
      </c>
      <c r="Q221" s="13">
        <f t="shared" si="185"/>
        <v>1940.9457154500958</v>
      </c>
      <c r="R221" s="2">
        <f t="shared" si="196"/>
        <v>203509.68003889502</v>
      </c>
      <c r="S221">
        <f t="shared" si="191"/>
        <v>451.12047175770579</v>
      </c>
      <c r="T221" s="6">
        <f t="shared" si="192"/>
        <v>884.19612464510328</v>
      </c>
      <c r="V221" s="13">
        <f t="shared" si="186"/>
        <v>20499.475462710096</v>
      </c>
      <c r="W221">
        <f t="shared" si="187"/>
        <v>273024.93444649503</v>
      </c>
      <c r="X221">
        <f t="shared" si="193"/>
        <v>522.51787954719316</v>
      </c>
      <c r="Y221" s="6">
        <f t="shared" si="194"/>
        <v>1024.1350439124985</v>
      </c>
      <c r="Z221" s="14">
        <f t="shared" si="220"/>
        <v>2.5489329251262443E-2</v>
      </c>
    </row>
    <row r="222" spans="1:26" x14ac:dyDescent="0.3">
      <c r="A222" t="str">
        <f>'rockfish harvests'!A221</f>
        <v>SC</v>
      </c>
      <c r="B222">
        <f>'rockfish harvests'!B221</f>
        <v>2017</v>
      </c>
      <c r="C222" t="str">
        <f>'rockfish harvests'!C221</f>
        <v>PWSO</v>
      </c>
      <c r="D222">
        <f>'rockfish harvests'!D221</f>
        <v>28647</v>
      </c>
      <c r="E222">
        <v>20918</v>
      </c>
      <c r="F222">
        <f>IF([1]species_comp_Region2_forR!$G350&gt;49,[1]species_comp_Region2_forR!$AD350,[1]species_comp_Region2_forR!$AF350)</f>
        <v>0.86899805100000005</v>
      </c>
      <c r="G222">
        <f>IF([1]species_comp_Region2_forR!$G350&gt;49,[1]species_comp_Region2_forR!$AE350,[1]species_comp_Region2_forR!$AG350)</f>
        <v>1.7871299999999999E-4</v>
      </c>
      <c r="H222" s="7">
        <f t="shared" si="188"/>
        <v>18177.701230818002</v>
      </c>
      <c r="I222">
        <f t="shared" si="195"/>
        <v>78198.147094211992</v>
      </c>
      <c r="J222">
        <f t="shared" si="189"/>
        <v>279.639316073781</v>
      </c>
      <c r="K222" s="6">
        <f t="shared" si="190"/>
        <v>548.09305950461078</v>
      </c>
      <c r="M222" s="2">
        <f>'rockfish harvests'!O221</f>
        <v>7308.8621616433084</v>
      </c>
      <c r="N222">
        <f>'rockfish harvests'!P221</f>
        <v>5936209.9806912215</v>
      </c>
      <c r="O222">
        <f>IF([1]species_comp_Region2_forR!$D377&gt;49,[1]species_comp_Region2_forR!$N377,[1]species_comp_Region2_forR!$P377)</f>
        <v>0.68874964000000005</v>
      </c>
      <c r="P222">
        <f>IF([1]species_comp_Region2_forR!$D377&gt;49,[1]species_comp_Region2_forR!$O377,[1]species_comp_Region2_forR!$Q377)</f>
        <v>1.5422560000000001E-3</v>
      </c>
      <c r="Q222" s="13">
        <f t="shared" si="185"/>
        <v>5033.9761826414506</v>
      </c>
      <c r="R222" s="2">
        <f t="shared" si="196"/>
        <v>2907537.5887189992</v>
      </c>
      <c r="S222">
        <f t="shared" si="191"/>
        <v>1705.1503126466591</v>
      </c>
      <c r="T222" s="6">
        <f t="shared" si="192"/>
        <v>3342.0946127874518</v>
      </c>
      <c r="V222" s="13">
        <f t="shared" si="186"/>
        <v>23211.677413459453</v>
      </c>
      <c r="W222">
        <f t="shared" si="187"/>
        <v>2985735.7358132112</v>
      </c>
      <c r="X222">
        <f t="shared" si="193"/>
        <v>1727.9281628045801</v>
      </c>
      <c r="Y222" s="6">
        <f t="shared" si="194"/>
        <v>3386.7391990969768</v>
      </c>
      <c r="Z222" s="14">
        <f t="shared" si="220"/>
        <v>7.4442192695760495E-2</v>
      </c>
    </row>
    <row r="223" spans="1:26" x14ac:dyDescent="0.3">
      <c r="A223" t="str">
        <f>'rockfish harvests'!A222</f>
        <v>SC</v>
      </c>
      <c r="B223">
        <f>'rockfish harvests'!B222</f>
        <v>2018</v>
      </c>
      <c r="C223" t="str">
        <f>'rockfish harvests'!C222</f>
        <v>PWSO</v>
      </c>
      <c r="D223">
        <f>'rockfish harvests'!D222</f>
        <v>27142</v>
      </c>
      <c r="E223">
        <v>21809</v>
      </c>
      <c r="F223">
        <f>IF([1]species_comp_Region2_forR!$G351&gt;49,[1]species_comp_Region2_forR!$AD351,[1]species_comp_Region2_forR!$AF351)</f>
        <v>0.87260955100000004</v>
      </c>
      <c r="G223">
        <f>IF([1]species_comp_Region2_forR!$G351&gt;49,[1]species_comp_Region2_forR!$AE351,[1]species_comp_Region2_forR!$AG351)</f>
        <v>1.7423499999999999E-4</v>
      </c>
      <c r="H223" s="7">
        <f t="shared" si="188"/>
        <v>19030.741697759</v>
      </c>
      <c r="I223">
        <f t="shared" si="195"/>
        <v>82871.825327034996</v>
      </c>
      <c r="J223">
        <f t="shared" si="189"/>
        <v>287.87466947794314</v>
      </c>
      <c r="K223" s="6">
        <f t="shared" si="190"/>
        <v>564.23435217676854</v>
      </c>
      <c r="M223" s="2">
        <f>'rockfish harvests'!O222</f>
        <v>4727.7448574203227</v>
      </c>
      <c r="N223">
        <f>'rockfish harvests'!P222</f>
        <v>2237274.0611776323</v>
      </c>
      <c r="O223">
        <f>IF([1]species_comp_Region2_forR!$D378&gt;49,[1]species_comp_Region2_forR!$N378,[1]species_comp_Region2_forR!$P378)</f>
        <v>0.63329915599999997</v>
      </c>
      <c r="P223">
        <f>IF([1]species_comp_Region2_forR!$D378&gt;49,[1]species_comp_Region2_forR!$O378,[1]species_comp_Region2_forR!$Q378)</f>
        <v>2.0734939999999999E-3</v>
      </c>
      <c r="Q223" s="13">
        <f t="shared" si="185"/>
        <v>2994.0768279876306</v>
      </c>
      <c r="R223" s="2">
        <f t="shared" si="196"/>
        <v>948283.45628177654</v>
      </c>
      <c r="S223">
        <f t="shared" si="191"/>
        <v>973.7984680013501</v>
      </c>
      <c r="T223" s="6">
        <f t="shared" si="192"/>
        <v>1908.6449972826463</v>
      </c>
      <c r="V223" s="13">
        <f t="shared" si="186"/>
        <v>22024.818525746632</v>
      </c>
      <c r="W223">
        <f t="shared" si="187"/>
        <v>1031155.2816088116</v>
      </c>
      <c r="X223">
        <f t="shared" si="193"/>
        <v>1015.4581633966077</v>
      </c>
      <c r="Y223" s="6">
        <f t="shared" si="194"/>
        <v>1990.2980002573511</v>
      </c>
      <c r="Z223" s="14">
        <f t="shared" si="220"/>
        <v>4.610517731211064E-2</v>
      </c>
    </row>
    <row r="224" spans="1:26" x14ac:dyDescent="0.3">
      <c r="A224" t="str">
        <f>'rockfish harvests'!A223</f>
        <v>SC</v>
      </c>
      <c r="B224">
        <f>'rockfish harvests'!B223</f>
        <v>2019</v>
      </c>
      <c r="C224" t="str">
        <f>'rockfish harvests'!C223</f>
        <v>PWSO</v>
      </c>
      <c r="D224">
        <f>'rockfish harvests'!D223</f>
        <v>33682</v>
      </c>
      <c r="E224">
        <v>26059</v>
      </c>
      <c r="F224">
        <f>IF([1]species_comp_Region2_forR!$G352&gt;49,[1]species_comp_Region2_forR!$AD352,[1]species_comp_Region2_forR!$AF352)</f>
        <v>0.79008593699999996</v>
      </c>
      <c r="G224">
        <f>IF([1]species_comp_Region2_forR!$G352&gt;49,[1]species_comp_Region2_forR!$AE352,[1]species_comp_Region2_forR!$AG352)</f>
        <v>1.7513199999999999E-4</v>
      </c>
      <c r="H224" s="7">
        <f>E224*F224</f>
        <v>20588.849432282997</v>
      </c>
      <c r="I224">
        <f>(E224^2)*G224</f>
        <v>118927.146610492</v>
      </c>
      <c r="J224">
        <f>SQRT(I224)</f>
        <v>344.85815433376661</v>
      </c>
      <c r="K224" s="6">
        <f>(1.96*J224)</f>
        <v>675.92198249418254</v>
      </c>
      <c r="M224" s="2">
        <f>'rockfish harvests'!O223</f>
        <v>6995.3520303194382</v>
      </c>
      <c r="N224">
        <f>'rockfish harvests'!P223</f>
        <v>5326815.9562128652</v>
      </c>
      <c r="O224">
        <f>IF([1]species_comp_Region2_forR!$D379&gt;49,[1]species_comp_Region2_forR!$N379,[1]species_comp_Region2_forR!$P379)</f>
        <v>0.57068481599999998</v>
      </c>
      <c r="P224">
        <f>IF([1]species_comp_Region2_forR!$D379&gt;49,[1]species_comp_Region2_forR!$O379,[1]species_comp_Region2_forR!$Q379)</f>
        <v>1.0000149999999999E-3</v>
      </c>
      <c r="Q224" s="13">
        <f t="shared" ref="Q224:Q232" si="221">M224*O224</f>
        <v>3992.1411862780751</v>
      </c>
      <c r="R224" s="2">
        <f t="shared" si="196"/>
        <v>1789106.1754442619</v>
      </c>
      <c r="S224">
        <f>SQRT(R224)</f>
        <v>1337.574736395788</v>
      </c>
      <c r="T224" s="6">
        <f>(1.96*S224)</f>
        <v>2621.6464833357445</v>
      </c>
      <c r="V224" s="13">
        <f>Q224+H224</f>
        <v>24580.990618561074</v>
      </c>
      <c r="W224">
        <f>R224+I224</f>
        <v>1908033.3220547538</v>
      </c>
      <c r="X224">
        <f>SQRT(W224)</f>
        <v>1381.3157937469455</v>
      </c>
      <c r="Y224" s="6">
        <f>(1.96*X224)</f>
        <v>2707.3789557440132</v>
      </c>
      <c r="Z224" s="14">
        <f t="shared" si="220"/>
        <v>5.619447219120273E-2</v>
      </c>
    </row>
    <row r="225" spans="1:26" x14ac:dyDescent="0.3">
      <c r="A225" t="str">
        <f>'rockfish harvests'!A224</f>
        <v>SC</v>
      </c>
      <c r="B225">
        <f>'rockfish harvests'!B224</f>
        <v>2020</v>
      </c>
      <c r="C225" t="str">
        <f>'rockfish harvests'!C224</f>
        <v>PWSO</v>
      </c>
      <c r="D225">
        <f>'rockfish harvests'!D224</f>
        <v>29279</v>
      </c>
      <c r="E225">
        <v>23828</v>
      </c>
      <c r="F225">
        <v>0.90149758026512539</v>
      </c>
      <c r="G225">
        <v>8.5962916787269311E-5</v>
      </c>
      <c r="H225" s="7">
        <f t="shared" ref="H225:H226" si="222">E225*F225</f>
        <v>21480.884342557409</v>
      </c>
      <c r="I225">
        <f t="shared" ref="I225:I226" si="223">(E225^2)*G225</f>
        <v>48807.473355401664</v>
      </c>
      <c r="J225">
        <f t="shared" ref="J225:J226" si="224">SQRT(I225)</f>
        <v>220.92413484135602</v>
      </c>
      <c r="K225" s="6">
        <f t="shared" ref="K225:K226" si="225">(1.96*J225)</f>
        <v>433.01130428905782</v>
      </c>
      <c r="M225" s="2">
        <f>'rockfish harvests'!O224</f>
        <v>6546.1019423978578</v>
      </c>
      <c r="N225">
        <f>'rockfish harvests'!P224</f>
        <v>3018032.5104616564</v>
      </c>
      <c r="O225">
        <v>0.54515706006409503</v>
      </c>
      <c r="P225">
        <v>1.4169190852935298E-3</v>
      </c>
      <c r="Q225" s="13">
        <f t="shared" si="221"/>
        <v>3568.6536897974779</v>
      </c>
      <c r="R225" s="2">
        <f t="shared" si="196"/>
        <v>961941.20047079504</v>
      </c>
      <c r="S225">
        <f t="shared" ref="S225:S226" si="226">SQRT(R225)</f>
        <v>980.78601155950173</v>
      </c>
      <c r="T225" s="6">
        <f t="shared" ref="T225:T226" si="227">(1.96*S225)</f>
        <v>1922.3405826566234</v>
      </c>
      <c r="V225" s="13">
        <f t="shared" ref="V225:V226" si="228">Q225+H225</f>
        <v>25049.538032354885</v>
      </c>
      <c r="W225">
        <f t="shared" ref="W225:W226" si="229">R225+I225</f>
        <v>1010748.6738261967</v>
      </c>
      <c r="X225">
        <f t="shared" ref="X225:X226" si="230">SQRT(W225)</f>
        <v>1005.3599722617748</v>
      </c>
      <c r="Y225" s="6">
        <f t="shared" ref="Y225:Y226" si="231">(1.96*X225)</f>
        <v>1970.5055456330786</v>
      </c>
      <c r="Z225" s="14">
        <f t="shared" ref="Z225:Z226" si="232">X225/V225</f>
        <v>4.0134870789362093E-2</v>
      </c>
    </row>
    <row r="226" spans="1:26" x14ac:dyDescent="0.3">
      <c r="A226" t="str">
        <f>'rockfish harvests'!A225</f>
        <v>SC</v>
      </c>
      <c r="B226">
        <f>'rockfish harvests'!B225</f>
        <v>2021</v>
      </c>
      <c r="C226" t="str">
        <f>'rockfish harvests'!C225</f>
        <v>PWSO</v>
      </c>
      <c r="D226">
        <f>'rockfish harvests'!D225</f>
        <v>38638</v>
      </c>
      <c r="E226">
        <v>32675</v>
      </c>
      <c r="F226">
        <v>0.84494573889645064</v>
      </c>
      <c r="G226">
        <v>1.6883046033141971E-4</v>
      </c>
      <c r="H226" s="7">
        <f t="shared" si="222"/>
        <v>27608.602018441525</v>
      </c>
      <c r="I226">
        <f t="shared" si="223"/>
        <v>180252.79064417962</v>
      </c>
      <c r="J226">
        <f t="shared" si="224"/>
        <v>424.56188081854407</v>
      </c>
      <c r="K226" s="6">
        <f t="shared" si="225"/>
        <v>832.14128640434637</v>
      </c>
      <c r="M226" s="2">
        <f>'rockfish harvests'!O225</f>
        <v>8140.8816955045913</v>
      </c>
      <c r="N226">
        <f>'rockfish harvests'!P225</f>
        <v>4846611.7748930994</v>
      </c>
      <c r="O226">
        <v>0.64592902584913237</v>
      </c>
      <c r="P226">
        <v>2.8235150545027564E-3</v>
      </c>
      <c r="Q226" s="13">
        <f t="shared" si="221"/>
        <v>5258.4317831303133</v>
      </c>
      <c r="R226" s="2">
        <f t="shared" si="196"/>
        <v>2222934.2266896893</v>
      </c>
      <c r="S226">
        <f t="shared" si="226"/>
        <v>1490.9507794322685</v>
      </c>
      <c r="T226" s="6">
        <f t="shared" si="227"/>
        <v>2922.2635276872461</v>
      </c>
      <c r="V226" s="13">
        <f t="shared" si="228"/>
        <v>32867.033801571837</v>
      </c>
      <c r="W226">
        <f t="shared" si="229"/>
        <v>2403187.0173338689</v>
      </c>
      <c r="X226">
        <f t="shared" si="230"/>
        <v>1550.2216026535912</v>
      </c>
      <c r="Y226" s="6">
        <f t="shared" si="231"/>
        <v>3038.4343412010385</v>
      </c>
      <c r="Z226" s="14">
        <f t="shared" si="232"/>
        <v>4.7166459012174478E-2</v>
      </c>
    </row>
    <row r="227" spans="1:26" s="51" customFormat="1" x14ac:dyDescent="0.3">
      <c r="A227" s="51" t="s">
        <v>81</v>
      </c>
      <c r="B227" s="51">
        <v>2022</v>
      </c>
      <c r="C227" s="51" t="s">
        <v>52</v>
      </c>
      <c r="D227">
        <f>'rockfish harvests'!D226</f>
        <v>36656</v>
      </c>
      <c r="E227" s="43">
        <v>17939</v>
      </c>
      <c r="F227" s="103">
        <v>0.88210502284153725</v>
      </c>
      <c r="G227" s="103">
        <v>1.7104564394616499E-4</v>
      </c>
      <c r="H227" s="7">
        <f t="shared" ref="H227" si="233">E227*F227</f>
        <v>15824.082004754337</v>
      </c>
      <c r="I227">
        <f t="shared" ref="I227" si="234">(E227^2)*G227</f>
        <v>55043.808865292798</v>
      </c>
      <c r="J227">
        <f t="shared" ref="J227" si="235">SQRT(I227)</f>
        <v>234.61417021418976</v>
      </c>
      <c r="K227" s="6">
        <f t="shared" ref="K227" si="236">(1.96*J227)</f>
        <v>459.84377361981188</v>
      </c>
      <c r="M227" s="2">
        <f>'rockfish harvests'!O226</f>
        <v>13333.02302338033</v>
      </c>
      <c r="N227">
        <f>'rockfish harvests'!P226</f>
        <v>23551712.984039951</v>
      </c>
      <c r="O227" s="103">
        <v>0.68179343203008302</v>
      </c>
      <c r="P227" s="103">
        <v>1.937063822060032E-3</v>
      </c>
      <c r="Q227" s="13">
        <f t="shared" ref="Q227" si="237">M227*O227</f>
        <v>9090.3675264465892</v>
      </c>
      <c r="R227" s="2">
        <f t="shared" si="196"/>
        <v>11337804.098639879</v>
      </c>
      <c r="S227">
        <f t="shared" ref="S227" si="238">SQRT(R227)</f>
        <v>3367.1655882418195</v>
      </c>
      <c r="T227" s="6">
        <f t="shared" ref="T227" si="239">(1.96*S227)</f>
        <v>6599.644552953966</v>
      </c>
      <c r="V227" s="13">
        <f t="shared" ref="V227" si="240">Q227+H227</f>
        <v>24914.449531200924</v>
      </c>
      <c r="W227">
        <f t="shared" ref="W227" si="241">R227+I227</f>
        <v>11392847.907505171</v>
      </c>
      <c r="X227">
        <f t="shared" ref="X227" si="242">SQRT(W227)</f>
        <v>3375.3293035650863</v>
      </c>
      <c r="Y227" s="6">
        <f t="shared" ref="Y227" si="243">(1.96*X227)</f>
        <v>6615.6454349875694</v>
      </c>
      <c r="Z227" s="14">
        <f t="shared" ref="Z227" si="244">X227/V227</f>
        <v>0.13547677621125387</v>
      </c>
    </row>
    <row r="228" spans="1:26" x14ac:dyDescent="0.3">
      <c r="A228" t="str">
        <f>'rockfish harvests'!A227</f>
        <v>SE</v>
      </c>
      <c r="B228">
        <f>'rockfish harvests'!B227</f>
        <v>1998</v>
      </c>
      <c r="C228" t="str">
        <f>'rockfish harvests'!C227</f>
        <v>CSEO</v>
      </c>
      <c r="D228">
        <f>'rockfish harvests'!D227</f>
        <v>9366</v>
      </c>
      <c r="E228">
        <v>4464</v>
      </c>
      <c r="F228" s="32">
        <v>0.96489930700000004</v>
      </c>
      <c r="G228" s="32">
        <v>4.2331399999999999E-4</v>
      </c>
      <c r="H228" s="7">
        <f t="shared" ref="H228:H233" si="245">E228*F228</f>
        <v>4307.3105064480005</v>
      </c>
      <c r="I228">
        <f t="shared" ref="I228:I234" si="246">(E228^2)*G228</f>
        <v>8435.5033789440004</v>
      </c>
      <c r="J228">
        <f t="shared" ref="J228:J233" si="247">SQRT(I228)</f>
        <v>91.84499648290047</v>
      </c>
      <c r="K228" s="6">
        <f t="shared" ref="K228:K233" si="248">(1.96*J228)</f>
        <v>180.01619310648491</v>
      </c>
      <c r="M228" s="2">
        <f>'rockfish harvests'!O227</f>
        <v>1419.5566561478372</v>
      </c>
      <c r="N228">
        <f>'rockfish harvests'!P227</f>
        <v>224247.08472663842</v>
      </c>
      <c r="O228" s="32">
        <v>0.56494793700000001</v>
      </c>
      <c r="P228" s="32">
        <v>1.0198659999999999E-3</v>
      </c>
      <c r="Q228" s="13">
        <f t="shared" si="221"/>
        <v>801.97560434533898</v>
      </c>
      <c r="R228" s="2">
        <f t="shared" si="196"/>
        <v>73855.959377265259</v>
      </c>
      <c r="S228">
        <f t="shared" ref="S228:S233" si="249">SQRT(R228)</f>
        <v>271.76452928457252</v>
      </c>
      <c r="T228" s="6">
        <f t="shared" ref="T228:T233" si="250">(1.96*S228)</f>
        <v>532.65847739776211</v>
      </c>
      <c r="V228" s="13">
        <f t="shared" ref="V228:W232" si="251">Q228+H228</f>
        <v>5109.2861107933395</v>
      </c>
      <c r="W228">
        <f t="shared" si="251"/>
        <v>82291.462756209265</v>
      </c>
      <c r="X228">
        <f t="shared" ref="X228:X233" si="252">SQRT(W228)</f>
        <v>286.86488588917479</v>
      </c>
      <c r="Y228" s="6">
        <f t="shared" ref="Y228:Y233" si="253">(1.96*X228)</f>
        <v>562.25517634278253</v>
      </c>
      <c r="Z228" s="14">
        <f t="shared" si="220"/>
        <v>5.6145786254399463E-2</v>
      </c>
    </row>
    <row r="229" spans="1:26" x14ac:dyDescent="0.3">
      <c r="A229" t="str">
        <f>'rockfish harvests'!A228</f>
        <v>SE</v>
      </c>
      <c r="B229">
        <f>'rockfish harvests'!B228</f>
        <v>1999</v>
      </c>
      <c r="C229" t="str">
        <f>'rockfish harvests'!C228</f>
        <v>CSEO</v>
      </c>
      <c r="D229">
        <f>'rockfish harvests'!D228</f>
        <v>9636</v>
      </c>
      <c r="E229">
        <v>3836</v>
      </c>
      <c r="F229" s="32">
        <v>0.96489930700000004</v>
      </c>
      <c r="G229" s="32">
        <v>4.2331399999999999E-4</v>
      </c>
      <c r="H229" s="7">
        <f t="shared" si="245"/>
        <v>3701.3537416520003</v>
      </c>
      <c r="I229">
        <f t="shared" si="246"/>
        <v>6229.0214853440002</v>
      </c>
      <c r="J229">
        <f t="shared" si="247"/>
        <v>78.924150203496012</v>
      </c>
      <c r="K229" s="6">
        <f t="shared" si="248"/>
        <v>154.69133439885218</v>
      </c>
      <c r="M229" s="2">
        <f>'rockfish harvests'!O228</f>
        <v>1460.4791734615155</v>
      </c>
      <c r="N229">
        <f>'rockfish harvests'!P228</f>
        <v>237362.48582500662</v>
      </c>
      <c r="O229" s="32">
        <v>0.56494793700000001</v>
      </c>
      <c r="P229" s="32">
        <v>1.0198659999999999E-3</v>
      </c>
      <c r="Q229" s="13">
        <f t="shared" si="221"/>
        <v>825.0946960785484</v>
      </c>
      <c r="R229" s="2">
        <f t="shared" si="196"/>
        <v>78175.527374853365</v>
      </c>
      <c r="S229">
        <f t="shared" si="249"/>
        <v>279.59886869380097</v>
      </c>
      <c r="T229" s="6">
        <f t="shared" si="250"/>
        <v>548.01378263984986</v>
      </c>
      <c r="V229" s="13">
        <f t="shared" si="251"/>
        <v>4526.4484377305489</v>
      </c>
      <c r="W229">
        <f t="shared" si="251"/>
        <v>84404.548860197363</v>
      </c>
      <c r="X229">
        <f t="shared" si="252"/>
        <v>290.5246097324586</v>
      </c>
      <c r="Y229" s="6">
        <f t="shared" si="253"/>
        <v>569.42823507561889</v>
      </c>
      <c r="Z229" s="14">
        <f t="shared" si="220"/>
        <v>6.4183788621288387E-2</v>
      </c>
    </row>
    <row r="230" spans="1:26" x14ac:dyDescent="0.3">
      <c r="A230" t="str">
        <f>'rockfish harvests'!A229</f>
        <v>SE</v>
      </c>
      <c r="B230">
        <f>'rockfish harvests'!B229</f>
        <v>2000</v>
      </c>
      <c r="C230" t="str">
        <f>'rockfish harvests'!C229</f>
        <v>CSEO</v>
      </c>
      <c r="D230">
        <f>'rockfish harvests'!D229</f>
        <v>16855</v>
      </c>
      <c r="E230">
        <v>5777</v>
      </c>
      <c r="F230" s="32">
        <v>0.96489930700000004</v>
      </c>
      <c r="G230" s="32">
        <v>4.2331399999999999E-4</v>
      </c>
      <c r="H230" s="7">
        <f t="shared" si="245"/>
        <v>5574.2232965390003</v>
      </c>
      <c r="I230">
        <f t="shared" si="246"/>
        <v>14127.566717906</v>
      </c>
      <c r="J230">
        <f t="shared" si="247"/>
        <v>118.85944101292922</v>
      </c>
      <c r="K230" s="6">
        <f t="shared" si="248"/>
        <v>232.96450438534129</v>
      </c>
      <c r="M230" s="2">
        <f>'rockfish harvests'!O229</f>
        <v>2554.6260345261362</v>
      </c>
      <c r="N230">
        <f>'rockfish harvests'!P229</f>
        <v>726233.05564746587</v>
      </c>
      <c r="O230" s="32">
        <v>0.56494793700000001</v>
      </c>
      <c r="P230" s="32">
        <v>1.0198659999999999E-3</v>
      </c>
      <c r="Q230" s="13">
        <f t="shared" si="221"/>
        <v>1443.2307080120315</v>
      </c>
      <c r="R230" s="2">
        <f t="shared" si="196"/>
        <v>239185.44636471223</v>
      </c>
      <c r="S230">
        <f t="shared" si="249"/>
        <v>489.06589163906352</v>
      </c>
      <c r="T230" s="6">
        <f t="shared" si="250"/>
        <v>958.56914761256451</v>
      </c>
      <c r="V230" s="13">
        <f t="shared" si="251"/>
        <v>7017.4540045510321</v>
      </c>
      <c r="W230">
        <f t="shared" si="251"/>
        <v>253313.01308261824</v>
      </c>
      <c r="X230">
        <f t="shared" si="252"/>
        <v>503.30210915772869</v>
      </c>
      <c r="Y230" s="6">
        <f t="shared" si="253"/>
        <v>986.4721339491482</v>
      </c>
      <c r="Z230" s="14">
        <f t="shared" si="220"/>
        <v>7.172146890187267E-2</v>
      </c>
    </row>
    <row r="231" spans="1:26" x14ac:dyDescent="0.3">
      <c r="A231" t="str">
        <f>'rockfish harvests'!A230</f>
        <v>SE</v>
      </c>
      <c r="B231">
        <f>'rockfish harvests'!B230</f>
        <v>2001</v>
      </c>
      <c r="C231" t="str">
        <f>'rockfish harvests'!C230</f>
        <v>CSEO</v>
      </c>
      <c r="D231">
        <f>'rockfish harvests'!D230</f>
        <v>15083</v>
      </c>
      <c r="E231">
        <v>4037</v>
      </c>
      <c r="F231" s="32">
        <v>0.96489930700000004</v>
      </c>
      <c r="G231" s="32">
        <v>4.2331399999999999E-4</v>
      </c>
      <c r="H231" s="7">
        <f t="shared" si="245"/>
        <v>3895.2985023589999</v>
      </c>
      <c r="I231">
        <f t="shared" si="246"/>
        <v>6898.9044608659997</v>
      </c>
      <c r="J231">
        <f t="shared" si="247"/>
        <v>83.059643996744896</v>
      </c>
      <c r="K231" s="6">
        <f t="shared" si="248"/>
        <v>162.79690223361999</v>
      </c>
      <c r="M231" s="2">
        <f>'rockfish harvests'!O230</f>
        <v>2286.0530690452506</v>
      </c>
      <c r="N231">
        <f>'rockfish harvests'!P230</f>
        <v>581559.24091147329</v>
      </c>
      <c r="O231" s="32">
        <v>0.56494793700000001</v>
      </c>
      <c r="P231" s="32">
        <v>1.0198659999999999E-3</v>
      </c>
      <c r="Q231" s="13">
        <f t="shared" si="221"/>
        <v>1291.5009652296328</v>
      </c>
      <c r="R231" s="2">
        <f t="shared" si="196"/>
        <v>191537.00804891103</v>
      </c>
      <c r="S231">
        <f t="shared" si="249"/>
        <v>437.6494122570154</v>
      </c>
      <c r="T231" s="6">
        <f t="shared" si="250"/>
        <v>857.79284802375014</v>
      </c>
      <c r="V231" s="13">
        <f t="shared" si="251"/>
        <v>5186.799467588633</v>
      </c>
      <c r="W231">
        <f t="shared" si="251"/>
        <v>198435.91250977703</v>
      </c>
      <c r="X231">
        <f t="shared" si="252"/>
        <v>445.46146018457875</v>
      </c>
      <c r="Y231" s="6">
        <f t="shared" si="253"/>
        <v>873.10446196177429</v>
      </c>
      <c r="Z231" s="14">
        <f t="shared" si="220"/>
        <v>8.5883686648806537E-2</v>
      </c>
    </row>
    <row r="232" spans="1:26" x14ac:dyDescent="0.3">
      <c r="A232" t="str">
        <f>'rockfish harvests'!A231</f>
        <v>SE</v>
      </c>
      <c r="B232">
        <f>'rockfish harvests'!B231</f>
        <v>2002</v>
      </c>
      <c r="C232" t="str">
        <f>'rockfish harvests'!C231</f>
        <v>CSEO</v>
      </c>
      <c r="D232">
        <f>'rockfish harvests'!D231</f>
        <v>14004</v>
      </c>
      <c r="E232">
        <v>5206</v>
      </c>
      <c r="F232" s="32">
        <v>0.96489930700000004</v>
      </c>
      <c r="G232" s="32">
        <v>4.2331399999999999E-4</v>
      </c>
      <c r="H232" s="7">
        <f t="shared" si="245"/>
        <v>5023.2657922420003</v>
      </c>
      <c r="I232">
        <f t="shared" si="246"/>
        <v>11472.840592904</v>
      </c>
      <c r="J232">
        <f t="shared" si="247"/>
        <v>107.11134670474459</v>
      </c>
      <c r="K232" s="6">
        <f t="shared" si="248"/>
        <v>209.9382395412994</v>
      </c>
      <c r="M232" s="2">
        <f>'rockfish harvests'!O231</f>
        <v>2122.5145646694764</v>
      </c>
      <c r="N232">
        <f>'rockfish harvests'!P231</f>
        <v>501328.85623143055</v>
      </c>
      <c r="O232" s="32">
        <v>0.56494793700000001</v>
      </c>
      <c r="P232" s="32">
        <v>1.0198659999999999E-3</v>
      </c>
      <c r="Q232" s="13">
        <f t="shared" si="221"/>
        <v>1199.1102245624738</v>
      </c>
      <c r="R232" s="2">
        <f t="shared" si="196"/>
        <v>165113.06573111063</v>
      </c>
      <c r="S232">
        <f t="shared" si="249"/>
        <v>406.34107069198734</v>
      </c>
      <c r="T232" s="6">
        <f t="shared" si="250"/>
        <v>796.42849855629515</v>
      </c>
      <c r="V232" s="13">
        <f t="shared" si="251"/>
        <v>6222.3760168044737</v>
      </c>
      <c r="W232">
        <f t="shared" si="251"/>
        <v>176585.90632401462</v>
      </c>
      <c r="X232">
        <f t="shared" si="252"/>
        <v>420.2212587721076</v>
      </c>
      <c r="Y232" s="6">
        <f t="shared" si="253"/>
        <v>823.63366719333089</v>
      </c>
      <c r="Z232" s="14">
        <f t="shared" si="220"/>
        <v>6.7533890211269154E-2</v>
      </c>
    </row>
    <row r="233" spans="1:26" x14ac:dyDescent="0.3">
      <c r="A233" t="str">
        <f>'rockfish harvests'!A232</f>
        <v>SE</v>
      </c>
      <c r="B233">
        <f>'rockfish harvests'!B232</f>
        <v>2003</v>
      </c>
      <c r="C233" t="str">
        <f>'rockfish harvests'!C232</f>
        <v>CSEO</v>
      </c>
      <c r="D233">
        <f>'rockfish harvests'!D232</f>
        <v>15272</v>
      </c>
      <c r="E233">
        <v>6711</v>
      </c>
      <c r="F233" s="32">
        <v>0.96489930700000004</v>
      </c>
      <c r="G233" s="32">
        <v>4.2331399999999999E-4</v>
      </c>
      <c r="H233" s="7">
        <f t="shared" si="245"/>
        <v>6475.4392492770003</v>
      </c>
      <c r="I233">
        <f t="shared" si="246"/>
        <v>19065.013164593998</v>
      </c>
      <c r="J233">
        <f t="shared" si="247"/>
        <v>138.0761136641454</v>
      </c>
      <c r="K233" s="6">
        <f t="shared" si="248"/>
        <v>270.62918278172498</v>
      </c>
      <c r="M233" s="2">
        <f>'rockfish harvests'!O232</f>
        <v>2314.6988311648274</v>
      </c>
      <c r="N233">
        <f>'rockfish harvests'!P232</f>
        <v>596225.20240177307</v>
      </c>
      <c r="O233" s="32">
        <v>0.56494793700000001</v>
      </c>
      <c r="P233" s="32">
        <v>1.0198659999999999E-3</v>
      </c>
      <c r="Q233" s="13">
        <f t="shared" ref="Q233:Q283" si="254">M233*O233</f>
        <v>1307.6843294428807</v>
      </c>
      <c r="R233" s="2">
        <f t="shared" si="196"/>
        <v>196367.25437017993</v>
      </c>
      <c r="S233">
        <f t="shared" si="249"/>
        <v>443.13344984347538</v>
      </c>
      <c r="T233" s="6">
        <f t="shared" si="250"/>
        <v>868.54156169321175</v>
      </c>
      <c r="V233" s="13">
        <f t="shared" ref="V233:V283" si="255">Q233+H233</f>
        <v>7783.1235787198812</v>
      </c>
      <c r="W233">
        <f t="shared" ref="W233:W283" si="256">R233+I233</f>
        <v>215432.26753477391</v>
      </c>
      <c r="X233">
        <f t="shared" si="252"/>
        <v>464.146816788367</v>
      </c>
      <c r="Y233" s="6">
        <f t="shared" si="253"/>
        <v>909.72776090519926</v>
      </c>
      <c r="Z233" s="14">
        <f t="shared" si="220"/>
        <v>5.9635031114937911E-2</v>
      </c>
    </row>
    <row r="234" spans="1:26" x14ac:dyDescent="0.3">
      <c r="A234" t="str">
        <f>'rockfish harvests'!A233</f>
        <v>SE</v>
      </c>
      <c r="B234">
        <f>'rockfish harvests'!B233</f>
        <v>2004</v>
      </c>
      <c r="C234" t="str">
        <f>'rockfish harvests'!C233</f>
        <v>CSEO</v>
      </c>
      <c r="D234">
        <f>'rockfish harvests'!D233</f>
        <v>21796</v>
      </c>
      <c r="E234">
        <v>9789</v>
      </c>
      <c r="F234" s="32">
        <v>0.96489930700000004</v>
      </c>
      <c r="G234" s="32">
        <v>4.2331399999999999E-4</v>
      </c>
      <c r="H234" s="7">
        <f t="shared" ref="H234:H284" si="257">E234*F234</f>
        <v>9445.3993162229999</v>
      </c>
      <c r="I234">
        <f t="shared" si="246"/>
        <v>40563.861282594</v>
      </c>
      <c r="J234">
        <f t="shared" ref="J234:J284" si="258">SQRT(I234)</f>
        <v>201.40472011001629</v>
      </c>
      <c r="K234" s="6">
        <f t="shared" ref="K234:K284" si="259">(1.96*J234)</f>
        <v>394.75325141563189</v>
      </c>
      <c r="M234" s="2">
        <f>'rockfish harvests'!O233</f>
        <v>3303.5081013664603</v>
      </c>
      <c r="N234">
        <f>'rockfish harvests'!P233</f>
        <v>1214428.9103843591</v>
      </c>
      <c r="O234" s="32">
        <v>0.56494793700000001</v>
      </c>
      <c r="P234" s="32">
        <v>1.0198659999999999E-3</v>
      </c>
      <c r="Q234" s="13">
        <f t="shared" si="254"/>
        <v>1866.3100867297687</v>
      </c>
      <c r="R234" s="2">
        <f t="shared" si="196"/>
        <v>399973.14739347005</v>
      </c>
      <c r="S234">
        <f t="shared" ref="S234:S284" si="260">SQRT(R234)</f>
        <v>632.434302827946</v>
      </c>
      <c r="T234" s="6">
        <f t="shared" ref="T234:T284" si="261">(1.96*S234)</f>
        <v>1239.5712335427741</v>
      </c>
      <c r="V234" s="13">
        <f t="shared" si="255"/>
        <v>11311.709402952769</v>
      </c>
      <c r="W234">
        <f t="shared" si="256"/>
        <v>440537.00867606403</v>
      </c>
      <c r="X234">
        <f t="shared" ref="X234:X284" si="262">SQRT(W234)</f>
        <v>663.72962015873907</v>
      </c>
      <c r="Y234" s="6">
        <f t="shared" ref="Y234:Y284" si="263">(1.96*X234)</f>
        <v>1300.9100555111286</v>
      </c>
      <c r="Z234" s="14">
        <f t="shared" si="220"/>
        <v>5.8676332330945616E-2</v>
      </c>
    </row>
    <row r="235" spans="1:26" x14ac:dyDescent="0.3">
      <c r="A235" t="str">
        <f>'rockfish harvests'!A234</f>
        <v>SE</v>
      </c>
      <c r="B235">
        <f>'rockfish harvests'!B234</f>
        <v>2005</v>
      </c>
      <c r="C235" t="str">
        <f>'rockfish harvests'!C234</f>
        <v>CSEO</v>
      </c>
      <c r="D235">
        <f>'rockfish harvests'!D234</f>
        <v>27304</v>
      </c>
      <c r="E235">
        <v>12886</v>
      </c>
      <c r="F235" s="32">
        <v>0.96489930700000004</v>
      </c>
      <c r="G235" s="32">
        <v>4.2331399999999999E-4</v>
      </c>
      <c r="H235" s="7">
        <f t="shared" si="257"/>
        <v>12433.692470002001</v>
      </c>
      <c r="I235">
        <f t="shared" ref="I235:I285" si="264">(E235^2)*G235</f>
        <v>70290.864692743999</v>
      </c>
      <c r="J235">
        <f t="shared" si="258"/>
        <v>265.1242438796271</v>
      </c>
      <c r="K235" s="6">
        <f t="shared" si="259"/>
        <v>519.64351800406916</v>
      </c>
      <c r="M235" s="2">
        <f>'rockfish harvests'!O234</f>
        <v>4138.3274545655077</v>
      </c>
      <c r="N235">
        <f>'rockfish harvests'!P234</f>
        <v>1905772.4719131205</v>
      </c>
      <c r="O235" s="32">
        <v>0.56494793700000001</v>
      </c>
      <c r="P235" s="32">
        <v>1.0198659999999999E-3</v>
      </c>
      <c r="Q235" s="13">
        <f t="shared" si="254"/>
        <v>2337.9395580872447</v>
      </c>
      <c r="R235" s="2">
        <f t="shared" si="196"/>
        <v>627667.71055019973</v>
      </c>
      <c r="S235">
        <f t="shared" si="260"/>
        <v>792.25482677620823</v>
      </c>
      <c r="T235" s="6">
        <f t="shared" si="261"/>
        <v>1552.8194604813682</v>
      </c>
      <c r="V235" s="13">
        <f t="shared" si="255"/>
        <v>14771.632028089245</v>
      </c>
      <c r="W235">
        <f t="shared" si="256"/>
        <v>697958.57524294371</v>
      </c>
      <c r="X235">
        <f t="shared" si="262"/>
        <v>835.439151131274</v>
      </c>
      <c r="Y235" s="6">
        <f t="shared" si="263"/>
        <v>1637.4607362172969</v>
      </c>
      <c r="Z235" s="14">
        <f t="shared" si="220"/>
        <v>5.6556997191822181E-2</v>
      </c>
    </row>
    <row r="236" spans="1:26" x14ac:dyDescent="0.3">
      <c r="A236" t="str">
        <f>'rockfish harvests'!A235</f>
        <v>SE</v>
      </c>
      <c r="B236">
        <f>'rockfish harvests'!B235</f>
        <v>2006</v>
      </c>
      <c r="C236" t="str">
        <f>'rockfish harvests'!C235</f>
        <v>CSEO</v>
      </c>
      <c r="D236">
        <f>'rockfish harvests'!D235</f>
        <v>33748</v>
      </c>
      <c r="E236">
        <v>20139</v>
      </c>
      <c r="F236">
        <f>IF([2]species_comp_Region1_forR!$G10&gt;49,[2]species_comp_Region1_forR!$AD10,[2]species_comp_Region1_forR!$AF10)</f>
        <v>0.99</v>
      </c>
      <c r="G236">
        <f>IF([2]species_comp_Region1_forR!$G10&gt;49,[2]species_comp_Region1_forR!$AE10,[2]species_comp_Region1_forR!$AG10)</f>
        <v>3.2036300000000001E-6</v>
      </c>
      <c r="H236" s="7">
        <f t="shared" si="257"/>
        <v>19937.61</v>
      </c>
      <c r="I236">
        <f t="shared" si="264"/>
        <v>1299.3260801352301</v>
      </c>
      <c r="J236">
        <f t="shared" si="258"/>
        <v>36.046165956107316</v>
      </c>
      <c r="K236" s="6">
        <f t="shared" si="259"/>
        <v>70.650485273970332</v>
      </c>
      <c r="M236" s="2">
        <f>'rockfish harvests'!O235</f>
        <v>5115.01153445198</v>
      </c>
      <c r="N236">
        <f>'rockfish harvests'!P235</f>
        <v>2911485.1530098896</v>
      </c>
      <c r="O236">
        <f>IF([2]species_comp_Region1_forR!$D32&gt;49,[2]species_comp_Region1_forR!$N32,[2]species_comp_Region1_forR!$P32)</f>
        <v>0.53667953700000004</v>
      </c>
      <c r="P236">
        <f>IF([2]species_comp_Region1_forR!$D32&gt;49,[2]species_comp_Region1_forR!$O32,[2]species_comp_Region1_forR!$Q32)</f>
        <v>4.8095700000000001E-4</v>
      </c>
      <c r="Q236" s="13">
        <f t="shared" si="254"/>
        <v>2745.1220220593482</v>
      </c>
      <c r="R236" s="2">
        <f t="shared" si="196"/>
        <v>852564.03622224915</v>
      </c>
      <c r="S236">
        <f t="shared" si="260"/>
        <v>923.34394253834205</v>
      </c>
      <c r="T236" s="6">
        <f t="shared" si="261"/>
        <v>1809.7541273751503</v>
      </c>
      <c r="V236" s="13">
        <f t="shared" si="255"/>
        <v>22682.73202205935</v>
      </c>
      <c r="W236">
        <f t="shared" si="256"/>
        <v>853863.36230238434</v>
      </c>
      <c r="X236">
        <f t="shared" si="262"/>
        <v>924.04727276389076</v>
      </c>
      <c r="Y236" s="6">
        <f t="shared" si="263"/>
        <v>1811.1326546172259</v>
      </c>
      <c r="Z236" s="14">
        <f t="shared" si="220"/>
        <v>4.0737917807486278E-2</v>
      </c>
    </row>
    <row r="237" spans="1:26" x14ac:dyDescent="0.3">
      <c r="A237" t="str">
        <f>'rockfish harvests'!A236</f>
        <v>SE</v>
      </c>
      <c r="B237">
        <f>'rockfish harvests'!B236</f>
        <v>2007</v>
      </c>
      <c r="C237" t="str">
        <f>'rockfish harvests'!C236</f>
        <v>CSEO</v>
      </c>
      <c r="D237">
        <f>'rockfish harvests'!D236</f>
        <v>38443</v>
      </c>
      <c r="E237">
        <v>24055</v>
      </c>
      <c r="F237">
        <f>IF([2]species_comp_Region1_forR!$G11&gt;49,[2]species_comp_Region1_forR!$AD11,[2]species_comp_Region1_forR!$AF11)</f>
        <v>0.98786477900000003</v>
      </c>
      <c r="G237">
        <f>IF([2]species_comp_Region1_forR!$G11&gt;49,[2]species_comp_Region1_forR!$AE11,[2]species_comp_Region1_forR!$AG11)</f>
        <v>3.46473E-6</v>
      </c>
      <c r="H237" s="7">
        <f t="shared" si="257"/>
        <v>23763.087258845</v>
      </c>
      <c r="I237">
        <f t="shared" si="264"/>
        <v>2004.8418480082501</v>
      </c>
      <c r="J237">
        <f t="shared" si="258"/>
        <v>44.775460332734156</v>
      </c>
      <c r="K237" s="6">
        <f t="shared" si="259"/>
        <v>87.759902252158938</v>
      </c>
      <c r="M237" s="2">
        <f>'rockfish harvests'!O236</f>
        <v>5826.6086410731732</v>
      </c>
      <c r="N237">
        <f>'rockfish harvests'!P236</f>
        <v>3777922.4788372577</v>
      </c>
      <c r="O237">
        <f>IF([2]species_comp_Region1_forR!$D33&gt;49,[2]species_comp_Region1_forR!$N33,[2]species_comp_Region1_forR!$P33)</f>
        <v>0.56741573000000001</v>
      </c>
      <c r="P237">
        <f>IF([2]species_comp_Region1_forR!$D33&gt;49,[2]species_comp_Region1_forR!$O33,[2]species_comp_Region1_forR!$Q33)</f>
        <v>6.9142300000000004E-4</v>
      </c>
      <c r="Q237" s="13">
        <f t="shared" si="254"/>
        <v>3306.1093954988428</v>
      </c>
      <c r="R237" s="2">
        <f t="shared" si="196"/>
        <v>1242427.7448221298</v>
      </c>
      <c r="S237">
        <f t="shared" si="260"/>
        <v>1114.6424291323788</v>
      </c>
      <c r="T237" s="6">
        <f t="shared" si="261"/>
        <v>2184.6991610994623</v>
      </c>
      <c r="V237" s="13">
        <f t="shared" si="255"/>
        <v>27069.196654343843</v>
      </c>
      <c r="W237">
        <f t="shared" si="256"/>
        <v>1244432.5866701382</v>
      </c>
      <c r="X237">
        <f t="shared" si="262"/>
        <v>1115.5413872511133</v>
      </c>
      <c r="Y237" s="6">
        <f t="shared" si="263"/>
        <v>2186.4611190121818</v>
      </c>
      <c r="Z237" s="14">
        <f t="shared" si="220"/>
        <v>4.1210731204765927E-2</v>
      </c>
    </row>
    <row r="238" spans="1:26" x14ac:dyDescent="0.3">
      <c r="A238" t="str">
        <f>'rockfish harvests'!A237</f>
        <v>SE</v>
      </c>
      <c r="B238">
        <f>'rockfish harvests'!B237</f>
        <v>2008</v>
      </c>
      <c r="C238" t="str">
        <f>'rockfish harvests'!C237</f>
        <v>CSEO</v>
      </c>
      <c r="D238">
        <f>'rockfish harvests'!D237</f>
        <v>52901</v>
      </c>
      <c r="E238">
        <v>37625</v>
      </c>
      <c r="F238">
        <f>IF([2]species_comp_Region1_forR!$G12&gt;49,[2]species_comp_Region1_forR!$AD12,[2]species_comp_Region1_forR!$AF12)</f>
        <v>0.98654377900000001</v>
      </c>
      <c r="G238">
        <f>IF([2]species_comp_Region1_forR!$G12&gt;49,[2]species_comp_Region1_forR!$AE12,[2]species_comp_Region1_forR!$AG12)</f>
        <v>2.4474800000000002E-6</v>
      </c>
      <c r="H238" s="7">
        <f t="shared" si="257"/>
        <v>37118.709684875001</v>
      </c>
      <c r="I238">
        <f t="shared" si="264"/>
        <v>3464.7521168750004</v>
      </c>
      <c r="J238">
        <f t="shared" si="258"/>
        <v>58.862145024412762</v>
      </c>
      <c r="K238" s="6">
        <f t="shared" si="259"/>
        <v>115.369804247849</v>
      </c>
      <c r="M238" s="2">
        <f>'rockfish harvests'!O237</f>
        <v>8017.9336607812002</v>
      </c>
      <c r="N238">
        <f>'rockfish harvests'!P237</f>
        <v>7153955.9598475369</v>
      </c>
      <c r="O238">
        <f>IF([2]species_comp_Region1_forR!$D34&gt;49,[2]species_comp_Region1_forR!$N34,[2]species_comp_Region1_forR!$P34)</f>
        <v>0.577946768</v>
      </c>
      <c r="P238">
        <f>IF([2]species_comp_Region1_forR!$D34&gt;49,[2]species_comp_Region1_forR!$O34,[2]species_comp_Region1_forR!$Q34)</f>
        <v>4.6461799999999998E-4</v>
      </c>
      <c r="Q238" s="13">
        <f t="shared" si="254"/>
        <v>4633.9388452869034</v>
      </c>
      <c r="R238" s="2">
        <f t="shared" si="196"/>
        <v>2422774.8909184774</v>
      </c>
      <c r="S238">
        <f t="shared" si="260"/>
        <v>1556.5265468081416</v>
      </c>
      <c r="T238" s="6">
        <f t="shared" si="261"/>
        <v>3050.7920317439575</v>
      </c>
      <c r="V238" s="13">
        <f t="shared" si="255"/>
        <v>41752.648530161903</v>
      </c>
      <c r="W238">
        <f t="shared" si="256"/>
        <v>2426239.6430353522</v>
      </c>
      <c r="X238">
        <f t="shared" si="262"/>
        <v>1557.6391247767733</v>
      </c>
      <c r="Y238" s="6">
        <f t="shared" si="263"/>
        <v>3052.9726845624755</v>
      </c>
      <c r="Z238" s="14">
        <f t="shared" si="220"/>
        <v>3.7306354916659783E-2</v>
      </c>
    </row>
    <row r="239" spans="1:26" x14ac:dyDescent="0.3">
      <c r="A239" t="str">
        <f>'rockfish harvests'!A238</f>
        <v>SE</v>
      </c>
      <c r="B239">
        <f>'rockfish harvests'!B238</f>
        <v>2009</v>
      </c>
      <c r="C239" t="str">
        <f>'rockfish harvests'!C238</f>
        <v>CSEO</v>
      </c>
      <c r="D239">
        <f>'rockfish harvests'!D238</f>
        <v>31717</v>
      </c>
      <c r="E239">
        <v>22290</v>
      </c>
      <c r="F239">
        <f>IF([2]species_comp_Region1_forR!$G13&gt;49,[2]species_comp_Region1_forR!$AD13,[2]species_comp_Region1_forR!$AF13)</f>
        <v>0.96443757200000002</v>
      </c>
      <c r="G239">
        <f>IF([2]species_comp_Region1_forR!$G13&gt;49,[2]species_comp_Region1_forR!$AE13,[2]species_comp_Region1_forR!$AG13)</f>
        <v>1.32629E-5</v>
      </c>
      <c r="H239" s="7">
        <f t="shared" si="257"/>
        <v>21497.313479880002</v>
      </c>
      <c r="I239">
        <f t="shared" si="264"/>
        <v>6589.5936138899997</v>
      </c>
      <c r="J239">
        <f t="shared" si="258"/>
        <v>81.176311901256014</v>
      </c>
      <c r="K239" s="6">
        <f t="shared" si="259"/>
        <v>159.10557132646179</v>
      </c>
      <c r="M239" s="2">
        <f>'rockfish harvests'!O238</f>
        <v>4807.1832653257516</v>
      </c>
      <c r="N239">
        <f>'rockfish harvests'!P238</f>
        <v>2571595.7734261826</v>
      </c>
      <c r="O239">
        <f>IF([2]species_comp_Region1_forR!$D35&gt;49,[2]species_comp_Region1_forR!$N35,[2]species_comp_Region1_forR!$P35)</f>
        <v>0.58461538499999999</v>
      </c>
      <c r="P239">
        <f>IF([2]species_comp_Region1_forR!$D35&gt;49,[2]species_comp_Region1_forR!$O35,[2]species_comp_Region1_forR!$Q35)</f>
        <v>6.2426799999999998E-4</v>
      </c>
      <c r="Q239" s="13">
        <f t="shared" si="254"/>
        <v>2810.3532954239713</v>
      </c>
      <c r="R239" s="2">
        <f t="shared" si="196"/>
        <v>894939.10802855657</v>
      </c>
      <c r="S239">
        <f t="shared" si="260"/>
        <v>946.01221346690681</v>
      </c>
      <c r="T239" s="6">
        <f t="shared" si="261"/>
        <v>1854.1839383951374</v>
      </c>
      <c r="V239" s="13">
        <f t="shared" si="255"/>
        <v>24307.666775303973</v>
      </c>
      <c r="W239">
        <f t="shared" si="256"/>
        <v>901528.70164244657</v>
      </c>
      <c r="X239">
        <f t="shared" si="262"/>
        <v>949.48865271916054</v>
      </c>
      <c r="Y239" s="6">
        <f t="shared" si="263"/>
        <v>1860.9977593295546</v>
      </c>
      <c r="Z239" s="14">
        <f t="shared" si="220"/>
        <v>3.9061283071554161E-2</v>
      </c>
    </row>
    <row r="240" spans="1:26" x14ac:dyDescent="0.3">
      <c r="A240" t="str">
        <f>'rockfish harvests'!A239</f>
        <v>SE</v>
      </c>
      <c r="B240">
        <f>'rockfish harvests'!B239</f>
        <v>2010</v>
      </c>
      <c r="C240" t="str">
        <f>'rockfish harvests'!C239</f>
        <v>CSEO</v>
      </c>
      <c r="D240">
        <f>'rockfish harvests'!D239</f>
        <v>43813</v>
      </c>
      <c r="E240">
        <v>30785</v>
      </c>
      <c r="F240">
        <f>IF([2]species_comp_Region1_forR!$G14&gt;49,[2]species_comp_Region1_forR!$AD14,[2]species_comp_Region1_forR!$AF14)</f>
        <v>0.96323676300000005</v>
      </c>
      <c r="G240">
        <f>IF([2]species_comp_Region1_forR!$G14&gt;49,[2]species_comp_Region1_forR!$AE14,[2]species_comp_Region1_forR!$AG14)</f>
        <v>7.0766799999999998E-6</v>
      </c>
      <c r="H240" s="7">
        <f t="shared" si="257"/>
        <v>29653.243748955003</v>
      </c>
      <c r="I240">
        <f t="shared" si="264"/>
        <v>6706.6844551329996</v>
      </c>
      <c r="J240">
        <f t="shared" si="258"/>
        <v>81.894349348004468</v>
      </c>
      <c r="K240" s="6">
        <f t="shared" si="259"/>
        <v>160.51292472208874</v>
      </c>
      <c r="M240" s="2">
        <f>'rockfish harvests'!O239</f>
        <v>6640.5120409785595</v>
      </c>
      <c r="N240">
        <f>'rockfish harvests'!P239</f>
        <v>4907095.1826566225</v>
      </c>
      <c r="O240">
        <f>IF([2]species_comp_Region1_forR!$D36&gt;49,[2]species_comp_Region1_forR!$N36,[2]species_comp_Region1_forR!$P36)</f>
        <v>0.58745874600000003</v>
      </c>
      <c r="P240">
        <f>IF([2]species_comp_Region1_forR!$D36&gt;49,[2]species_comp_Region1_forR!$O36,[2]species_comp_Region1_forR!$Q36)</f>
        <v>2.6690600000000002E-4</v>
      </c>
      <c r="Q240" s="13">
        <f t="shared" si="254"/>
        <v>3901.0268763911654</v>
      </c>
      <c r="R240" s="2">
        <f t="shared" si="196"/>
        <v>1706556.0430868221</v>
      </c>
      <c r="S240">
        <f t="shared" si="260"/>
        <v>1306.3521895288507</v>
      </c>
      <c r="T240" s="6">
        <f t="shared" si="261"/>
        <v>2560.4502914765471</v>
      </c>
      <c r="V240" s="13">
        <f t="shared" si="255"/>
        <v>33554.270625346166</v>
      </c>
      <c r="W240">
        <f t="shared" si="256"/>
        <v>1713262.7275419552</v>
      </c>
      <c r="X240">
        <f t="shared" si="262"/>
        <v>1308.9166236021128</v>
      </c>
      <c r="Y240" s="6">
        <f t="shared" si="263"/>
        <v>2565.4765822601412</v>
      </c>
      <c r="Z240" s="14">
        <f t="shared" si="220"/>
        <v>3.9008942802451672E-2</v>
      </c>
    </row>
    <row r="241" spans="1:26" x14ac:dyDescent="0.3">
      <c r="A241" t="str">
        <f>'rockfish harvests'!A240</f>
        <v>SE</v>
      </c>
      <c r="B241">
        <f>'rockfish harvests'!B240</f>
        <v>2011</v>
      </c>
      <c r="C241" t="str">
        <f>'rockfish harvests'!C240</f>
        <v>CSEO</v>
      </c>
      <c r="D241">
        <f>'rockfish harvests'!D240</f>
        <v>58843</v>
      </c>
      <c r="E241">
        <v>46504</v>
      </c>
      <c r="F241">
        <f>IF([2]species_comp_Region1_forR!$G15&gt;49,[2]species_comp_Region1_forR!$AD15,[2]species_comp_Region1_forR!$AF15)</f>
        <v>0.98026697600000001</v>
      </c>
      <c r="G241">
        <f>IF([2]species_comp_Region1_forR!$G15&gt;49,[2]species_comp_Region1_forR!$AE15,[2]species_comp_Region1_forR!$AG15)</f>
        <v>2.8070899999999999E-6</v>
      </c>
      <c r="H241" s="7">
        <f t="shared" si="257"/>
        <v>45586.335451904</v>
      </c>
      <c r="I241">
        <f t="shared" si="264"/>
        <v>6070.6746348934403</v>
      </c>
      <c r="J241">
        <f t="shared" si="258"/>
        <v>77.914534169777596</v>
      </c>
      <c r="K241" s="6">
        <f t="shared" si="259"/>
        <v>152.71248697276408</v>
      </c>
      <c r="M241" s="2">
        <f>'rockfish harvests'!O240</f>
        <v>9637.9680383923114</v>
      </c>
      <c r="N241">
        <f>'rockfish harvests'!P240</f>
        <v>7141508.8030922944</v>
      </c>
      <c r="O241">
        <f>IF([2]species_comp_Region1_forR!$D37&gt;49,[2]species_comp_Region1_forR!$N37,[2]species_comp_Region1_forR!$P37)</f>
        <v>0.53781512600000003</v>
      </c>
      <c r="P241">
        <f>IF([2]species_comp_Region1_forR!$D37&gt;49,[2]species_comp_Region1_forR!$O37,[2]species_comp_Region1_forR!$Q37)</f>
        <v>3.4862599999999999E-4</v>
      </c>
      <c r="Q241" s="13">
        <f t="shared" si="254"/>
        <v>5183.4449949519339</v>
      </c>
      <c r="R241" s="2">
        <f t="shared" si="196"/>
        <v>2100520.23153063</v>
      </c>
      <c r="S241">
        <f t="shared" si="260"/>
        <v>1449.3171604347442</v>
      </c>
      <c r="T241" s="6">
        <f t="shared" si="261"/>
        <v>2840.6616344520985</v>
      </c>
      <c r="V241" s="13">
        <f t="shared" si="255"/>
        <v>50769.780446855933</v>
      </c>
      <c r="W241">
        <f t="shared" si="256"/>
        <v>2106590.9061655235</v>
      </c>
      <c r="X241">
        <f t="shared" si="262"/>
        <v>1451.4099717741792</v>
      </c>
      <c r="Y241" s="6">
        <f t="shared" si="263"/>
        <v>2844.7635446773911</v>
      </c>
      <c r="Z241" s="14">
        <f t="shared" si="220"/>
        <v>2.8588068709366695E-2</v>
      </c>
    </row>
    <row r="242" spans="1:26" x14ac:dyDescent="0.3">
      <c r="A242" t="str">
        <f>'rockfish harvests'!A241</f>
        <v>SE</v>
      </c>
      <c r="B242">
        <f>'rockfish harvests'!B241</f>
        <v>2012</v>
      </c>
      <c r="C242" t="str">
        <f>'rockfish harvests'!C241</f>
        <v>CSEO</v>
      </c>
      <c r="D242">
        <f>'rockfish harvests'!D241</f>
        <v>57675</v>
      </c>
      <c r="E242">
        <v>43380</v>
      </c>
      <c r="F242">
        <f>IF([2]species_comp_Region1_forR!$G16&gt;49,[2]species_comp_Region1_forR!$AD16,[2]species_comp_Region1_forR!$AF16)</f>
        <v>0.97152855100000002</v>
      </c>
      <c r="G242">
        <f>IF([2]species_comp_Region1_forR!$G16&gt;49,[2]species_comp_Region1_forR!$AE16,[2]species_comp_Region1_forR!$AG16)</f>
        <v>4.4003900000000004E-6</v>
      </c>
      <c r="H242" s="7">
        <f t="shared" si="257"/>
        <v>42144.908542379999</v>
      </c>
      <c r="I242">
        <f t="shared" si="264"/>
        <v>8280.7612715160012</v>
      </c>
      <c r="J242">
        <f t="shared" si="258"/>
        <v>90.998688295579299</v>
      </c>
      <c r="K242" s="6">
        <f t="shared" si="259"/>
        <v>178.35742905933543</v>
      </c>
      <c r="M242" s="2">
        <f>'rockfish harvests'!O241</f>
        <v>6152.5876396981548</v>
      </c>
      <c r="N242">
        <f>'rockfish harvests'!P241</f>
        <v>1027468.7062518544</v>
      </c>
      <c r="O242">
        <f>IF([2]species_comp_Region1_forR!$D38&gt;49,[2]species_comp_Region1_forR!$N38,[2]species_comp_Region1_forR!$P38)</f>
        <v>0.58744394600000005</v>
      </c>
      <c r="P242">
        <f>IF([2]species_comp_Region1_forR!$D38&gt;49,[2]species_comp_Region1_forR!$O38,[2]species_comp_Region1_forR!$Q38)</f>
        <v>3.6280500000000001E-4</v>
      </c>
      <c r="Q242" s="13">
        <f t="shared" si="254"/>
        <v>3614.3003611751105</v>
      </c>
      <c r="R242" s="2">
        <f t="shared" si="196"/>
        <v>368676.08890864451</v>
      </c>
      <c r="S242">
        <f t="shared" si="260"/>
        <v>607.18702959520181</v>
      </c>
      <c r="T242" s="6">
        <f t="shared" si="261"/>
        <v>1190.0865780065956</v>
      </c>
      <c r="V242" s="13">
        <f t="shared" si="255"/>
        <v>45759.208903555111</v>
      </c>
      <c r="W242">
        <f t="shared" si="256"/>
        <v>376956.85018016049</v>
      </c>
      <c r="X242">
        <f t="shared" si="262"/>
        <v>613.96811821149186</v>
      </c>
      <c r="Y242" s="6">
        <f t="shared" si="263"/>
        <v>1203.3775116945239</v>
      </c>
      <c r="Z242" s="14">
        <f t="shared" si="220"/>
        <v>1.3417367409159725E-2</v>
      </c>
    </row>
    <row r="243" spans="1:26" x14ac:dyDescent="0.3">
      <c r="A243" t="str">
        <f>'rockfish harvests'!A242</f>
        <v>SE</v>
      </c>
      <c r="B243">
        <f>'rockfish harvests'!B242</f>
        <v>2013</v>
      </c>
      <c r="C243" t="str">
        <f>'rockfish harvests'!C242</f>
        <v>CSEO</v>
      </c>
      <c r="D243">
        <f>'rockfish harvests'!D242</f>
        <v>60735</v>
      </c>
      <c r="E243">
        <v>48283</v>
      </c>
      <c r="F243">
        <f>IF([2]species_comp_Region1_forR!$G17&gt;49,[2]species_comp_Region1_forR!$AD17,[2]species_comp_Region1_forR!$AF17)</f>
        <v>0.98436396699999995</v>
      </c>
      <c r="G243">
        <f>IF([2]species_comp_Region1_forR!$G17&gt;49,[2]species_comp_Region1_forR!$AE17,[2]species_comp_Region1_forR!$AG17)</f>
        <v>1.5528199999999999E-6</v>
      </c>
      <c r="H243" s="7">
        <f t="shared" si="257"/>
        <v>47528.045418661</v>
      </c>
      <c r="I243">
        <f t="shared" si="264"/>
        <v>3620.0086575609798</v>
      </c>
      <c r="J243">
        <f t="shared" si="258"/>
        <v>60.166507772688455</v>
      </c>
      <c r="K243" s="6">
        <f t="shared" si="259"/>
        <v>117.92635523446937</v>
      </c>
      <c r="M243" s="2">
        <f>'rockfish harvests'!O242</f>
        <v>9629.9871638141776</v>
      </c>
      <c r="N243">
        <f>'rockfish harvests'!P242</f>
        <v>3833914.1323344847</v>
      </c>
      <c r="O243">
        <f>IF([2]species_comp_Region1_forR!$D39&gt;49,[2]species_comp_Region1_forR!$N39,[2]species_comp_Region1_forR!$P39)</f>
        <v>0.60239651400000005</v>
      </c>
      <c r="P243">
        <f>IF([2]species_comp_Region1_forR!$D39&gt;49,[2]species_comp_Region1_forR!$O39,[2]species_comp_Region1_forR!$Q39)</f>
        <v>2.6119400000000002E-4</v>
      </c>
      <c r="Q243" s="13">
        <f t="shared" si="254"/>
        <v>5801.0706973464085</v>
      </c>
      <c r="R243" s="2">
        <f t="shared" si="196"/>
        <v>1416480.3942046673</v>
      </c>
      <c r="S243">
        <f t="shared" si="260"/>
        <v>1190.1598187658108</v>
      </c>
      <c r="T243" s="6">
        <f t="shared" si="261"/>
        <v>2332.713244780989</v>
      </c>
      <c r="V243" s="13">
        <f t="shared" si="255"/>
        <v>53329.116116007412</v>
      </c>
      <c r="W243">
        <f t="shared" si="256"/>
        <v>1420100.4028622282</v>
      </c>
      <c r="X243">
        <f t="shared" si="262"/>
        <v>1191.6796561417957</v>
      </c>
      <c r="Y243" s="6">
        <f t="shared" si="263"/>
        <v>2335.6921260379195</v>
      </c>
      <c r="Z243" s="14">
        <f t="shared" si="220"/>
        <v>2.2345760495064683E-2</v>
      </c>
    </row>
    <row r="244" spans="1:26" x14ac:dyDescent="0.3">
      <c r="A244" t="str">
        <f>'rockfish harvests'!A243</f>
        <v>SE</v>
      </c>
      <c r="B244">
        <f>'rockfish harvests'!B243</f>
        <v>2014</v>
      </c>
      <c r="C244" t="str">
        <f>'rockfish harvests'!C243</f>
        <v>CSEO</v>
      </c>
      <c r="D244">
        <f>'rockfish harvests'!D243</f>
        <v>73709</v>
      </c>
      <c r="E244">
        <v>60201</v>
      </c>
      <c r="F244">
        <f>IF([2]species_comp_Region1_forR!$G18&gt;49,[2]species_comp_Region1_forR!$AD18,[2]species_comp_Region1_forR!$AF18)</f>
        <v>0.95826043500000002</v>
      </c>
      <c r="G244">
        <f>IF([2]species_comp_Region1_forR!$G18&gt;49,[2]species_comp_Region1_forR!$AE18,[2]species_comp_Region1_forR!$AG18)</f>
        <v>4.99905E-6</v>
      </c>
      <c r="H244" s="7">
        <f t="shared" si="257"/>
        <v>57688.236447435003</v>
      </c>
      <c r="I244">
        <f t="shared" si="264"/>
        <v>18117.359052619049</v>
      </c>
      <c r="J244">
        <f t="shared" si="258"/>
        <v>134.60073942077381</v>
      </c>
      <c r="K244" s="6">
        <f t="shared" si="259"/>
        <v>263.81744926471663</v>
      </c>
      <c r="M244" s="2">
        <f>'rockfish harvests'!O243</f>
        <v>12999.052896462119</v>
      </c>
      <c r="N244">
        <f>'rockfish harvests'!P243</f>
        <v>10006306.818414057</v>
      </c>
      <c r="O244">
        <f>IF([2]species_comp_Region1_forR!$D40&gt;49,[2]species_comp_Region1_forR!$N40,[2]species_comp_Region1_forR!$P40)</f>
        <v>0.57264150899999999</v>
      </c>
      <c r="P244">
        <f>IF([2]species_comp_Region1_forR!$D40&gt;49,[2]species_comp_Region1_forR!$O40,[2]species_comp_Region1_forR!$Q40)</f>
        <v>2.31089E-4</v>
      </c>
      <c r="Q244" s="13">
        <f t="shared" si="254"/>
        <v>7443.7972662008888</v>
      </c>
      <c r="R244" s="2">
        <f t="shared" si="196"/>
        <v>3322611.7976052328</v>
      </c>
      <c r="S244">
        <f t="shared" si="260"/>
        <v>1822.8032800072619</v>
      </c>
      <c r="T244" s="6">
        <f t="shared" si="261"/>
        <v>3572.6944288142336</v>
      </c>
      <c r="V244" s="13">
        <f t="shared" si="255"/>
        <v>65132.033713635894</v>
      </c>
      <c r="W244">
        <f t="shared" si="256"/>
        <v>3340729.1566578518</v>
      </c>
      <c r="X244">
        <f t="shared" si="262"/>
        <v>1827.7661657492874</v>
      </c>
      <c r="Y244" s="6">
        <f t="shared" si="263"/>
        <v>3582.4216848686033</v>
      </c>
      <c r="Z244" s="14">
        <f t="shared" si="220"/>
        <v>2.80624765040406E-2</v>
      </c>
    </row>
    <row r="245" spans="1:26" x14ac:dyDescent="0.3">
      <c r="A245" t="str">
        <f>'rockfish harvests'!A244</f>
        <v>SE</v>
      </c>
      <c r="B245">
        <f>'rockfish harvests'!B244</f>
        <v>2015</v>
      </c>
      <c r="C245" t="str">
        <f>'rockfish harvests'!C244</f>
        <v>CSEO</v>
      </c>
      <c r="D245">
        <f>'rockfish harvests'!D244</f>
        <v>80105</v>
      </c>
      <c r="E245">
        <v>63217</v>
      </c>
      <c r="F245">
        <f>IF([2]species_comp_Region1_forR!$G19&gt;49,[2]species_comp_Region1_forR!$AD19,[2]species_comp_Region1_forR!$AF19)</f>
        <v>0.97065390699999998</v>
      </c>
      <c r="G245">
        <f>IF([2]species_comp_Region1_forR!$G19&gt;49,[2]species_comp_Region1_forR!$AE19,[2]species_comp_Region1_forR!$AG19)</f>
        <v>3.0290199999999998E-6</v>
      </c>
      <c r="H245" s="7">
        <f t="shared" si="257"/>
        <v>61361.828038818996</v>
      </c>
      <c r="I245">
        <f t="shared" si="264"/>
        <v>12105.142478362779</v>
      </c>
      <c r="J245">
        <f t="shared" si="258"/>
        <v>110.02337241860376</v>
      </c>
      <c r="K245" s="6">
        <f t="shared" si="259"/>
        <v>215.64580994046335</v>
      </c>
      <c r="M245" s="2">
        <f>'rockfish harvests'!O244</f>
        <v>8154.5459903117735</v>
      </c>
      <c r="N245">
        <f>'rockfish harvests'!P244</f>
        <v>3137762.110543259</v>
      </c>
      <c r="O245">
        <f>IF([2]species_comp_Region1_forR!$D41&gt;49,[2]species_comp_Region1_forR!$N41,[2]species_comp_Region1_forR!$P41)</f>
        <v>0.58013120900000004</v>
      </c>
      <c r="P245">
        <f>IF([2]species_comp_Region1_forR!$D41&gt;49,[2]species_comp_Region1_forR!$O41,[2]species_comp_Region1_forR!$Q41)</f>
        <v>2.2849799999999999E-4</v>
      </c>
      <c r="Q245" s="13">
        <f t="shared" si="254"/>
        <v>4730.7066242056717</v>
      </c>
      <c r="R245" s="2">
        <f t="shared" si="196"/>
        <v>1071932.1201691043</v>
      </c>
      <c r="S245">
        <f t="shared" si="260"/>
        <v>1035.3415475914719</v>
      </c>
      <c r="T245" s="6">
        <f t="shared" si="261"/>
        <v>2029.2694332792848</v>
      </c>
      <c r="V245" s="13">
        <f t="shared" si="255"/>
        <v>66092.534663024664</v>
      </c>
      <c r="W245">
        <f t="shared" si="256"/>
        <v>1084037.2626474672</v>
      </c>
      <c r="X245">
        <f t="shared" si="262"/>
        <v>1041.1711015234082</v>
      </c>
      <c r="Y245" s="6">
        <f t="shared" si="263"/>
        <v>2040.6953589858799</v>
      </c>
      <c r="Z245" s="14">
        <f t="shared" si="220"/>
        <v>1.5753233051688201E-2</v>
      </c>
    </row>
    <row r="246" spans="1:26" x14ac:dyDescent="0.3">
      <c r="A246" t="str">
        <f>'rockfish harvests'!A245</f>
        <v>SE</v>
      </c>
      <c r="B246">
        <f>'rockfish harvests'!B245</f>
        <v>2016</v>
      </c>
      <c r="C246" t="str">
        <f>'rockfish harvests'!C245</f>
        <v>CSEO</v>
      </c>
      <c r="D246">
        <f>'rockfish harvests'!D245</f>
        <v>54908</v>
      </c>
      <c r="E246">
        <v>42288</v>
      </c>
      <c r="F246">
        <f>IF([2]species_comp_Region1_forR!$G20&gt;49,[2]species_comp_Region1_forR!$AD20,[2]species_comp_Region1_forR!$AF20)</f>
        <v>0.94855967100000005</v>
      </c>
      <c r="G246">
        <f>IF([2]species_comp_Region1_forR!$G20&gt;49,[2]species_comp_Region1_forR!$AE20,[2]species_comp_Region1_forR!$AG20)</f>
        <v>6.6942299999999998E-6</v>
      </c>
      <c r="H246" s="7">
        <f t="shared" si="257"/>
        <v>40112.691367248</v>
      </c>
      <c r="I246">
        <f t="shared" si="264"/>
        <v>11971.123778373119</v>
      </c>
      <c r="J246">
        <f t="shared" si="258"/>
        <v>109.4126307990678</v>
      </c>
      <c r="K246" s="6">
        <f t="shared" si="259"/>
        <v>214.44875636617289</v>
      </c>
      <c r="M246" s="2">
        <f>'rockfish harvests'!O245</f>
        <v>8439.7721422199611</v>
      </c>
      <c r="N246">
        <f>'rockfish harvests'!P245</f>
        <v>2423165.6191606135</v>
      </c>
      <c r="O246">
        <f>IF([2]species_comp_Region1_forR!$D42&gt;49,[2]species_comp_Region1_forR!$N42,[2]species_comp_Region1_forR!$P42)</f>
        <v>0.511945392</v>
      </c>
      <c r="P246">
        <f>IF([2]species_comp_Region1_forR!$D42&gt;49,[2]species_comp_Region1_forR!$O42,[2]species_comp_Region1_forR!$Q42)</f>
        <v>2.1337099999999999E-4</v>
      </c>
      <c r="Q246" s="13">
        <f t="shared" si="254"/>
        <v>4320.7024577394777</v>
      </c>
      <c r="R246" s="2">
        <f t="shared" si="196"/>
        <v>650798.23235766753</v>
      </c>
      <c r="S246">
        <f t="shared" si="260"/>
        <v>806.72066563195688</v>
      </c>
      <c r="T246" s="6">
        <f t="shared" si="261"/>
        <v>1581.1725046386355</v>
      </c>
      <c r="V246" s="13">
        <f t="shared" si="255"/>
        <v>44433.393824987477</v>
      </c>
      <c r="W246">
        <f t="shared" si="256"/>
        <v>662769.35613604065</v>
      </c>
      <c r="X246">
        <f t="shared" si="262"/>
        <v>814.10647714905247</v>
      </c>
      <c r="Y246" s="6">
        <f t="shared" si="263"/>
        <v>1595.6486952121429</v>
      </c>
      <c r="Z246" s="14">
        <f t="shared" si="220"/>
        <v>1.8321951286359609E-2</v>
      </c>
    </row>
    <row r="247" spans="1:26" x14ac:dyDescent="0.3">
      <c r="A247" t="str">
        <f>'rockfish harvests'!A246</f>
        <v>SE</v>
      </c>
      <c r="B247">
        <f>'rockfish harvests'!B246</f>
        <v>2017</v>
      </c>
      <c r="C247" t="str">
        <f>'rockfish harvests'!C246</f>
        <v>CSEO</v>
      </c>
      <c r="D247">
        <f>'rockfish harvests'!D246</f>
        <v>57388</v>
      </c>
      <c r="E247">
        <v>46059</v>
      </c>
      <c r="F247">
        <f>IF([2]species_comp_Region1_forR!$G21&gt;49,[2]species_comp_Region1_forR!$AD21,[2]species_comp_Region1_forR!$AF21)</f>
        <v>0.93487873499999996</v>
      </c>
      <c r="G247">
        <f>IF([2]species_comp_Region1_forR!$G21&gt;49,[2]species_comp_Region1_forR!$AE21,[2]species_comp_Region1_forR!$AG21)</f>
        <v>8.1587399999999997E-6</v>
      </c>
      <c r="H247" s="7">
        <f t="shared" si="257"/>
        <v>43059.579655365</v>
      </c>
      <c r="I247">
        <f t="shared" si="264"/>
        <v>17308.20788129394</v>
      </c>
      <c r="J247">
        <f t="shared" si="258"/>
        <v>131.56066236263004</v>
      </c>
      <c r="K247" s="6">
        <f t="shared" si="259"/>
        <v>257.85889823075485</v>
      </c>
      <c r="M247" s="2">
        <f>'rockfish harvests'!O246</f>
        <v>14552.082903438393</v>
      </c>
      <c r="N247">
        <f>'rockfish harvests'!P246</f>
        <v>13249322.287968032</v>
      </c>
      <c r="O247">
        <f>IF([2]species_comp_Region1_forR!$D43&gt;49,[2]species_comp_Region1_forR!$N43,[2]species_comp_Region1_forR!$P43)</f>
        <v>0.503926702</v>
      </c>
      <c r="P247">
        <f>IF([2]species_comp_Region1_forR!$D43&gt;49,[2]species_comp_Region1_forR!$O43,[2]species_comp_Region1_forR!$Q43)</f>
        <v>3.2763399999999999E-4</v>
      </c>
      <c r="Q247" s="13">
        <f t="shared" si="254"/>
        <v>7333.1831447602945</v>
      </c>
      <c r="R247" s="2">
        <f t="shared" si="196"/>
        <v>3438282.7289455892</v>
      </c>
      <c r="S247">
        <f t="shared" si="260"/>
        <v>1854.2606960580245</v>
      </c>
      <c r="T247" s="6">
        <f t="shared" si="261"/>
        <v>3634.3509642737276</v>
      </c>
      <c r="V247" s="13">
        <f t="shared" si="255"/>
        <v>50392.762800125296</v>
      </c>
      <c r="W247">
        <f t="shared" si="256"/>
        <v>3455590.9368268829</v>
      </c>
      <c r="X247">
        <f t="shared" si="262"/>
        <v>1858.9219824475913</v>
      </c>
      <c r="Y247" s="6">
        <f t="shared" si="263"/>
        <v>3643.487085597279</v>
      </c>
      <c r="Z247" s="14">
        <f t="shared" si="220"/>
        <v>3.6888669704828514E-2</v>
      </c>
    </row>
    <row r="248" spans="1:26" x14ac:dyDescent="0.3">
      <c r="A248" t="str">
        <f>'rockfish harvests'!A247</f>
        <v>SE</v>
      </c>
      <c r="B248">
        <f>'rockfish harvests'!B247</f>
        <v>2018</v>
      </c>
      <c r="C248" t="str">
        <f>'rockfish harvests'!C247</f>
        <v>CSEO</v>
      </c>
      <c r="D248">
        <f>'rockfish harvests'!D247</f>
        <v>55460</v>
      </c>
      <c r="E248">
        <v>44943</v>
      </c>
      <c r="F248">
        <f>IF([2]species_comp_Region1_forR!$G22&gt;49,[2]species_comp_Region1_forR!$AD22,[2]species_comp_Region1_forR!$AF22)</f>
        <v>0.93213771700000003</v>
      </c>
      <c r="G248">
        <f>IF([2]species_comp_Region1_forR!$G22&gt;49,[2]species_comp_Region1_forR!$AE22,[2]species_comp_Region1_forR!$AG22)</f>
        <v>7.0036500000000003E-6</v>
      </c>
      <c r="H248" s="7">
        <f t="shared" si="257"/>
        <v>41893.065415131001</v>
      </c>
      <c r="I248">
        <f t="shared" si="264"/>
        <v>14146.485280358851</v>
      </c>
      <c r="J248">
        <f t="shared" si="258"/>
        <v>118.93899814761704</v>
      </c>
      <c r="K248" s="6">
        <f t="shared" si="259"/>
        <v>233.12043636932941</v>
      </c>
      <c r="M248" s="2">
        <f>'rockfish harvests'!O247</f>
        <v>6239.0473207200412</v>
      </c>
      <c r="N248">
        <f>'rockfish harvests'!P247</f>
        <v>1305580.4963851175</v>
      </c>
      <c r="O248">
        <f>IF([2]species_comp_Region1_forR!$D44&gt;49,[2]species_comp_Region1_forR!$N44,[2]species_comp_Region1_forR!$P44)</f>
        <v>0.60050890599999995</v>
      </c>
      <c r="P248">
        <f>IF([2]species_comp_Region1_forR!$D44&gt;49,[2]species_comp_Region1_forR!$O44,[2]species_comp_Region1_forR!$Q44)</f>
        <v>3.0560199999999998E-4</v>
      </c>
      <c r="Q248" s="13">
        <f t="shared" si="254"/>
        <v>3746.6034810478227</v>
      </c>
      <c r="R248" s="2">
        <f t="shared" si="196"/>
        <v>483101.38141010026</v>
      </c>
      <c r="S248">
        <f t="shared" si="260"/>
        <v>695.05494848256444</v>
      </c>
      <c r="T248" s="6">
        <f t="shared" si="261"/>
        <v>1362.3076990258262</v>
      </c>
      <c r="V248" s="13">
        <f t="shared" si="255"/>
        <v>45639.668896178824</v>
      </c>
      <c r="W248">
        <f t="shared" si="256"/>
        <v>497247.86669045914</v>
      </c>
      <c r="X248">
        <f t="shared" si="262"/>
        <v>705.15804376782023</v>
      </c>
      <c r="Y248" s="6">
        <f t="shared" si="263"/>
        <v>1382.1097657849277</v>
      </c>
      <c r="Z248" s="14">
        <f t="shared" si="220"/>
        <v>1.5450551259955777E-2</v>
      </c>
    </row>
    <row r="249" spans="1:26" x14ac:dyDescent="0.3">
      <c r="A249" t="str">
        <f>'rockfish harvests'!A248</f>
        <v>SE</v>
      </c>
      <c r="B249">
        <f>'rockfish harvests'!B248</f>
        <v>2019</v>
      </c>
      <c r="C249" t="str">
        <f>'rockfish harvests'!C248</f>
        <v>CSEO</v>
      </c>
      <c r="D249">
        <f>'rockfish harvests'!D248</f>
        <v>59842</v>
      </c>
      <c r="E249">
        <v>51062</v>
      </c>
      <c r="F249">
        <v>0.93164001254311701</v>
      </c>
      <c r="G249">
        <v>9.9869687269527644E-6</v>
      </c>
      <c r="H249" s="7">
        <f>E249*F249</f>
        <v>47571.402320476642</v>
      </c>
      <c r="I249">
        <f>(E249^2)*G249</f>
        <v>26039.301638941175</v>
      </c>
      <c r="J249">
        <f>SQRT(I249)</f>
        <v>161.36697815520117</v>
      </c>
      <c r="K249" s="6">
        <f>(1.96*J249)</f>
        <v>316.27927718419426</v>
      </c>
      <c r="M249" s="2">
        <f>'rockfish harvests'!O248</f>
        <v>9834.2503043694014</v>
      </c>
      <c r="N249">
        <f>'rockfish harvests'!P248</f>
        <v>3923387.5515685715</v>
      </c>
      <c r="O249">
        <v>0.58120805369127515</v>
      </c>
      <c r="P249">
        <v>3.2715759679526209E-4</v>
      </c>
      <c r="Q249" s="13">
        <f>M249*O249</f>
        <v>5715.7454789153699</v>
      </c>
      <c r="R249" s="2">
        <f t="shared" si="196"/>
        <v>1358255.095247484</v>
      </c>
      <c r="S249">
        <f>SQRT(R249)</f>
        <v>1165.4420171108832</v>
      </c>
      <c r="T249" s="6">
        <f>(1.96*S249)</f>
        <v>2284.2663535373308</v>
      </c>
      <c r="V249" s="13">
        <f>Q249+H249</f>
        <v>53287.147799392013</v>
      </c>
      <c r="W249">
        <f>R249+I249</f>
        <v>1384294.3968864253</v>
      </c>
      <c r="X249">
        <f>SQRT(W249)</f>
        <v>1176.5604093655477</v>
      </c>
      <c r="Y249" s="6">
        <f>(1.96*X249)</f>
        <v>2306.0584023564734</v>
      </c>
      <c r="Z249" s="14">
        <f t="shared" si="220"/>
        <v>2.2079628164654214E-2</v>
      </c>
    </row>
    <row r="250" spans="1:26" x14ac:dyDescent="0.3">
      <c r="A250" t="str">
        <f>'rockfish harvests'!A249</f>
        <v>SE</v>
      </c>
      <c r="B250">
        <f>'rockfish harvests'!B249</f>
        <v>2020</v>
      </c>
      <c r="C250" t="str">
        <f>'rockfish harvests'!C249</f>
        <v>CSEO</v>
      </c>
      <c r="D250">
        <f>'rockfish harvests'!D249</f>
        <v>24728</v>
      </c>
      <c r="E250">
        <v>23904</v>
      </c>
      <c r="F250" t="s">
        <v>278</v>
      </c>
      <c r="G250" t="s">
        <v>279</v>
      </c>
      <c r="H250" s="7">
        <f t="shared" ref="H250:H251" si="265">E250*F250</f>
        <v>22497.882352941167</v>
      </c>
      <c r="I250">
        <f t="shared" ref="I250:I251" si="266">(E250^2)*G250</f>
        <v>9901.3049758760062</v>
      </c>
      <c r="J250">
        <f t="shared" ref="J250:J251" si="267">SQRT(I250)</f>
        <v>99.505301245089484</v>
      </c>
      <c r="K250" s="6">
        <f t="shared" ref="K250:K251" si="268">(1.96*J250)</f>
        <v>195.03039044037538</v>
      </c>
      <c r="M250" s="2">
        <f>'rockfish harvests'!O249</f>
        <v>5579.5825129317564</v>
      </c>
      <c r="N250">
        <f>'rockfish harvests'!P249</f>
        <v>3148769.5238355137</v>
      </c>
      <c r="O250">
        <v>0.88378378378378375</v>
      </c>
      <c r="P250">
        <v>2.7834690326450384E-4</v>
      </c>
      <c r="Q250" s="13">
        <f t="shared" ref="Q250:Q251" si="269">M250*O250</f>
        <v>4931.14454521266</v>
      </c>
      <c r="R250" s="2">
        <f t="shared" si="196"/>
        <v>2468963.1771965767</v>
      </c>
      <c r="S250">
        <f t="shared" ref="S250:S251" si="270">SQRT(R250)</f>
        <v>1571.2934726512983</v>
      </c>
      <c r="T250" s="6">
        <f t="shared" ref="T250:T251" si="271">(1.96*S250)</f>
        <v>3079.7352063965445</v>
      </c>
      <c r="V250" s="13">
        <f t="shared" ref="V250:V251" si="272">Q250+H250</f>
        <v>27429.026898153828</v>
      </c>
      <c r="W250">
        <f t="shared" ref="W250:W251" si="273">R250+I250</f>
        <v>2478864.4821724528</v>
      </c>
      <c r="X250">
        <f t="shared" ref="X250:X251" si="274">SQRT(W250)</f>
        <v>1574.4410062534744</v>
      </c>
      <c r="Y250" s="6">
        <f t="shared" ref="Y250:Y251" si="275">(1.96*X250)</f>
        <v>3085.9043722568099</v>
      </c>
      <c r="Z250" s="14">
        <f t="shared" ref="Z250:Z251" si="276">X250/V250</f>
        <v>5.7400541845669548E-2</v>
      </c>
    </row>
    <row r="251" spans="1:26" x14ac:dyDescent="0.3">
      <c r="A251" t="str">
        <f>'rockfish harvests'!A250</f>
        <v>SE</v>
      </c>
      <c r="B251">
        <f>'rockfish harvests'!B250</f>
        <v>2021</v>
      </c>
      <c r="C251" t="str">
        <f>'rockfish harvests'!C250</f>
        <v>CSEO</v>
      </c>
      <c r="D251">
        <f>'rockfish harvests'!D250</f>
        <v>56521</v>
      </c>
      <c r="E251">
        <v>53700</v>
      </c>
      <c r="F251" t="s">
        <v>280</v>
      </c>
      <c r="G251" t="s">
        <v>281</v>
      </c>
      <c r="H251" s="7">
        <f t="shared" si="265"/>
        <v>52173.075122864495</v>
      </c>
      <c r="I251">
        <f t="shared" si="266"/>
        <v>8673.3115211498189</v>
      </c>
      <c r="J251">
        <f t="shared" si="267"/>
        <v>93.130615380495684</v>
      </c>
      <c r="K251" s="6">
        <f t="shared" si="268"/>
        <v>182.53600614577152</v>
      </c>
      <c r="M251" s="2">
        <f>'rockfish harvests'!O250</f>
        <v>6300.3832456916716</v>
      </c>
      <c r="N251">
        <f>'rockfish harvests'!P250</f>
        <v>1468791.0672018982</v>
      </c>
      <c r="O251">
        <v>0.89787234042553188</v>
      </c>
      <c r="P251">
        <v>1.9551727233328288E-4</v>
      </c>
      <c r="Q251" s="13">
        <f t="shared" si="269"/>
        <v>5656.9398503869897</v>
      </c>
      <c r="R251" s="2">
        <f t="shared" si="196"/>
        <v>1192150.4550002012</v>
      </c>
      <c r="S251">
        <f t="shared" si="270"/>
        <v>1091.8564260012399</v>
      </c>
      <c r="T251" s="6">
        <f t="shared" si="271"/>
        <v>2140.0385949624301</v>
      </c>
      <c r="V251" s="13">
        <f t="shared" si="272"/>
        <v>57830.014973251484</v>
      </c>
      <c r="W251">
        <f t="shared" si="273"/>
        <v>1200823.7665213509</v>
      </c>
      <c r="X251">
        <f t="shared" si="274"/>
        <v>1095.8210467596207</v>
      </c>
      <c r="Y251" s="6">
        <f t="shared" si="275"/>
        <v>2147.8092516488564</v>
      </c>
      <c r="Z251" s="14">
        <f t="shared" si="276"/>
        <v>1.8949001608705763E-2</v>
      </c>
    </row>
    <row r="252" spans="1:26" s="51" customFormat="1" x14ac:dyDescent="0.3">
      <c r="A252" s="51" t="s">
        <v>151</v>
      </c>
      <c r="B252" s="51">
        <v>2022</v>
      </c>
      <c r="C252" s="51" t="s">
        <v>42</v>
      </c>
      <c r="D252">
        <f>'rockfish harvests'!D251</f>
        <v>67729</v>
      </c>
      <c r="E252" s="51">
        <v>64331</v>
      </c>
      <c r="F252" t="s">
        <v>176</v>
      </c>
      <c r="G252" t="s">
        <v>282</v>
      </c>
      <c r="H252" s="7">
        <f t="shared" ref="H252" si="277">E252*F252</f>
        <v>62732.977797318083</v>
      </c>
      <c r="I252">
        <f t="shared" ref="I252" si="278">(E252^2)*G252</f>
        <v>10450.191948344123</v>
      </c>
      <c r="J252">
        <f t="shared" ref="J252" si="279">SQRT(I252)</f>
        <v>102.22618034703304</v>
      </c>
      <c r="K252" s="6">
        <f t="shared" ref="K252" si="280">(1.96*J252)</f>
        <v>200.36331348018476</v>
      </c>
      <c r="M252" s="2">
        <f>'rockfish harvests'!O251</f>
        <v>11225.939425595861</v>
      </c>
      <c r="N252">
        <f>'rockfish harvests'!P251</f>
        <v>5307635.0491281012</v>
      </c>
      <c r="O252" t="s">
        <v>177</v>
      </c>
      <c r="P252" t="s">
        <v>178</v>
      </c>
      <c r="Q252" s="13">
        <f t="shared" ref="Q252" si="281">M252*O252</f>
        <v>9937.3968132665996</v>
      </c>
      <c r="R252" s="2">
        <f t="shared" si="196"/>
        <v>4182362.4806063133</v>
      </c>
      <c r="S252">
        <f t="shared" ref="S252" si="282">SQRT(R252)</f>
        <v>2045.0825119310746</v>
      </c>
      <c r="T252" s="6">
        <f t="shared" ref="T252" si="283">(1.96*S252)</f>
        <v>4008.3617233849063</v>
      </c>
      <c r="V252" s="13">
        <f t="shared" ref="V252" si="284">Q252+H252</f>
        <v>72670.37461058468</v>
      </c>
      <c r="W252">
        <f t="shared" ref="W252" si="285">R252+I252</f>
        <v>4192812.6725546573</v>
      </c>
      <c r="X252">
        <f t="shared" ref="X252" si="286">SQRT(W252)</f>
        <v>2047.6358740153626</v>
      </c>
      <c r="Y252" s="6">
        <f t="shared" ref="Y252" si="287">(1.96*X252)</f>
        <v>4013.3663130701107</v>
      </c>
      <c r="Z252" s="14">
        <f t="shared" ref="Z252" si="288">X252/V252</f>
        <v>2.8177037547803114E-2</v>
      </c>
    </row>
    <row r="253" spans="1:26" x14ac:dyDescent="0.3">
      <c r="A253" t="str">
        <f>'rockfish harvests'!A252</f>
        <v>SE</v>
      </c>
      <c r="B253">
        <f>'rockfish harvests'!B252</f>
        <v>1998</v>
      </c>
      <c r="C253" t="str">
        <f>'rockfish harvests'!C252</f>
        <v>EWYKT</v>
      </c>
      <c r="D253">
        <f>'rockfish harvests'!D252</f>
        <v>1305</v>
      </c>
      <c r="E253">
        <v>699</v>
      </c>
      <c r="F253" s="32">
        <v>0.98779804699999996</v>
      </c>
      <c r="G253" s="32">
        <v>2.0975599999999999E-4</v>
      </c>
      <c r="H253" s="7">
        <f t="shared" si="257"/>
        <v>690.47083485299993</v>
      </c>
      <c r="I253">
        <f t="shared" si="264"/>
        <v>102.48699135599999</v>
      </c>
      <c r="J253">
        <f t="shared" si="258"/>
        <v>10.123585894138499</v>
      </c>
      <c r="K253" s="6">
        <f t="shared" si="259"/>
        <v>19.842228352511459</v>
      </c>
      <c r="M253" s="2">
        <f>'rockfish harvests'!O252</f>
        <v>340.03895326402039</v>
      </c>
      <c r="N253">
        <f>'rockfish harvests'!P252</f>
        <v>27091.93854220381</v>
      </c>
      <c r="O253" s="32">
        <v>0.86861137799999999</v>
      </c>
      <c r="P253" s="32">
        <v>5.2692640000000001E-3</v>
      </c>
      <c r="Q253" s="13">
        <f t="shared" si="254"/>
        <v>295.36170376833837</v>
      </c>
      <c r="R253" s="2">
        <f t="shared" si="196"/>
        <v>21192.501995787406</v>
      </c>
      <c r="S253">
        <f t="shared" si="260"/>
        <v>145.57644725637252</v>
      </c>
      <c r="T253" s="6">
        <f t="shared" si="261"/>
        <v>285.32983662249012</v>
      </c>
      <c r="V253" s="13">
        <f t="shared" si="255"/>
        <v>985.83253862133824</v>
      </c>
      <c r="W253">
        <f t="shared" si="256"/>
        <v>21294.988987143406</v>
      </c>
      <c r="X253">
        <f t="shared" si="262"/>
        <v>145.92802673627642</v>
      </c>
      <c r="Y253" s="6">
        <f t="shared" si="263"/>
        <v>286.01893240310176</v>
      </c>
      <c r="Z253" s="14">
        <f t="shared" si="220"/>
        <v>0.14802516758105089</v>
      </c>
    </row>
    <row r="254" spans="1:26" x14ac:dyDescent="0.3">
      <c r="A254" t="str">
        <f>'rockfish harvests'!A253</f>
        <v>SE</v>
      </c>
      <c r="B254">
        <f>'rockfish harvests'!B253</f>
        <v>1999</v>
      </c>
      <c r="C254" t="str">
        <f>'rockfish harvests'!C253</f>
        <v>EWYKT</v>
      </c>
      <c r="D254">
        <f>'rockfish harvests'!D253</f>
        <v>663</v>
      </c>
      <c r="E254">
        <v>547</v>
      </c>
      <c r="F254" s="32">
        <v>0.98779804699999996</v>
      </c>
      <c r="G254" s="32">
        <v>2.0975599999999999E-4</v>
      </c>
      <c r="H254" s="7">
        <f t="shared" si="257"/>
        <v>540.32553170899996</v>
      </c>
      <c r="I254">
        <f t="shared" si="264"/>
        <v>62.760883004</v>
      </c>
      <c r="J254">
        <f t="shared" si="258"/>
        <v>7.9221766582171087</v>
      </c>
      <c r="K254" s="6">
        <f t="shared" si="259"/>
        <v>15.527466250105533</v>
      </c>
      <c r="M254" s="2">
        <f>'rockfish harvests'!O253</f>
        <v>172.7554222329851</v>
      </c>
      <c r="N254">
        <f>'rockfish harvests'!P253</f>
        <v>6992.7196212962144</v>
      </c>
      <c r="O254" s="32">
        <v>0.86861137799999999</v>
      </c>
      <c r="P254" s="32">
        <v>5.2692640000000001E-3</v>
      </c>
      <c r="Q254" s="13">
        <f t="shared" si="254"/>
        <v>150.05732536276503</v>
      </c>
      <c r="R254" s="2">
        <f t="shared" si="196"/>
        <v>5470.0118376337832</v>
      </c>
      <c r="S254">
        <f t="shared" si="260"/>
        <v>73.959528376226032</v>
      </c>
      <c r="T254" s="6">
        <f t="shared" si="261"/>
        <v>144.96067561740301</v>
      </c>
      <c r="V254" s="13">
        <f t="shared" si="255"/>
        <v>690.38285707176499</v>
      </c>
      <c r="W254">
        <f t="shared" si="256"/>
        <v>5532.7727206377831</v>
      </c>
      <c r="X254">
        <f t="shared" si="262"/>
        <v>74.382610337617109</v>
      </c>
      <c r="Y254" s="6">
        <f t="shared" si="263"/>
        <v>145.78991626172953</v>
      </c>
      <c r="Z254" s="14">
        <f t="shared" si="220"/>
        <v>0.10774110274566837</v>
      </c>
    </row>
    <row r="255" spans="1:26" x14ac:dyDescent="0.3">
      <c r="A255" t="str">
        <f>'rockfish harvests'!A254</f>
        <v>SE</v>
      </c>
      <c r="B255">
        <f>'rockfish harvests'!B254</f>
        <v>2000</v>
      </c>
      <c r="C255" t="str">
        <f>'rockfish harvests'!C254</f>
        <v>EWYKT</v>
      </c>
      <c r="D255">
        <f>'rockfish harvests'!D254</f>
        <v>1199</v>
      </c>
      <c r="E255">
        <v>1057</v>
      </c>
      <c r="F255" s="32">
        <v>0.98779804699999996</v>
      </c>
      <c r="G255" s="32">
        <v>2.0975599999999999E-4</v>
      </c>
      <c r="H255" s="7">
        <f t="shared" si="257"/>
        <v>1044.1025356789999</v>
      </c>
      <c r="I255">
        <f t="shared" si="264"/>
        <v>234.34968124399998</v>
      </c>
      <c r="J255">
        <f t="shared" si="258"/>
        <v>15.308483962953353</v>
      </c>
      <c r="K255" s="6">
        <f t="shared" si="259"/>
        <v>30.004628567388572</v>
      </c>
      <c r="M255" s="2">
        <f>'rockfish harvests'!O254</f>
        <v>312.41893100655966</v>
      </c>
      <c r="N255">
        <f>'rockfish harvests'!P254</f>
        <v>22869.539754384543</v>
      </c>
      <c r="O255" s="32">
        <v>0.86861137799999999</v>
      </c>
      <c r="P255" s="32">
        <v>5.2692640000000001E-3</v>
      </c>
      <c r="Q255" s="13">
        <f t="shared" si="254"/>
        <v>271.37063817489474</v>
      </c>
      <c r="R255" s="2">
        <f t="shared" si="196"/>
        <v>17889.556560617704</v>
      </c>
      <c r="S255">
        <f t="shared" si="260"/>
        <v>133.75184694282805</v>
      </c>
      <c r="T255" s="6">
        <f t="shared" si="261"/>
        <v>262.153620007943</v>
      </c>
      <c r="V255" s="13">
        <f t="shared" si="255"/>
        <v>1315.4731738538947</v>
      </c>
      <c r="W255">
        <f t="shared" si="256"/>
        <v>18123.906241861703</v>
      </c>
      <c r="X255">
        <f t="shared" si="262"/>
        <v>134.62505800133087</v>
      </c>
      <c r="Y255" s="6">
        <f t="shared" si="263"/>
        <v>263.86511368260852</v>
      </c>
      <c r="Z255" s="14">
        <f t="shared" si="220"/>
        <v>0.10233964529046584</v>
      </c>
    </row>
    <row r="256" spans="1:26" x14ac:dyDescent="0.3">
      <c r="A256" t="str">
        <f>'rockfish harvests'!A255</f>
        <v>SE</v>
      </c>
      <c r="B256">
        <f>'rockfish harvests'!B255</f>
        <v>2001</v>
      </c>
      <c r="C256" t="str">
        <f>'rockfish harvests'!C255</f>
        <v>EWYKT</v>
      </c>
      <c r="D256">
        <f>'rockfish harvests'!D255</f>
        <v>1043</v>
      </c>
      <c r="E256">
        <v>891</v>
      </c>
      <c r="F256" s="32">
        <v>0.98779804699999996</v>
      </c>
      <c r="G256" s="32">
        <v>2.0975599999999999E-4</v>
      </c>
      <c r="H256" s="7">
        <f t="shared" si="257"/>
        <v>880.12805987699994</v>
      </c>
      <c r="I256">
        <f t="shared" si="264"/>
        <v>166.52130303599998</v>
      </c>
      <c r="J256">
        <f t="shared" si="258"/>
        <v>12.904313350039201</v>
      </c>
      <c r="K256" s="6">
        <f t="shared" si="259"/>
        <v>25.292454166076833</v>
      </c>
      <c r="M256" s="2">
        <f>'rockfish harvests'!O255</f>
        <v>271.77059636350441</v>
      </c>
      <c r="N256">
        <f>'rockfish harvests'!P255</f>
        <v>17305.640405277591</v>
      </c>
      <c r="O256" s="32">
        <v>0.86861137799999999</v>
      </c>
      <c r="P256" s="32">
        <v>5.2692640000000001E-3</v>
      </c>
      <c r="Q256" s="13">
        <f t="shared" si="254"/>
        <v>236.06303220718536</v>
      </c>
      <c r="R256" s="2">
        <f t="shared" si="196"/>
        <v>13537.230577129127</v>
      </c>
      <c r="S256">
        <f t="shared" si="260"/>
        <v>116.34960497195135</v>
      </c>
      <c r="T256" s="6">
        <f t="shared" si="261"/>
        <v>228.04522574502465</v>
      </c>
      <c r="V256" s="13">
        <f t="shared" si="255"/>
        <v>1116.1910920841854</v>
      </c>
      <c r="W256">
        <f t="shared" si="256"/>
        <v>13703.751880165126</v>
      </c>
      <c r="X256">
        <f t="shared" si="262"/>
        <v>117.06302524779174</v>
      </c>
      <c r="Y256" s="6">
        <f t="shared" si="263"/>
        <v>229.4435294856718</v>
      </c>
      <c r="Z256" s="14">
        <f t="shared" si="220"/>
        <v>0.10487722584240317</v>
      </c>
    </row>
    <row r="257" spans="1:26" x14ac:dyDescent="0.3">
      <c r="A257" t="str">
        <f>'rockfish harvests'!A256</f>
        <v>SE</v>
      </c>
      <c r="B257">
        <f>'rockfish harvests'!B256</f>
        <v>2002</v>
      </c>
      <c r="C257" t="str">
        <f>'rockfish harvests'!C256</f>
        <v>EWYKT</v>
      </c>
      <c r="D257">
        <f>'rockfish harvests'!D256</f>
        <v>893</v>
      </c>
      <c r="E257">
        <v>791</v>
      </c>
      <c r="F257" s="32">
        <v>0.98779804699999996</v>
      </c>
      <c r="G257" s="32">
        <v>2.0975599999999999E-4</v>
      </c>
      <c r="H257" s="7">
        <f t="shared" si="257"/>
        <v>781.34825517699994</v>
      </c>
      <c r="I257">
        <f t="shared" si="264"/>
        <v>131.24034383599999</v>
      </c>
      <c r="J257">
        <f t="shared" si="258"/>
        <v>11.456017800090919</v>
      </c>
      <c r="K257" s="6">
        <f t="shared" si="259"/>
        <v>22.453794888178201</v>
      </c>
      <c r="M257" s="2">
        <f>'rockfish harvests'!O256</f>
        <v>232.6856592067204</v>
      </c>
      <c r="N257">
        <f>'rockfish harvests'!P256</f>
        <v>12685.920229322461</v>
      </c>
      <c r="O257" s="32">
        <v>0.86861137799999999</v>
      </c>
      <c r="P257" s="32">
        <v>5.2692640000000001E-3</v>
      </c>
      <c r="Q257" s="13">
        <f t="shared" si="254"/>
        <v>202.11341108438779</v>
      </c>
      <c r="R257" s="2">
        <f t="shared" si="196"/>
        <v>9923.4829342133362</v>
      </c>
      <c r="S257">
        <f t="shared" si="260"/>
        <v>99.616679999954513</v>
      </c>
      <c r="T257" s="6">
        <f t="shared" si="261"/>
        <v>195.24869279991086</v>
      </c>
      <c r="V257" s="13">
        <f t="shared" si="255"/>
        <v>983.46166626138779</v>
      </c>
      <c r="W257">
        <f t="shared" si="256"/>
        <v>10054.723278049336</v>
      </c>
      <c r="X257">
        <f t="shared" si="262"/>
        <v>100.27324308133917</v>
      </c>
      <c r="Y257" s="6">
        <f t="shared" si="263"/>
        <v>196.53555643942477</v>
      </c>
      <c r="Z257" s="14">
        <f t="shared" si="220"/>
        <v>0.10195948303966554</v>
      </c>
    </row>
    <row r="258" spans="1:26" x14ac:dyDescent="0.3">
      <c r="A258" t="str">
        <f>'rockfish harvests'!A257</f>
        <v>SE</v>
      </c>
      <c r="B258">
        <f>'rockfish harvests'!B257</f>
        <v>2003</v>
      </c>
      <c r="C258" t="str">
        <f>'rockfish harvests'!C257</f>
        <v>EWYKT</v>
      </c>
      <c r="D258">
        <f>'rockfish harvests'!D257</f>
        <v>1627</v>
      </c>
      <c r="E258">
        <v>1184</v>
      </c>
      <c r="F258" s="32">
        <v>0.98779804699999996</v>
      </c>
      <c r="G258" s="32">
        <v>2.0975599999999999E-4</v>
      </c>
      <c r="H258" s="7">
        <f t="shared" si="257"/>
        <v>1169.552887648</v>
      </c>
      <c r="I258">
        <f t="shared" si="264"/>
        <v>294.04770713599999</v>
      </c>
      <c r="J258">
        <f t="shared" si="258"/>
        <v>17.147819311387671</v>
      </c>
      <c r="K258" s="6">
        <f t="shared" si="259"/>
        <v>33.609725850319833</v>
      </c>
      <c r="M258" s="2">
        <f>'rockfish harvests'!O257</f>
        <v>423.94128502725016</v>
      </c>
      <c r="N258">
        <f>'rockfish harvests'!P257</f>
        <v>42110.865184765593</v>
      </c>
      <c r="O258" s="32">
        <v>0.86861137799999999</v>
      </c>
      <c r="P258" s="32">
        <v>5.2692640000000001E-3</v>
      </c>
      <c r="Q258" s="13">
        <f t="shared" si="254"/>
        <v>368.24022377861053</v>
      </c>
      <c r="R258" s="2">
        <f t="shared" si="196"/>
        <v>32940.964821776965</v>
      </c>
      <c r="S258">
        <f t="shared" si="260"/>
        <v>181.49645952959239</v>
      </c>
      <c r="T258" s="6">
        <f t="shared" si="261"/>
        <v>355.7330606780011</v>
      </c>
      <c r="V258" s="13">
        <f t="shared" si="255"/>
        <v>1537.7931114266105</v>
      </c>
      <c r="W258">
        <f t="shared" si="256"/>
        <v>33235.012528912965</v>
      </c>
      <c r="X258">
        <f t="shared" si="262"/>
        <v>182.30472437354157</v>
      </c>
      <c r="Y258" s="6">
        <f t="shared" si="263"/>
        <v>357.31725977214148</v>
      </c>
      <c r="Z258" s="14">
        <f t="shared" si="220"/>
        <v>0.11854957797568588</v>
      </c>
    </row>
    <row r="259" spans="1:26" x14ac:dyDescent="0.3">
      <c r="A259" t="str">
        <f>'rockfish harvests'!A258</f>
        <v>SE</v>
      </c>
      <c r="B259">
        <f>'rockfish harvests'!B258</f>
        <v>2004</v>
      </c>
      <c r="C259" t="str">
        <f>'rockfish harvests'!C258</f>
        <v>EWYKT</v>
      </c>
      <c r="D259">
        <f>'rockfish harvests'!D258</f>
        <v>1501</v>
      </c>
      <c r="E259">
        <v>1123</v>
      </c>
      <c r="F259" s="32">
        <v>0.98779804699999996</v>
      </c>
      <c r="G259" s="32">
        <v>2.0975599999999999E-4</v>
      </c>
      <c r="H259" s="7">
        <f t="shared" si="257"/>
        <v>1109.2972067809999</v>
      </c>
      <c r="I259">
        <f t="shared" si="264"/>
        <v>264.52937452399999</v>
      </c>
      <c r="J259">
        <f t="shared" si="258"/>
        <v>16.264359025919219</v>
      </c>
      <c r="K259" s="6">
        <f t="shared" si="259"/>
        <v>31.878143690801668</v>
      </c>
      <c r="M259" s="2">
        <f>'rockfish harvests'!O258</f>
        <v>391.10993781555135</v>
      </c>
      <c r="N259">
        <f>'rockfish harvests'!P258</f>
        <v>35841.026777365994</v>
      </c>
      <c r="O259" s="32">
        <v>0.86861137799999999</v>
      </c>
      <c r="P259" s="32">
        <v>5.2692640000000001E-3</v>
      </c>
      <c r="Q259" s="13">
        <f t="shared" si="254"/>
        <v>339.72254203546038</v>
      </c>
      <c r="R259" s="2">
        <f t="shared" si="196"/>
        <v>28036.422359631255</v>
      </c>
      <c r="S259">
        <f t="shared" si="260"/>
        <v>167.44080255311505</v>
      </c>
      <c r="T259" s="6">
        <f t="shared" si="261"/>
        <v>328.1839730041055</v>
      </c>
      <c r="V259" s="13">
        <f t="shared" si="255"/>
        <v>1449.0197488164604</v>
      </c>
      <c r="W259">
        <f t="shared" si="256"/>
        <v>28300.951734155256</v>
      </c>
      <c r="X259">
        <f t="shared" si="262"/>
        <v>168.2288671249832</v>
      </c>
      <c r="Y259" s="6">
        <f t="shared" si="263"/>
        <v>329.72857956496705</v>
      </c>
      <c r="Z259" s="14">
        <f t="shared" si="220"/>
        <v>0.11609839497521704</v>
      </c>
    </row>
    <row r="260" spans="1:26" x14ac:dyDescent="0.3">
      <c r="A260" t="str">
        <f>'rockfish harvests'!A259</f>
        <v>SE</v>
      </c>
      <c r="B260">
        <f>'rockfish harvests'!B259</f>
        <v>2005</v>
      </c>
      <c r="C260" t="str">
        <f>'rockfish harvests'!C259</f>
        <v>EWYKT</v>
      </c>
      <c r="D260">
        <f>'rockfish harvests'!D259</f>
        <v>1676</v>
      </c>
      <c r="E260">
        <v>1392</v>
      </c>
      <c r="F260" s="32">
        <v>0.98779804699999996</v>
      </c>
      <c r="G260" s="32">
        <v>2.0975599999999999E-4</v>
      </c>
      <c r="H260" s="7">
        <f t="shared" si="257"/>
        <v>1375.0148814239999</v>
      </c>
      <c r="I260">
        <f t="shared" si="264"/>
        <v>406.43664998399998</v>
      </c>
      <c r="J260">
        <f t="shared" si="258"/>
        <v>20.160274055280102</v>
      </c>
      <c r="K260" s="6">
        <f t="shared" si="259"/>
        <v>39.514137148349</v>
      </c>
      <c r="M260" s="2">
        <f>'rockfish harvests'!O259</f>
        <v>436.70903116513273</v>
      </c>
      <c r="N260">
        <f>'rockfish harvests'!P259</f>
        <v>44685.54786836687</v>
      </c>
      <c r="O260" s="32">
        <v>0.86861137799999999</v>
      </c>
      <c r="P260" s="32">
        <v>5.2692640000000001E-3</v>
      </c>
      <c r="Q260" s="13">
        <f t="shared" si="254"/>
        <v>379.33043334539087</v>
      </c>
      <c r="R260" s="2">
        <f t="shared" ref="R260:R323" si="289">(M260^2)*P260+(O260^2)*N260+(P260*N260)</f>
        <v>34954.994486938784</v>
      </c>
      <c r="S260">
        <f t="shared" si="260"/>
        <v>186.96254835377803</v>
      </c>
      <c r="T260" s="6">
        <f t="shared" si="261"/>
        <v>366.44659477340491</v>
      </c>
      <c r="V260" s="13">
        <f t="shared" si="255"/>
        <v>1754.3453147693908</v>
      </c>
      <c r="W260">
        <f t="shared" si="256"/>
        <v>35361.431136922787</v>
      </c>
      <c r="X260">
        <f t="shared" si="262"/>
        <v>188.04635369217556</v>
      </c>
      <c r="Y260" s="6">
        <f t="shared" si="263"/>
        <v>368.57085323666411</v>
      </c>
      <c r="Z260" s="14">
        <f t="shared" si="220"/>
        <v>0.10718890523379902</v>
      </c>
    </row>
    <row r="261" spans="1:26" x14ac:dyDescent="0.3">
      <c r="A261" t="str">
        <f>'rockfish harvests'!A260</f>
        <v>SE</v>
      </c>
      <c r="B261">
        <f>'rockfish harvests'!B260</f>
        <v>2006</v>
      </c>
      <c r="C261" t="str">
        <f>'rockfish harvests'!C260</f>
        <v>EWYKT</v>
      </c>
      <c r="D261">
        <f>'rockfish harvests'!D260</f>
        <v>2529</v>
      </c>
      <c r="E261">
        <v>2089</v>
      </c>
      <c r="F261">
        <f>IF([2]species_comp_Region1_forR!$G318&gt;49,[2]species_comp_Region1_forR!$AD318,[2]species_comp_Region1_forR!$AF318)</f>
        <v>0.99932341000000002</v>
      </c>
      <c r="G261">
        <f>IF([2]species_comp_Region1_forR!$G318&gt;49,[2]species_comp_Region1_forR!$AE318,[2]species_comp_Region1_forR!$AG318)</f>
        <v>4.5777400000000001E-7</v>
      </c>
      <c r="H261" s="7">
        <f t="shared" si="257"/>
        <v>2087.58660349</v>
      </c>
      <c r="I261">
        <f t="shared" si="264"/>
        <v>1.997689571854</v>
      </c>
      <c r="J261">
        <f t="shared" si="258"/>
        <v>1.4133964666200352</v>
      </c>
      <c r="K261" s="6">
        <f t="shared" si="259"/>
        <v>2.770257074575269</v>
      </c>
      <c r="M261" s="2">
        <f>'rockfish harvests'!O260</f>
        <v>658.97204046337765</v>
      </c>
      <c r="N261">
        <f>'rockfish harvests'!P260</f>
        <v>101745.85299552699</v>
      </c>
      <c r="O261">
        <f>IF([2]species_comp_Region1_forR!$D340&gt;49,[2]species_comp_Region1_forR!$N340,[2]species_comp_Region1_forR!$P340)</f>
        <v>0.91249999999999998</v>
      </c>
      <c r="P261">
        <f>IF([2]species_comp_Region1_forR!$D340&gt;49,[2]species_comp_Region1_forR!$O340,[2]species_comp_Region1_forR!$Q340)</f>
        <v>5.0216200000000001E-4</v>
      </c>
      <c r="Q261" s="13">
        <f t="shared" si="254"/>
        <v>601.31198692283215</v>
      </c>
      <c r="R261" s="2">
        <f t="shared" si="289"/>
        <v>84988.474220247488</v>
      </c>
      <c r="S261">
        <f t="shared" si="260"/>
        <v>291.52782752294416</v>
      </c>
      <c r="T261" s="6">
        <f t="shared" si="261"/>
        <v>571.39454194497057</v>
      </c>
      <c r="V261" s="13">
        <f t="shared" si="255"/>
        <v>2688.8985904128322</v>
      </c>
      <c r="W261">
        <f t="shared" si="256"/>
        <v>84990.471909819345</v>
      </c>
      <c r="X261">
        <f t="shared" si="262"/>
        <v>291.53125374446449</v>
      </c>
      <c r="Y261" s="6">
        <f t="shared" si="263"/>
        <v>571.40125733915045</v>
      </c>
      <c r="Z261" s="14">
        <f t="shared" si="220"/>
        <v>0.10842032302144392</v>
      </c>
    </row>
    <row r="262" spans="1:26" x14ac:dyDescent="0.3">
      <c r="A262" t="str">
        <f>'rockfish harvests'!A261</f>
        <v>SE</v>
      </c>
      <c r="B262">
        <f>'rockfish harvests'!B261</f>
        <v>2007</v>
      </c>
      <c r="C262" t="str">
        <f>'rockfish harvests'!C261</f>
        <v>EWYKT</v>
      </c>
      <c r="D262">
        <f>'rockfish harvests'!D261</f>
        <v>2290</v>
      </c>
      <c r="E262">
        <v>1956</v>
      </c>
      <c r="F262">
        <f>IF([2]species_comp_Region1_forR!$G319&gt;49,[2]species_comp_Region1_forR!$AD319,[2]species_comp_Region1_forR!$AF319)</f>
        <v>1</v>
      </c>
      <c r="G262">
        <f>IF([2]species_comp_Region1_forR!$G319&gt;49,[2]species_comp_Region1_forR!$AE319,[2]species_comp_Region1_forR!$AG319)</f>
        <v>0</v>
      </c>
      <c r="H262" s="7">
        <f t="shared" si="257"/>
        <v>1956</v>
      </c>
      <c r="I262">
        <f t="shared" si="264"/>
        <v>0</v>
      </c>
      <c r="J262">
        <f t="shared" si="258"/>
        <v>0</v>
      </c>
      <c r="K262" s="6">
        <f t="shared" si="259"/>
        <v>0</v>
      </c>
      <c r="M262" s="2">
        <f>'rockfish harvests'!O261</f>
        <v>596.69670726023514</v>
      </c>
      <c r="N262">
        <f>'rockfish harvests'!P261</f>
        <v>83423.810519029968</v>
      </c>
      <c r="O262">
        <f>IF([2]species_comp_Region1_forR!$D341&gt;49,[2]species_comp_Region1_forR!$N341,[2]species_comp_Region1_forR!$P341)</f>
        <v>0.94904458599999997</v>
      </c>
      <c r="P262">
        <f>IF([2]species_comp_Region1_forR!$D341&gt;49,[2]species_comp_Region1_forR!$O341,[2]species_comp_Region1_forR!$Q341)</f>
        <v>3.09993E-4</v>
      </c>
      <c r="Q262" s="13">
        <f t="shared" si="254"/>
        <v>566.29177950935309</v>
      </c>
      <c r="R262" s="2">
        <f t="shared" si="289"/>
        <v>75274.85988135665</v>
      </c>
      <c r="S262">
        <f t="shared" si="260"/>
        <v>274.36264301350622</v>
      </c>
      <c r="T262" s="6">
        <f t="shared" si="261"/>
        <v>537.75078030647217</v>
      </c>
      <c r="V262" s="13">
        <f t="shared" si="255"/>
        <v>2522.2917795093531</v>
      </c>
      <c r="W262">
        <f t="shared" si="256"/>
        <v>75274.85988135665</v>
      </c>
      <c r="X262">
        <f t="shared" si="262"/>
        <v>274.36264301350622</v>
      </c>
      <c r="Y262" s="6">
        <f t="shared" si="263"/>
        <v>537.75078030647217</v>
      </c>
      <c r="Z262" s="14">
        <f t="shared" si="220"/>
        <v>0.1087751406250376</v>
      </c>
    </row>
    <row r="263" spans="1:26" x14ac:dyDescent="0.3">
      <c r="A263" t="str">
        <f>'rockfish harvests'!A262</f>
        <v>SE</v>
      </c>
      <c r="B263">
        <f>'rockfish harvests'!B262</f>
        <v>2008</v>
      </c>
      <c r="C263" t="str">
        <f>'rockfish harvests'!C262</f>
        <v>EWYKT</v>
      </c>
      <c r="D263">
        <f>'rockfish harvests'!D262</f>
        <v>2857</v>
      </c>
      <c r="E263">
        <v>2456</v>
      </c>
      <c r="F263">
        <f>IF([2]species_comp_Region1_forR!$G320&gt;49,[2]species_comp_Region1_forR!$AD320,[2]species_comp_Region1_forR!$AF320)</f>
        <v>0.99932111300000004</v>
      </c>
      <c r="G263">
        <f>IF([2]species_comp_Region1_forR!$G320&gt;49,[2]species_comp_Region1_forR!$AE320,[2]species_comp_Region1_forR!$AG320)</f>
        <v>4.6088700000000002E-7</v>
      </c>
      <c r="H263" s="7">
        <f t="shared" si="257"/>
        <v>2454.3326535280003</v>
      </c>
      <c r="I263">
        <f t="shared" si="264"/>
        <v>2.7800408872319999</v>
      </c>
      <c r="J263">
        <f t="shared" si="258"/>
        <v>1.6673454612742975</v>
      </c>
      <c r="K263" s="6">
        <f t="shared" si="259"/>
        <v>3.2679971040976232</v>
      </c>
      <c r="M263" s="2">
        <f>'rockfish harvests'!O262</f>
        <v>744.43776971287843</v>
      </c>
      <c r="N263">
        <f>'rockfish harvests'!P262</f>
        <v>129849.277997606</v>
      </c>
      <c r="O263">
        <f>IF([2]species_comp_Region1_forR!$D342&gt;49,[2]species_comp_Region1_forR!$N342,[2]species_comp_Region1_forR!$P342)</f>
        <v>0.79104477600000001</v>
      </c>
      <c r="P263">
        <f>IF([2]species_comp_Region1_forR!$D342&gt;49,[2]species_comp_Region1_forR!$O342,[2]species_comp_Region1_forR!$Q342)</f>
        <v>2.5044379999999999E-3</v>
      </c>
      <c r="Q263" s="13">
        <f t="shared" si="254"/>
        <v>588.88360878846356</v>
      </c>
      <c r="R263" s="2">
        <f t="shared" si="289"/>
        <v>82966.552255890463</v>
      </c>
      <c r="S263">
        <f t="shared" si="260"/>
        <v>288.03915056097924</v>
      </c>
      <c r="T263" s="6">
        <f t="shared" si="261"/>
        <v>564.5567350995193</v>
      </c>
      <c r="V263" s="13">
        <f t="shared" si="255"/>
        <v>3043.2162623164641</v>
      </c>
      <c r="W263">
        <f t="shared" si="256"/>
        <v>82969.332296777691</v>
      </c>
      <c r="X263">
        <f t="shared" si="262"/>
        <v>288.04397632441072</v>
      </c>
      <c r="Y263" s="6">
        <f t="shared" si="263"/>
        <v>564.56619359584499</v>
      </c>
      <c r="Z263" s="14">
        <f t="shared" si="220"/>
        <v>9.4651168860787657E-2</v>
      </c>
    </row>
    <row r="264" spans="1:26" x14ac:dyDescent="0.3">
      <c r="A264" t="str">
        <f>'rockfish harvests'!A263</f>
        <v>SE</v>
      </c>
      <c r="B264">
        <f>'rockfish harvests'!B263</f>
        <v>2009</v>
      </c>
      <c r="C264" t="str">
        <f>'rockfish harvests'!C263</f>
        <v>EWYKT</v>
      </c>
      <c r="D264">
        <f>'rockfish harvests'!D263</f>
        <v>2494</v>
      </c>
      <c r="E264">
        <v>2193</v>
      </c>
      <c r="F264">
        <f>IF([2]species_comp_Region1_forR!$G321&gt;49,[2]species_comp_Region1_forR!$AD321,[2]species_comp_Region1_forR!$AF321)</f>
        <v>0.99759615400000001</v>
      </c>
      <c r="G264">
        <f>IF([2]species_comp_Region1_forR!$G321&gt;49,[2]species_comp_Region1_forR!$AE321,[2]species_comp_Region1_forR!$AG321)</f>
        <v>1.9230699999999999E-6</v>
      </c>
      <c r="H264" s="7">
        <f t="shared" si="257"/>
        <v>2187.728365722</v>
      </c>
      <c r="I264">
        <f t="shared" si="264"/>
        <v>9.2485224744299988</v>
      </c>
      <c r="J264">
        <f t="shared" si="258"/>
        <v>3.0411383517410053</v>
      </c>
      <c r="K264" s="6">
        <f t="shared" si="259"/>
        <v>5.9606311694123706</v>
      </c>
      <c r="M264" s="2">
        <f>'rockfish harvests'!O263</f>
        <v>649.85222179346101</v>
      </c>
      <c r="N264">
        <f>'rockfish harvests'!P263</f>
        <v>98949.124670686113</v>
      </c>
      <c r="O264">
        <f>IF([2]species_comp_Region1_forR!$D343&gt;49,[2]species_comp_Region1_forR!$N343,[2]species_comp_Region1_forR!$P343)</f>
        <v>0.94270833300000001</v>
      </c>
      <c r="P264">
        <f>IF([2]species_comp_Region1_forR!$D343&gt;49,[2]species_comp_Region1_forR!$O343,[2]species_comp_Region1_forR!$Q343)</f>
        <v>2.8277100000000002E-4</v>
      </c>
      <c r="Q264" s="13">
        <f t="shared" si="254"/>
        <v>612.6211047032599</v>
      </c>
      <c r="R264" s="2">
        <f t="shared" si="289"/>
        <v>88083.384628312881</v>
      </c>
      <c r="S264">
        <f t="shared" si="260"/>
        <v>296.78845096855247</v>
      </c>
      <c r="T264" s="6">
        <f t="shared" si="261"/>
        <v>581.70536389836286</v>
      </c>
      <c r="V264" s="13">
        <f t="shared" si="255"/>
        <v>2800.3494704252598</v>
      </c>
      <c r="W264">
        <f t="shared" si="256"/>
        <v>88092.633150787311</v>
      </c>
      <c r="X264">
        <f t="shared" si="262"/>
        <v>296.80403156087237</v>
      </c>
      <c r="Y264" s="6">
        <f t="shared" si="263"/>
        <v>581.73590185930982</v>
      </c>
      <c r="Z264" s="14">
        <f t="shared" si="220"/>
        <v>0.10598821136270532</v>
      </c>
    </row>
    <row r="265" spans="1:26" x14ac:dyDescent="0.3">
      <c r="A265" t="str">
        <f>'rockfish harvests'!A264</f>
        <v>SE</v>
      </c>
      <c r="B265">
        <f>'rockfish harvests'!B264</f>
        <v>2010</v>
      </c>
      <c r="C265" t="str">
        <f>'rockfish harvests'!C264</f>
        <v>EWYKT</v>
      </c>
      <c r="D265">
        <f>'rockfish harvests'!D264</f>
        <v>2435</v>
      </c>
      <c r="E265">
        <v>1932</v>
      </c>
      <c r="F265">
        <f>IF([2]species_comp_Region1_forR!$G322&gt;49,[2]species_comp_Region1_forR!$AD322,[2]species_comp_Region1_forR!$AF322)</f>
        <v>0.97794117599999997</v>
      </c>
      <c r="G265">
        <f>IF([2]species_comp_Region1_forR!$G322&gt;49,[2]species_comp_Region1_forR!$AE322,[2]species_comp_Region1_forR!$AG322)</f>
        <v>3.1770599999999997E-5</v>
      </c>
      <c r="H265" s="7">
        <f t="shared" si="257"/>
        <v>1889.382352032</v>
      </c>
      <c r="I265">
        <f t="shared" si="264"/>
        <v>118.58770405439999</v>
      </c>
      <c r="J265">
        <f t="shared" si="258"/>
        <v>10.889798164079993</v>
      </c>
      <c r="K265" s="6">
        <f t="shared" si="259"/>
        <v>21.344004401596784</v>
      </c>
      <c r="M265" s="2">
        <f>'rockfish harvests'!O264</f>
        <v>634.4788131784594</v>
      </c>
      <c r="N265">
        <f>'rockfish harvests'!P264</f>
        <v>94322.866254399312</v>
      </c>
      <c r="O265">
        <f>IF([2]species_comp_Region1_forR!$D344&gt;49,[2]species_comp_Region1_forR!$N344,[2]species_comp_Region1_forR!$P344)</f>
        <v>0.89552238799999995</v>
      </c>
      <c r="P265">
        <f>IF([2]species_comp_Region1_forR!$D344&gt;49,[2]species_comp_Region1_forR!$O344,[2]species_comp_Region1_forR!$Q344)</f>
        <v>4.6780999999999998E-4</v>
      </c>
      <c r="Q265" s="13">
        <f t="shared" si="254"/>
        <v>568.18998191297976</v>
      </c>
      <c r="R265" s="2">
        <f t="shared" si="289"/>
        <v>75875.646937561192</v>
      </c>
      <c r="S265">
        <f t="shared" si="260"/>
        <v>275.45534472498656</v>
      </c>
      <c r="T265" s="6">
        <f t="shared" si="261"/>
        <v>539.89247566097367</v>
      </c>
      <c r="V265" s="13">
        <f t="shared" si="255"/>
        <v>2457.5723339449796</v>
      </c>
      <c r="W265">
        <f t="shared" si="256"/>
        <v>75994.234641615592</v>
      </c>
      <c r="X265">
        <f t="shared" si="262"/>
        <v>275.67051826703482</v>
      </c>
      <c r="Y265" s="6">
        <f t="shared" si="263"/>
        <v>540.31421580338827</v>
      </c>
      <c r="Z265" s="14">
        <f t="shared" si="220"/>
        <v>0.11217188379742175</v>
      </c>
    </row>
    <row r="266" spans="1:26" x14ac:dyDescent="0.3">
      <c r="A266" t="str">
        <f>'rockfish harvests'!A265</f>
        <v>SE</v>
      </c>
      <c r="B266">
        <f>'rockfish harvests'!B265</f>
        <v>2011</v>
      </c>
      <c r="C266" t="str">
        <f>'rockfish harvests'!C265</f>
        <v>EWYKT</v>
      </c>
      <c r="D266">
        <f>'rockfish harvests'!D265</f>
        <v>2848</v>
      </c>
      <c r="E266">
        <v>2363</v>
      </c>
      <c r="F266">
        <f>IF([2]species_comp_Region1_forR!$G323&gt;49,[2]species_comp_Region1_forR!$AD323,[2]species_comp_Region1_forR!$AF323)</f>
        <v>0.98593750000000002</v>
      </c>
      <c r="G266">
        <f>IF([2]species_comp_Region1_forR!$G323&gt;49,[2]species_comp_Region1_forR!$AE323,[2]species_comp_Region1_forR!$AG323)</f>
        <v>1.08403E-5</v>
      </c>
      <c r="H266" s="7">
        <f t="shared" si="257"/>
        <v>2329.7703125000003</v>
      </c>
      <c r="I266">
        <f t="shared" si="264"/>
        <v>60.529731090700004</v>
      </c>
      <c r="J266">
        <f t="shared" si="258"/>
        <v>7.7800855452044999</v>
      </c>
      <c r="K266" s="6">
        <f t="shared" si="259"/>
        <v>15.24896766860082</v>
      </c>
      <c r="M266" s="2">
        <f>'rockfish harvests'!O265</f>
        <v>1436.4366812227072</v>
      </c>
      <c r="N266">
        <f>'rockfish harvests'!P265</f>
        <v>404683.38862902793</v>
      </c>
      <c r="O266">
        <f>IF([2]species_comp_Region1_forR!$D345&gt;49,[2]species_comp_Region1_forR!$N345,[2]species_comp_Region1_forR!$P345)</f>
        <v>0.82608695700000001</v>
      </c>
      <c r="P266">
        <f>IF([2]species_comp_Region1_forR!$D345&gt;49,[2]species_comp_Region1_forR!$O345,[2]species_comp_Region1_forR!$Q345)</f>
        <v>5.22427E-4</v>
      </c>
      <c r="Q266" s="13">
        <f t="shared" si="254"/>
        <v>1186.6216069144452</v>
      </c>
      <c r="R266" s="2">
        <f t="shared" si="289"/>
        <v>277453.26814484701</v>
      </c>
      <c r="S266">
        <f t="shared" si="260"/>
        <v>526.73832986108675</v>
      </c>
      <c r="T266" s="6">
        <f t="shared" si="261"/>
        <v>1032.40712652773</v>
      </c>
      <c r="V266" s="13">
        <f t="shared" si="255"/>
        <v>3516.3919194144455</v>
      </c>
      <c r="W266">
        <f t="shared" si="256"/>
        <v>277513.79787593771</v>
      </c>
      <c r="X266">
        <f t="shared" si="262"/>
        <v>526.79578384411707</v>
      </c>
      <c r="Y266" s="6">
        <f t="shared" si="263"/>
        <v>1032.5197363344694</v>
      </c>
      <c r="Z266" s="14">
        <f t="shared" si="220"/>
        <v>0.14981145330689982</v>
      </c>
    </row>
    <row r="267" spans="1:26" x14ac:dyDescent="0.3">
      <c r="A267" t="str">
        <f>'rockfish harvests'!A266</f>
        <v>SE</v>
      </c>
      <c r="B267">
        <f>'rockfish harvests'!B266</f>
        <v>2012</v>
      </c>
      <c r="C267" t="str">
        <f>'rockfish harvests'!C266</f>
        <v>EWYKT</v>
      </c>
      <c r="D267">
        <f>'rockfish harvests'!D266</f>
        <v>3241</v>
      </c>
      <c r="E267">
        <v>2727</v>
      </c>
      <c r="F267">
        <f>IF([2]species_comp_Region1_forR!$G324&gt;49,[2]species_comp_Region1_forR!$AD324,[2]species_comp_Region1_forR!$AF324)</f>
        <v>0.97657295899999996</v>
      </c>
      <c r="G267">
        <f>IF([2]species_comp_Region1_forR!$G324&gt;49,[2]species_comp_Region1_forR!$AE324,[2]species_comp_Region1_forR!$AG324)</f>
        <v>1.53237E-5</v>
      </c>
      <c r="H267" s="7">
        <f t="shared" si="257"/>
        <v>2663.1144591929997</v>
      </c>
      <c r="I267">
        <f t="shared" si="264"/>
        <v>113.95513943730001</v>
      </c>
      <c r="J267">
        <f t="shared" si="258"/>
        <v>10.674977256992166</v>
      </c>
      <c r="K267" s="6">
        <f t="shared" si="259"/>
        <v>20.922955423704646</v>
      </c>
      <c r="M267" s="2">
        <f>'rockfish harvests'!O266</f>
        <v>535.14427701186287</v>
      </c>
      <c r="N267">
        <f>'rockfish harvests'!P266</f>
        <v>48300.340637739224</v>
      </c>
      <c r="O267">
        <f>IF([2]species_comp_Region1_forR!$D346&gt;49,[2]species_comp_Region1_forR!$N346,[2]species_comp_Region1_forR!$P346)</f>
        <v>0.79259259299999996</v>
      </c>
      <c r="P267">
        <f>IF([2]species_comp_Region1_forR!$D346&gt;49,[2]species_comp_Region1_forR!$O346,[2]species_comp_Region1_forR!$Q346)</f>
        <v>1.2267879999999999E-3</v>
      </c>
      <c r="Q267" s="13">
        <f t="shared" si="254"/>
        <v>424.15139014594268</v>
      </c>
      <c r="R267" s="2">
        <f t="shared" si="289"/>
        <v>30753.000868411018</v>
      </c>
      <c r="S267">
        <f t="shared" si="260"/>
        <v>175.36533542411115</v>
      </c>
      <c r="T267" s="6">
        <f t="shared" si="261"/>
        <v>343.71605743125787</v>
      </c>
      <c r="V267" s="13">
        <f t="shared" si="255"/>
        <v>3087.2658493389422</v>
      </c>
      <c r="W267">
        <f t="shared" si="256"/>
        <v>30866.956007848319</v>
      </c>
      <c r="X267">
        <f t="shared" si="262"/>
        <v>175.68994281929832</v>
      </c>
      <c r="Y267" s="6">
        <f t="shared" si="263"/>
        <v>344.35228792582473</v>
      </c>
      <c r="Z267" s="14">
        <f t="shared" si="220"/>
        <v>5.690794100447092E-2</v>
      </c>
    </row>
    <row r="268" spans="1:26" x14ac:dyDescent="0.3">
      <c r="A268" t="str">
        <f>'rockfish harvests'!A267</f>
        <v>SE</v>
      </c>
      <c r="B268">
        <f>'rockfish harvests'!B267</f>
        <v>2013</v>
      </c>
      <c r="C268" t="str">
        <f>'rockfish harvests'!C267</f>
        <v>EWYKT</v>
      </c>
      <c r="D268">
        <f>'rockfish harvests'!D267</f>
        <v>3884</v>
      </c>
      <c r="E268">
        <v>3432</v>
      </c>
      <c r="F268">
        <f>IF([2]species_comp_Region1_forR!$G325&gt;49,[2]species_comp_Region1_forR!$AD325,[2]species_comp_Region1_forR!$AF325)</f>
        <v>0.99558255100000004</v>
      </c>
      <c r="G268">
        <f>IF([2]species_comp_Region1_forR!$G325&gt;49,[2]species_comp_Region1_forR!$AE325,[2]species_comp_Region1_forR!$AG325)</f>
        <v>2.4298E-6</v>
      </c>
      <c r="H268" s="7">
        <f t="shared" si="257"/>
        <v>3416.8393150320003</v>
      </c>
      <c r="I268">
        <f t="shared" si="264"/>
        <v>28.619700595200001</v>
      </c>
      <c r="J268">
        <f t="shared" si="258"/>
        <v>5.3497383669858101</v>
      </c>
      <c r="K268" s="6">
        <f t="shared" si="259"/>
        <v>10.485487199292187</v>
      </c>
      <c r="M268" s="2">
        <f>'rockfish harvests'!O267</f>
        <v>591.36648814078035</v>
      </c>
      <c r="N268">
        <f>'rockfish harvests'!P267</f>
        <v>87012.297802534755</v>
      </c>
      <c r="O268" s="32">
        <v>0.86861137799999999</v>
      </c>
      <c r="P268" s="32">
        <v>5.2692640000000001E-3</v>
      </c>
      <c r="Q268" s="13">
        <f t="shared" si="254"/>
        <v>513.66766016698386</v>
      </c>
      <c r="R268" s="2">
        <f t="shared" si="289"/>
        <v>67950.764540091594</v>
      </c>
      <c r="S268">
        <f t="shared" si="260"/>
        <v>260.67367442856903</v>
      </c>
      <c r="T268" s="6">
        <f t="shared" si="261"/>
        <v>510.92040187999527</v>
      </c>
      <c r="V268" s="13">
        <f t="shared" si="255"/>
        <v>3930.506975198984</v>
      </c>
      <c r="W268">
        <f t="shared" si="256"/>
        <v>67979.384240686792</v>
      </c>
      <c r="X268">
        <f t="shared" si="262"/>
        <v>260.72856429759821</v>
      </c>
      <c r="Y268" s="6">
        <f t="shared" si="263"/>
        <v>511.0279860232925</v>
      </c>
      <c r="Z268" s="14">
        <f t="shared" si="220"/>
        <v>6.6334588881984791E-2</v>
      </c>
    </row>
    <row r="269" spans="1:26" x14ac:dyDescent="0.3">
      <c r="A269" t="str">
        <f>'rockfish harvests'!A268</f>
        <v>SE</v>
      </c>
      <c r="B269">
        <f>'rockfish harvests'!B268</f>
        <v>2014</v>
      </c>
      <c r="C269" t="str">
        <f>'rockfish harvests'!C268</f>
        <v>EWYKT</v>
      </c>
      <c r="D269">
        <f>'rockfish harvests'!D268</f>
        <v>4695</v>
      </c>
      <c r="E269">
        <v>4020</v>
      </c>
      <c r="F269">
        <f>IF([2]species_comp_Region1_forR!$G326&gt;49,[2]species_comp_Region1_forR!$AD326,[2]species_comp_Region1_forR!$AF326)</f>
        <v>0.998878924</v>
      </c>
      <c r="G269">
        <f>IF([2]species_comp_Region1_forR!$G326&gt;49,[2]species_comp_Region1_forR!$AE326,[2]species_comp_Region1_forR!$AG326)</f>
        <v>6.2805399999999997E-7</v>
      </c>
      <c r="H269" s="7">
        <f t="shared" si="257"/>
        <v>4015.4932744799999</v>
      </c>
      <c r="I269">
        <f t="shared" si="264"/>
        <v>10.149603861599999</v>
      </c>
      <c r="J269">
        <f t="shared" si="258"/>
        <v>3.1858442933702831</v>
      </c>
      <c r="K269" s="6">
        <f t="shared" si="259"/>
        <v>6.2442548150057551</v>
      </c>
      <c r="M269" s="2">
        <f>'rockfish harvests'!O268</f>
        <v>1023.1397849462364</v>
      </c>
      <c r="N269">
        <f>'rockfish harvests'!P268</f>
        <v>234030.60206548884</v>
      </c>
      <c r="O269" s="32">
        <v>0.86861137799999999</v>
      </c>
      <c r="P269" s="32">
        <v>5.2692640000000001E-3</v>
      </c>
      <c r="Q269" s="13">
        <f t="shared" si="254"/>
        <v>888.71085848877408</v>
      </c>
      <c r="R269" s="2">
        <f t="shared" si="289"/>
        <v>183321.8624269875</v>
      </c>
      <c r="S269">
        <f t="shared" si="260"/>
        <v>428.16102394658424</v>
      </c>
      <c r="T269" s="6">
        <f t="shared" si="261"/>
        <v>839.19560693530514</v>
      </c>
      <c r="V269" s="13">
        <f t="shared" si="255"/>
        <v>4904.2041329687736</v>
      </c>
      <c r="W269">
        <f t="shared" si="256"/>
        <v>183332.01203084909</v>
      </c>
      <c r="X269">
        <f t="shared" si="262"/>
        <v>428.17287633717422</v>
      </c>
      <c r="Y269" s="6">
        <f t="shared" si="263"/>
        <v>839.21883762086145</v>
      </c>
      <c r="Z269" s="14">
        <f t="shared" si="220"/>
        <v>8.7307311182003869E-2</v>
      </c>
    </row>
    <row r="270" spans="1:26" x14ac:dyDescent="0.3">
      <c r="A270" t="str">
        <f>'rockfish harvests'!A269</f>
        <v>SE</v>
      </c>
      <c r="B270">
        <f>'rockfish harvests'!B269</f>
        <v>2015</v>
      </c>
      <c r="C270" t="str">
        <f>'rockfish harvests'!C269</f>
        <v>EWYKT</v>
      </c>
      <c r="D270">
        <f>'rockfish harvests'!D269</f>
        <v>5729</v>
      </c>
      <c r="E270">
        <v>4715</v>
      </c>
      <c r="F270">
        <f>IF([2]species_comp_Region1_forR!$G327&gt;49,[2]species_comp_Region1_forR!$AD327,[2]species_comp_Region1_forR!$AF327)</f>
        <v>0.99692780299999995</v>
      </c>
      <c r="G270">
        <f>IF([2]species_comp_Region1_forR!$G327&gt;49,[2]species_comp_Region1_forR!$AE327,[2]species_comp_Region1_forR!$AG327)</f>
        <v>1.56904E-6</v>
      </c>
      <c r="H270" s="7">
        <f t="shared" si="257"/>
        <v>4700.5145911449999</v>
      </c>
      <c r="I270">
        <f t="shared" si="264"/>
        <v>34.881681274000002</v>
      </c>
      <c r="J270">
        <f t="shared" si="258"/>
        <v>5.9060715601827924</v>
      </c>
      <c r="K270" s="6">
        <f t="shared" si="259"/>
        <v>11.575900257958272</v>
      </c>
      <c r="M270" s="2">
        <f>'rockfish harvests'!O269</f>
        <v>2397.5678935972783</v>
      </c>
      <c r="N270">
        <f>'rockfish harvests'!P269</f>
        <v>1115072.9274274483</v>
      </c>
      <c r="O270">
        <f>IF([2]species_comp_Region1_forR!$D349&gt;49,[2]species_comp_Region1_forR!$N349,[2]species_comp_Region1_forR!$P349)</f>
        <v>0.98181818200000004</v>
      </c>
      <c r="P270">
        <f>IF([2]species_comp_Region1_forR!$D349&gt;49,[2]species_comp_Region1_forR!$O349,[2]species_comp_Region1_forR!$Q349)</f>
        <v>3.3057900000000001E-4</v>
      </c>
      <c r="Q270" s="13">
        <f t="shared" si="254"/>
        <v>2353.9757505132493</v>
      </c>
      <c r="R270" s="2">
        <f t="shared" si="289"/>
        <v>1077162.3379960584</v>
      </c>
      <c r="S270">
        <f t="shared" si="260"/>
        <v>1037.8643157928007</v>
      </c>
      <c r="T270" s="6">
        <f t="shared" si="261"/>
        <v>2034.2140589538892</v>
      </c>
      <c r="V270" s="13">
        <f t="shared" si="255"/>
        <v>7054.4903416582492</v>
      </c>
      <c r="W270">
        <f t="shared" si="256"/>
        <v>1077197.2196773323</v>
      </c>
      <c r="X270">
        <f t="shared" si="262"/>
        <v>1037.8811202046852</v>
      </c>
      <c r="Y270" s="6">
        <f t="shared" si="263"/>
        <v>2034.246995601183</v>
      </c>
      <c r="Z270" s="14">
        <f t="shared" si="220"/>
        <v>0.14712347312686486</v>
      </c>
    </row>
    <row r="271" spans="1:26" x14ac:dyDescent="0.3">
      <c r="A271" t="str">
        <f>'rockfish harvests'!A270</f>
        <v>SE</v>
      </c>
      <c r="B271">
        <f>'rockfish harvests'!B270</f>
        <v>2016</v>
      </c>
      <c r="C271" t="str">
        <f>'rockfish harvests'!C270</f>
        <v>EWYKT</v>
      </c>
      <c r="D271">
        <f>'rockfish harvests'!D270</f>
        <v>7499</v>
      </c>
      <c r="E271">
        <v>6237</v>
      </c>
      <c r="F271">
        <f>IF([2]species_comp_Region1_forR!$G328&gt;49,[2]species_comp_Region1_forR!$AD328,[2]species_comp_Region1_forR!$AF328)</f>
        <v>0.99944903600000001</v>
      </c>
      <c r="G271">
        <f>IF([2]species_comp_Region1_forR!$G328&gt;49,[2]species_comp_Region1_forR!$AE328,[2]species_comp_Region1_forR!$AG328)</f>
        <v>3.03562E-7</v>
      </c>
      <c r="H271" s="7">
        <f t="shared" si="257"/>
        <v>6233.563637532</v>
      </c>
      <c r="I271">
        <f t="shared" si="264"/>
        <v>11.808613101978001</v>
      </c>
      <c r="J271">
        <f t="shared" si="258"/>
        <v>3.4363662642358133</v>
      </c>
      <c r="K271" s="6">
        <f t="shared" si="259"/>
        <v>6.7352778779021936</v>
      </c>
      <c r="M271" s="2">
        <f>'rockfish harvests'!O270</f>
        <v>2107.8674308497375</v>
      </c>
      <c r="N271">
        <f>'rockfish harvests'!P270</f>
        <v>521828.91183042602</v>
      </c>
      <c r="O271">
        <f>IF([2]species_comp_Region1_forR!$D350&gt;49,[2]species_comp_Region1_forR!$N350,[2]species_comp_Region1_forR!$P350)</f>
        <v>0.85</v>
      </c>
      <c r="P271">
        <f>IF([2]species_comp_Region1_forR!$D350&gt;49,[2]species_comp_Region1_forR!$O350,[2]species_comp_Region1_forR!$Q350)</f>
        <v>1.6139240000000001E-3</v>
      </c>
      <c r="Q271" s="13">
        <f t="shared" si="254"/>
        <v>1791.6873162222769</v>
      </c>
      <c r="R271" s="2">
        <f t="shared" si="289"/>
        <v>385034.41496733553</v>
      </c>
      <c r="S271">
        <f t="shared" si="260"/>
        <v>620.51141405080978</v>
      </c>
      <c r="T271" s="6">
        <f t="shared" si="261"/>
        <v>1216.2023715395871</v>
      </c>
      <c r="V271" s="13">
        <f t="shared" si="255"/>
        <v>8025.2509537542774</v>
      </c>
      <c r="W271">
        <f t="shared" si="256"/>
        <v>385046.22358043748</v>
      </c>
      <c r="X271">
        <f t="shared" si="262"/>
        <v>620.52092920419489</v>
      </c>
      <c r="Y271" s="6">
        <f t="shared" si="263"/>
        <v>1216.2210212402219</v>
      </c>
      <c r="Z271" s="14">
        <f t="shared" si="220"/>
        <v>7.7321062329385501E-2</v>
      </c>
    </row>
    <row r="272" spans="1:26" x14ac:dyDescent="0.3">
      <c r="A272" t="str">
        <f>'rockfish harvests'!A271</f>
        <v>SE</v>
      </c>
      <c r="B272">
        <f>'rockfish harvests'!B271</f>
        <v>2017</v>
      </c>
      <c r="C272" t="str">
        <f>'rockfish harvests'!C271</f>
        <v>EWYKT</v>
      </c>
      <c r="D272">
        <f>'rockfish harvests'!D271</f>
        <v>6324</v>
      </c>
      <c r="E272">
        <v>5527</v>
      </c>
      <c r="F272">
        <f>IF([2]species_comp_Region1_forR!$G329&gt;49,[2]species_comp_Region1_forR!$AD329,[2]species_comp_Region1_forR!$AF329)</f>
        <v>0.96864111500000005</v>
      </c>
      <c r="G272">
        <f>IF([2]species_comp_Region1_forR!$G329&gt;49,[2]species_comp_Region1_forR!$AE329,[2]species_comp_Region1_forR!$AG329)</f>
        <v>1.51272E-5</v>
      </c>
      <c r="H272" s="7">
        <f t="shared" si="257"/>
        <v>5353.6794426050001</v>
      </c>
      <c r="I272">
        <f t="shared" si="264"/>
        <v>462.10160612879997</v>
      </c>
      <c r="J272">
        <f t="shared" si="258"/>
        <v>21.496548702729005</v>
      </c>
      <c r="K272" s="6">
        <f t="shared" si="259"/>
        <v>42.133235457348846</v>
      </c>
      <c r="M272" s="2">
        <f>'rockfish harvests'!O271</f>
        <v>1256.0488400488402</v>
      </c>
      <c r="N272">
        <f>'rockfish harvests'!P271</f>
        <v>191271.46761998921</v>
      </c>
      <c r="O272">
        <f>IF([2]species_comp_Region1_forR!$D351&gt;49,[2]species_comp_Region1_forR!$N351,[2]species_comp_Region1_forR!$P351)</f>
        <v>0.90537084400000001</v>
      </c>
      <c r="P272">
        <f>IF([2]species_comp_Region1_forR!$D351&gt;49,[2]species_comp_Region1_forR!$O351,[2]species_comp_Region1_forR!$Q351)</f>
        <v>2.1967800000000001E-4</v>
      </c>
      <c r="Q272" s="13">
        <f t="shared" si="254"/>
        <v>1137.1899984202396</v>
      </c>
      <c r="R272" s="2">
        <f t="shared" si="289"/>
        <v>157173.12180678771</v>
      </c>
      <c r="S272">
        <f t="shared" si="260"/>
        <v>396.45065494559054</v>
      </c>
      <c r="T272" s="6">
        <f t="shared" si="261"/>
        <v>777.04328369335747</v>
      </c>
      <c r="V272" s="13">
        <f t="shared" si="255"/>
        <v>6490.8694410252392</v>
      </c>
      <c r="W272">
        <f t="shared" si="256"/>
        <v>157635.2234129165</v>
      </c>
      <c r="X272">
        <f t="shared" si="262"/>
        <v>397.03302559474383</v>
      </c>
      <c r="Y272" s="6">
        <f t="shared" si="263"/>
        <v>778.18473016569794</v>
      </c>
      <c r="Z272" s="14">
        <f t="shared" si="220"/>
        <v>6.1167926608616564E-2</v>
      </c>
    </row>
    <row r="273" spans="1:26" x14ac:dyDescent="0.3">
      <c r="A273" t="str">
        <f>'rockfish harvests'!A272</f>
        <v>SE</v>
      </c>
      <c r="B273">
        <f>'rockfish harvests'!B272</f>
        <v>2018</v>
      </c>
      <c r="C273" t="str">
        <f>'rockfish harvests'!C272</f>
        <v>EWYKT</v>
      </c>
      <c r="D273">
        <f>'rockfish harvests'!D272</f>
        <v>8659</v>
      </c>
      <c r="E273">
        <v>7682</v>
      </c>
      <c r="F273">
        <f>IF([2]species_comp_Region1_forR!$G330&gt;49,[2]species_comp_Region1_forR!$AD330,[2]species_comp_Region1_forR!$AF330)</f>
        <v>0.978901099</v>
      </c>
      <c r="G273">
        <f>IF([2]species_comp_Region1_forR!$G330&gt;49,[2]species_comp_Region1_forR!$AE330,[2]species_comp_Region1_forR!$AG330)</f>
        <v>9.0825600000000007E-6</v>
      </c>
      <c r="H273" s="7">
        <f t="shared" si="257"/>
        <v>7519.9182425179997</v>
      </c>
      <c r="I273">
        <f t="shared" si="264"/>
        <v>535.99023951744005</v>
      </c>
      <c r="J273">
        <f t="shared" si="258"/>
        <v>23.15146301030326</v>
      </c>
      <c r="K273" s="6">
        <f t="shared" si="259"/>
        <v>45.376867500194386</v>
      </c>
      <c r="M273" s="2">
        <f>'rockfish harvests'!O272</f>
        <v>1971.3795063043872</v>
      </c>
      <c r="N273">
        <f>'rockfish harvests'!P272</f>
        <v>502872.73387700756</v>
      </c>
      <c r="O273">
        <f>IF([2]species_comp_Region1_forR!$D352&gt;49,[2]species_comp_Region1_forR!$N352,[2]species_comp_Region1_forR!$P352)</f>
        <v>0.76131687199999998</v>
      </c>
      <c r="P273">
        <f>IF([2]species_comp_Region1_forR!$D352&gt;49,[2]species_comp_Region1_forR!$O352,[2]species_comp_Region1_forR!$Q352)</f>
        <v>7.5088200000000003E-4</v>
      </c>
      <c r="Q273" s="13">
        <f t="shared" si="254"/>
        <v>1500.8444792645603</v>
      </c>
      <c r="R273" s="2">
        <f t="shared" si="289"/>
        <v>294762.51476165379</v>
      </c>
      <c r="S273">
        <f t="shared" si="260"/>
        <v>542.92035765999219</v>
      </c>
      <c r="T273" s="6">
        <f t="shared" si="261"/>
        <v>1064.1239010135846</v>
      </c>
      <c r="V273" s="13">
        <f t="shared" si="255"/>
        <v>9020.7627217825593</v>
      </c>
      <c r="W273">
        <f t="shared" si="256"/>
        <v>295298.5050011712</v>
      </c>
      <c r="X273">
        <f t="shared" si="262"/>
        <v>543.41375120728333</v>
      </c>
      <c r="Y273" s="6">
        <f t="shared" si="263"/>
        <v>1065.0909523662754</v>
      </c>
      <c r="Z273" s="14">
        <f t="shared" si="220"/>
        <v>6.0240333103440874E-2</v>
      </c>
    </row>
    <row r="274" spans="1:26" x14ac:dyDescent="0.3">
      <c r="A274" t="str">
        <f>'rockfish harvests'!A273</f>
        <v>SE</v>
      </c>
      <c r="B274">
        <f>'rockfish harvests'!B273</f>
        <v>2019</v>
      </c>
      <c r="C274" t="str">
        <f>'rockfish harvests'!C273</f>
        <v>EWYKT</v>
      </c>
      <c r="D274">
        <f>'rockfish harvests'!D273</f>
        <v>7908</v>
      </c>
      <c r="E274">
        <v>7169</v>
      </c>
      <c r="F274">
        <v>0.96074154852780802</v>
      </c>
      <c r="G274">
        <v>1.3715354712799101E-5</v>
      </c>
      <c r="H274" s="7">
        <f>E274*F274</f>
        <v>6887.5561613958553</v>
      </c>
      <c r="I274">
        <f>(E274^2)*G274</f>
        <v>704.8946344235909</v>
      </c>
      <c r="J274">
        <f>SQRT(I274)</f>
        <v>26.549851871970791</v>
      </c>
      <c r="K274" s="6">
        <f>(1.96*J274)</f>
        <v>52.03770966906275</v>
      </c>
      <c r="M274" s="2">
        <f>'rockfish harvests'!O273</f>
        <v>3002.4944735311237</v>
      </c>
      <c r="N274">
        <f>'rockfish harvests'!P273</f>
        <v>1226769.4446075337</v>
      </c>
      <c r="O274">
        <v>0.85871964679911694</v>
      </c>
      <c r="P274">
        <v>2.6840755531043535E-4</v>
      </c>
      <c r="Q274" s="13">
        <f>M274*O274</f>
        <v>2578.300993826947</v>
      </c>
      <c r="R274" s="2">
        <f t="shared" si="289"/>
        <v>907368.05247046798</v>
      </c>
      <c r="S274">
        <f>SQRT(R274)</f>
        <v>952.55868715290603</v>
      </c>
      <c r="T274" s="6">
        <f>(1.96*S274)</f>
        <v>1867.0150268196958</v>
      </c>
      <c r="V274" s="13">
        <f>Q274+H274</f>
        <v>9465.8571552228022</v>
      </c>
      <c r="W274">
        <f>R274+I274</f>
        <v>908072.94710489153</v>
      </c>
      <c r="X274">
        <f>SQRT(W274)</f>
        <v>952.92861595446459</v>
      </c>
      <c r="Y274" s="6">
        <f>(1.96*X274)</f>
        <v>1867.7400872707506</v>
      </c>
      <c r="Z274" s="14">
        <f>X274/V274</f>
        <v>0.10067008199343941</v>
      </c>
    </row>
    <row r="275" spans="1:26" x14ac:dyDescent="0.3">
      <c r="A275" t="str">
        <f>'rockfish harvests'!A274</f>
        <v>SE</v>
      </c>
      <c r="B275">
        <f>'rockfish harvests'!B274</f>
        <v>2020</v>
      </c>
      <c r="C275" t="str">
        <f>'rockfish harvests'!C274</f>
        <v>EWYKT</v>
      </c>
      <c r="D275">
        <f>'rockfish harvests'!D274</f>
        <v>4059</v>
      </c>
      <c r="E275">
        <v>3983</v>
      </c>
      <c r="F275" t="s">
        <v>285</v>
      </c>
      <c r="G275" t="s">
        <v>286</v>
      </c>
      <c r="H275" s="7">
        <f t="shared" ref="H275:H276" si="290">E275*F275</f>
        <v>3913.6902552204169</v>
      </c>
      <c r="I275">
        <f t="shared" ref="I275:I276" si="291">(E275^2)*G275</f>
        <v>315.04863267789301</v>
      </c>
      <c r="J275">
        <f t="shared" ref="J275:J276" si="292">SQRT(I275)</f>
        <v>17.749609366909826</v>
      </c>
      <c r="K275" s="6">
        <f t="shared" ref="K275:K276" si="293">(1.96*J275)</f>
        <v>34.789234359143258</v>
      </c>
      <c r="M275" s="2">
        <f>'rockfish harvests'!O274</f>
        <v>914.63838771593146</v>
      </c>
      <c r="N275">
        <f>'rockfish harvests'!P274</f>
        <v>109543.02664472036</v>
      </c>
      <c r="O275">
        <v>0.9887640449438202</v>
      </c>
      <c r="P275">
        <v>1.2624668602449217E-4</v>
      </c>
      <c r="Q275" s="13">
        <f t="shared" ref="Q275:Q276" si="294">M275*O275</f>
        <v>904.36155189889848</v>
      </c>
      <c r="R275" s="2">
        <f t="shared" si="289"/>
        <v>107214.65783911663</v>
      </c>
      <c r="S275">
        <f t="shared" ref="S275:S276" si="295">SQRT(R275)</f>
        <v>327.43649436053494</v>
      </c>
      <c r="T275" s="6">
        <f t="shared" ref="T275:T276" si="296">(1.96*S275)</f>
        <v>641.77552894664848</v>
      </c>
      <c r="V275" s="13">
        <f t="shared" ref="V275:V276" si="297">Q275+H275</f>
        <v>4818.0518071193155</v>
      </c>
      <c r="W275">
        <f t="shared" ref="W275:W276" si="298">R275+I275</f>
        <v>107529.70647179452</v>
      </c>
      <c r="X275">
        <f t="shared" ref="X275:X276" si="299">SQRT(W275)</f>
        <v>327.91722503063869</v>
      </c>
      <c r="Y275" s="6">
        <f t="shared" ref="Y275:Y276" si="300">(1.96*X275)</f>
        <v>642.71776106005177</v>
      </c>
      <c r="Z275" s="14">
        <f t="shared" ref="Z275:Z276" si="301">X275/V275</f>
        <v>6.8060128483072177E-2</v>
      </c>
    </row>
    <row r="276" spans="1:26" x14ac:dyDescent="0.3">
      <c r="A276" t="str">
        <f>'rockfish harvests'!A275</f>
        <v>SE</v>
      </c>
      <c r="B276">
        <f>'rockfish harvests'!B275</f>
        <v>2021</v>
      </c>
      <c r="C276" t="str">
        <f>'rockfish harvests'!C275</f>
        <v>EWYKT</v>
      </c>
      <c r="D276">
        <f>'rockfish harvests'!D275</f>
        <v>7343</v>
      </c>
      <c r="E276">
        <v>7225</v>
      </c>
      <c r="F276" t="s">
        <v>287</v>
      </c>
      <c r="G276" t="s">
        <v>288</v>
      </c>
      <c r="H276" s="7">
        <f t="shared" si="290"/>
        <v>7153.7144515380114</v>
      </c>
      <c r="I276">
        <f t="shared" si="291"/>
        <v>296.14196179925392</v>
      </c>
      <c r="J276">
        <f t="shared" si="292"/>
        <v>17.20877572052277</v>
      </c>
      <c r="K276" s="6">
        <f t="shared" si="293"/>
        <v>33.729200412224628</v>
      </c>
      <c r="M276" s="2">
        <f>'rockfish harvests'!O275</f>
        <v>1513.750779741571</v>
      </c>
      <c r="N276">
        <f>'rockfish harvests'!P275</f>
        <v>303380.23971291271</v>
      </c>
      <c r="O276">
        <v>0.99661016949152548</v>
      </c>
      <c r="P276">
        <v>1.1490950876184825E-5</v>
      </c>
      <c r="Q276" s="13">
        <f t="shared" si="294"/>
        <v>1508.6194211661759</v>
      </c>
      <c r="R276" s="2">
        <f t="shared" si="289"/>
        <v>301356.72762411035</v>
      </c>
      <c r="S276">
        <f t="shared" si="295"/>
        <v>548.95967759400173</v>
      </c>
      <c r="T276" s="6">
        <f t="shared" si="296"/>
        <v>1075.9609680842434</v>
      </c>
      <c r="V276" s="13">
        <f t="shared" si="297"/>
        <v>8662.3338727041883</v>
      </c>
      <c r="W276">
        <f t="shared" si="298"/>
        <v>301652.86958590959</v>
      </c>
      <c r="X276">
        <f t="shared" si="299"/>
        <v>549.22934151946902</v>
      </c>
      <c r="Y276" s="6">
        <f t="shared" si="300"/>
        <v>1076.4895093781593</v>
      </c>
      <c r="Z276" s="14">
        <f t="shared" si="301"/>
        <v>6.3404314540465967E-2</v>
      </c>
    </row>
    <row r="277" spans="1:26" s="51" customFormat="1" x14ac:dyDescent="0.3">
      <c r="A277" s="51" t="s">
        <v>151</v>
      </c>
      <c r="B277" s="51">
        <v>2022</v>
      </c>
      <c r="C277" s="51" t="s">
        <v>83</v>
      </c>
      <c r="D277">
        <f>'rockfish harvests'!D276</f>
        <v>6780</v>
      </c>
      <c r="E277" s="51">
        <v>6589</v>
      </c>
      <c r="F277" t="s">
        <v>179</v>
      </c>
      <c r="G277" t="s">
        <v>289</v>
      </c>
      <c r="H277" s="7">
        <f t="shared" ref="H277" si="302">E277*F277</f>
        <v>6536.8290322580633</v>
      </c>
      <c r="I277">
        <f t="shared" ref="I277" si="303">(E277^2)*G277</f>
        <v>99.892412588307991</v>
      </c>
      <c r="J277">
        <f t="shared" ref="J277" si="304">SQRT(I277)</f>
        <v>9.9946191817551497</v>
      </c>
      <c r="K277" s="6">
        <f t="shared" ref="K277" si="305">(1.96*J277)</f>
        <v>19.589453596240094</v>
      </c>
      <c r="L277"/>
      <c r="M277" s="2">
        <f>'rockfish harvests'!O276</f>
        <v>2639.4706368899915</v>
      </c>
      <c r="N277">
        <f>'rockfish harvests'!P276</f>
        <v>966290.79621620791</v>
      </c>
      <c r="O277" t="s">
        <v>180</v>
      </c>
      <c r="P277" t="s">
        <v>181</v>
      </c>
      <c r="Q277" s="13">
        <f t="shared" ref="Q277" si="306">M277*O277</f>
        <v>2592.5467144563909</v>
      </c>
      <c r="R277" s="2">
        <f t="shared" si="289"/>
        <v>932547.70593500079</v>
      </c>
      <c r="S277">
        <f t="shared" ref="S277" si="307">SQRT(R277)</f>
        <v>965.68509667230592</v>
      </c>
      <c r="T277" s="6">
        <f t="shared" ref="T277" si="308">(1.96*S277)</f>
        <v>1892.7427894777195</v>
      </c>
      <c r="U277"/>
      <c r="V277" s="13">
        <f t="shared" ref="V277" si="309">Q277+H277</f>
        <v>9129.3757467144533</v>
      </c>
      <c r="W277">
        <f t="shared" ref="W277" si="310">R277+I277</f>
        <v>932647.59834758914</v>
      </c>
      <c r="X277">
        <f t="shared" ref="X277" si="311">SQRT(W277)</f>
        <v>965.73681629499299</v>
      </c>
      <c r="Y277" s="6">
        <f t="shared" ref="Y277" si="312">(1.96*X277)</f>
        <v>1892.8441599381863</v>
      </c>
      <c r="Z277" s="14">
        <f t="shared" ref="Z277" si="313">X277/V277</f>
        <v>0.10578344490230336</v>
      </c>
    </row>
    <row r="278" spans="1:26" x14ac:dyDescent="0.3">
      <c r="A278" t="str">
        <f>'rockfish harvests'!A277</f>
        <v>SE</v>
      </c>
      <c r="B278">
        <f>'rockfish harvests'!B277</f>
        <v>1998</v>
      </c>
      <c r="C278" t="str">
        <f>'rockfish harvests'!C277</f>
        <v>NSEI</v>
      </c>
      <c r="D278">
        <f>'rockfish harvests'!D277</f>
        <v>5285</v>
      </c>
      <c r="E278">
        <v>2544</v>
      </c>
      <c r="F278" s="32">
        <v>0.71222023499999998</v>
      </c>
      <c r="G278" s="32">
        <v>6.5559435999999999E-2</v>
      </c>
      <c r="H278" s="7">
        <f t="shared" si="257"/>
        <v>1811.88827784</v>
      </c>
      <c r="I278">
        <f t="shared" si="264"/>
        <v>424296.473988096</v>
      </c>
      <c r="J278">
        <f t="shared" si="258"/>
        <v>651.38043721629833</v>
      </c>
      <c r="K278" s="6">
        <f t="shared" si="259"/>
        <v>1276.7056569439446</v>
      </c>
      <c r="M278" s="2">
        <f>'rockfish harvests'!O277</f>
        <v>3144.4015142904627</v>
      </c>
      <c r="N278">
        <f>'rockfish harvests'!P277</f>
        <v>781648.06612226402</v>
      </c>
      <c r="O278" s="32">
        <v>0.23336578599999999</v>
      </c>
      <c r="P278" s="32">
        <v>6.1192249999999998E-3</v>
      </c>
      <c r="Q278" s="13">
        <f t="shared" si="254"/>
        <v>733.79573088198401</v>
      </c>
      <c r="R278" s="2">
        <f t="shared" si="289"/>
        <v>107853.68762888014</v>
      </c>
      <c r="S278">
        <f t="shared" si="260"/>
        <v>328.41085187441684</v>
      </c>
      <c r="T278" s="6">
        <f t="shared" si="261"/>
        <v>643.68526967385696</v>
      </c>
      <c r="V278" s="13">
        <f t="shared" si="255"/>
        <v>2545.6840087219839</v>
      </c>
      <c r="W278">
        <f t="shared" si="256"/>
        <v>532150.16161697614</v>
      </c>
      <c r="X278">
        <f t="shared" si="262"/>
        <v>729.48623127306257</v>
      </c>
      <c r="Y278" s="6">
        <f t="shared" si="263"/>
        <v>1429.7930132952026</v>
      </c>
      <c r="Z278" s="14">
        <f t="shared" si="220"/>
        <v>0.28655804442880889</v>
      </c>
    </row>
    <row r="279" spans="1:26" x14ac:dyDescent="0.3">
      <c r="A279" t="str">
        <f>'rockfish harvests'!A278</f>
        <v>SE</v>
      </c>
      <c r="B279">
        <f>'rockfish harvests'!B278</f>
        <v>1999</v>
      </c>
      <c r="C279" t="str">
        <f>'rockfish harvests'!C278</f>
        <v>NSEI</v>
      </c>
      <c r="D279">
        <f>'rockfish harvests'!D278</f>
        <v>6363</v>
      </c>
      <c r="E279">
        <v>3857</v>
      </c>
      <c r="F279" s="32">
        <v>0.71222023499999998</v>
      </c>
      <c r="G279" s="32">
        <v>6.5559435999999999E-2</v>
      </c>
      <c r="H279" s="7">
        <f t="shared" si="257"/>
        <v>2747.0334463949998</v>
      </c>
      <c r="I279">
        <f t="shared" si="264"/>
        <v>975291.60612276394</v>
      </c>
      <c r="J279">
        <f t="shared" si="258"/>
        <v>987.5685323676347</v>
      </c>
      <c r="K279" s="6">
        <f t="shared" si="259"/>
        <v>1935.634323440564</v>
      </c>
      <c r="M279" s="2">
        <f>'rockfish harvests'!O278</f>
        <v>3785.7761278013659</v>
      </c>
      <c r="N279">
        <f>'rockfish harvests'!P278</f>
        <v>1133039.6837394333</v>
      </c>
      <c r="O279" s="32">
        <v>0.23336578599999999</v>
      </c>
      <c r="P279" s="32">
        <v>6.1192249999999998E-3</v>
      </c>
      <c r="Q279" s="13">
        <f t="shared" si="254"/>
        <v>883.4706216844022</v>
      </c>
      <c r="R279" s="2">
        <f t="shared" si="289"/>
        <v>156339.5515419126</v>
      </c>
      <c r="S279">
        <f t="shared" si="260"/>
        <v>395.39796603158265</v>
      </c>
      <c r="T279" s="6">
        <f t="shared" si="261"/>
        <v>774.98001342190196</v>
      </c>
      <c r="V279" s="13">
        <f t="shared" si="255"/>
        <v>3630.5040680794018</v>
      </c>
      <c r="W279">
        <f t="shared" si="256"/>
        <v>1131631.1576646767</v>
      </c>
      <c r="X279">
        <f t="shared" si="262"/>
        <v>1063.7815366252023</v>
      </c>
      <c r="Y279" s="6">
        <f t="shared" si="263"/>
        <v>2085.0118117853963</v>
      </c>
      <c r="Z279" s="14">
        <f t="shared" ref="Z279:Z353" si="314">X279/V279</f>
        <v>0.29301207674667634</v>
      </c>
    </row>
    <row r="280" spans="1:26" x14ac:dyDescent="0.3">
      <c r="A280" t="str">
        <f>'rockfish harvests'!A279</f>
        <v>SE</v>
      </c>
      <c r="B280">
        <f>'rockfish harvests'!B279</f>
        <v>2000</v>
      </c>
      <c r="C280" t="str">
        <f>'rockfish harvests'!C279</f>
        <v>NSEI</v>
      </c>
      <c r="D280">
        <f>'rockfish harvests'!D279</f>
        <v>9746</v>
      </c>
      <c r="E280">
        <v>5582</v>
      </c>
      <c r="F280" s="32">
        <v>0.71222023499999998</v>
      </c>
      <c r="G280" s="32">
        <v>6.5559435999999999E-2</v>
      </c>
      <c r="H280" s="7">
        <f t="shared" si="257"/>
        <v>3975.61335177</v>
      </c>
      <c r="I280">
        <f t="shared" si="264"/>
        <v>2042748.3719196639</v>
      </c>
      <c r="J280">
        <f t="shared" si="258"/>
        <v>1429.2474844895351</v>
      </c>
      <c r="K280" s="6">
        <f t="shared" si="259"/>
        <v>2801.3250695994889</v>
      </c>
      <c r="M280" s="2">
        <f>'rockfish harvests'!O279</f>
        <v>5798.550077251628</v>
      </c>
      <c r="N280">
        <f>'rockfish harvests'!P279</f>
        <v>2658116.9727772144</v>
      </c>
      <c r="O280" s="32">
        <v>0.23336578599999999</v>
      </c>
      <c r="P280" s="32">
        <v>6.1192249999999998E-3</v>
      </c>
      <c r="Q280" s="13">
        <f t="shared" si="254"/>
        <v>1353.1831964381868</v>
      </c>
      <c r="R280" s="2">
        <f t="shared" si="289"/>
        <v>366773.39852599986</v>
      </c>
      <c r="S280">
        <f t="shared" si="260"/>
        <v>605.61819533927462</v>
      </c>
      <c r="T280" s="6">
        <f t="shared" si="261"/>
        <v>1187.0116628649782</v>
      </c>
      <c r="V280" s="13">
        <f t="shared" si="255"/>
        <v>5328.7965482081872</v>
      </c>
      <c r="W280">
        <f t="shared" si="256"/>
        <v>2409521.7704456635</v>
      </c>
      <c r="X280">
        <f t="shared" si="262"/>
        <v>1552.2634346159364</v>
      </c>
      <c r="Y280" s="6">
        <f t="shared" si="263"/>
        <v>3042.4363318472351</v>
      </c>
      <c r="Z280" s="14">
        <f t="shared" si="314"/>
        <v>0.29129718512857961</v>
      </c>
    </row>
    <row r="281" spans="1:26" x14ac:dyDescent="0.3">
      <c r="A281" t="str">
        <f>'rockfish harvests'!A280</f>
        <v>SE</v>
      </c>
      <c r="B281">
        <f>'rockfish harvests'!B280</f>
        <v>2001</v>
      </c>
      <c r="C281" t="str">
        <f>'rockfish harvests'!C280</f>
        <v>NSEI</v>
      </c>
      <c r="D281">
        <f>'rockfish harvests'!D280</f>
        <v>7242</v>
      </c>
      <c r="E281">
        <v>3909</v>
      </c>
      <c r="F281" s="32">
        <v>0.71222023499999998</v>
      </c>
      <c r="G281" s="32">
        <v>6.5559435999999999E-2</v>
      </c>
      <c r="H281" s="7">
        <f t="shared" si="257"/>
        <v>2784.0688986149999</v>
      </c>
      <c r="I281">
        <f t="shared" si="264"/>
        <v>1001766.6042815159</v>
      </c>
      <c r="J281">
        <f t="shared" si="258"/>
        <v>1000.8829123736282</v>
      </c>
      <c r="K281" s="6">
        <f t="shared" si="259"/>
        <v>1961.7305082523112</v>
      </c>
      <c r="M281" s="2">
        <f>'rockfish harvests'!O280</f>
        <v>4308.7522736975479</v>
      </c>
      <c r="N281">
        <f>'rockfish harvests'!P280</f>
        <v>1467703.4510787677</v>
      </c>
      <c r="O281" s="32">
        <v>0.23336578599999999</v>
      </c>
      <c r="P281" s="32">
        <v>6.1192249999999998E-3</v>
      </c>
      <c r="Q281" s="13">
        <f t="shared" si="254"/>
        <v>1005.5153610307153</v>
      </c>
      <c r="R281" s="2">
        <f t="shared" si="289"/>
        <v>202517.26628044684</v>
      </c>
      <c r="S281">
        <f t="shared" si="260"/>
        <v>450.01918434711962</v>
      </c>
      <c r="T281" s="6">
        <f t="shared" si="261"/>
        <v>882.03760132035438</v>
      </c>
      <c r="V281" s="13">
        <f t="shared" si="255"/>
        <v>3789.5842596457151</v>
      </c>
      <c r="W281">
        <f t="shared" si="256"/>
        <v>1204283.8705619627</v>
      </c>
      <c r="X281">
        <f t="shared" si="262"/>
        <v>1097.3986835065743</v>
      </c>
      <c r="Y281" s="6">
        <f t="shared" si="263"/>
        <v>2150.9014196728858</v>
      </c>
      <c r="Z281" s="14">
        <f t="shared" si="314"/>
        <v>0.28958286933806537</v>
      </c>
    </row>
    <row r="282" spans="1:26" x14ac:dyDescent="0.3">
      <c r="A282" t="str">
        <f>'rockfish harvests'!A281</f>
        <v>SE</v>
      </c>
      <c r="B282">
        <f>'rockfish harvests'!B281</f>
        <v>2002</v>
      </c>
      <c r="C282" t="str">
        <f>'rockfish harvests'!C281</f>
        <v>NSEI</v>
      </c>
      <c r="D282">
        <f>'rockfish harvests'!D281</f>
        <v>4958</v>
      </c>
      <c r="E282">
        <v>3120</v>
      </c>
      <c r="F282" s="32">
        <v>0.71222023499999998</v>
      </c>
      <c r="G282" s="32">
        <v>6.5559435999999999E-2</v>
      </c>
      <c r="H282" s="7">
        <f t="shared" si="257"/>
        <v>2222.1271332000001</v>
      </c>
      <c r="I282">
        <f t="shared" si="264"/>
        <v>638181.77379839995</v>
      </c>
      <c r="J282">
        <f t="shared" si="258"/>
        <v>798.86280035961113</v>
      </c>
      <c r="K282" s="6">
        <f t="shared" si="259"/>
        <v>1565.7710887048379</v>
      </c>
      <c r="M282" s="2">
        <f>'rockfish harvests'!O281</f>
        <v>2949.8472484109971</v>
      </c>
      <c r="N282">
        <f>'rockfish harvests'!P281</f>
        <v>687914.27130295534</v>
      </c>
      <c r="O282" s="32">
        <v>0.23336578599999999</v>
      </c>
      <c r="P282" s="32">
        <v>6.1192249999999998E-3</v>
      </c>
      <c r="Q282" s="13">
        <f t="shared" si="254"/>
        <v>688.39342170536952</v>
      </c>
      <c r="R282" s="2">
        <f t="shared" si="289"/>
        <v>94920.07227834985</v>
      </c>
      <c r="S282">
        <f t="shared" si="260"/>
        <v>308.09101297887588</v>
      </c>
      <c r="T282" s="6">
        <f t="shared" si="261"/>
        <v>603.85838543859677</v>
      </c>
      <c r="V282" s="13">
        <f t="shared" si="255"/>
        <v>2910.5205549053699</v>
      </c>
      <c r="W282">
        <f t="shared" si="256"/>
        <v>733101.84607674985</v>
      </c>
      <c r="X282">
        <f t="shared" si="262"/>
        <v>856.21366847110653</v>
      </c>
      <c r="Y282" s="6">
        <f t="shared" si="263"/>
        <v>1678.1787902033689</v>
      </c>
      <c r="Z282" s="14">
        <f t="shared" si="314"/>
        <v>0.29417887704934786</v>
      </c>
    </row>
    <row r="283" spans="1:26" x14ac:dyDescent="0.3">
      <c r="A283" t="str">
        <f>'rockfish harvests'!A282</f>
        <v>SE</v>
      </c>
      <c r="B283">
        <f>'rockfish harvests'!B282</f>
        <v>2003</v>
      </c>
      <c r="C283" t="str">
        <f>'rockfish harvests'!C282</f>
        <v>NSEI</v>
      </c>
      <c r="D283">
        <f>'rockfish harvests'!D282</f>
        <v>6069</v>
      </c>
      <c r="E283">
        <v>3551</v>
      </c>
      <c r="F283" s="32">
        <v>0.71222023499999998</v>
      </c>
      <c r="G283" s="32">
        <v>6.5559435999999999E-2</v>
      </c>
      <c r="H283" s="7">
        <f t="shared" si="257"/>
        <v>2529.094054485</v>
      </c>
      <c r="I283">
        <f t="shared" si="264"/>
        <v>826678.32974503597</v>
      </c>
      <c r="J283">
        <f t="shared" si="258"/>
        <v>909.21852694774975</v>
      </c>
      <c r="K283" s="6">
        <f t="shared" si="259"/>
        <v>1782.0683128175895</v>
      </c>
      <c r="M283" s="2">
        <f>'rockfish harvests'!O282</f>
        <v>3610.8557786620295</v>
      </c>
      <c r="N283">
        <f>'rockfish harvests'!P282</f>
        <v>1030755.2356043656</v>
      </c>
      <c r="O283" s="32">
        <v>0.23336578599999999</v>
      </c>
      <c r="P283" s="32">
        <v>6.1192249999999998E-3</v>
      </c>
      <c r="Q283" s="13">
        <f t="shared" si="254"/>
        <v>842.65019692010651</v>
      </c>
      <c r="R283" s="2">
        <f t="shared" si="289"/>
        <v>142226.09639939535</v>
      </c>
      <c r="S283">
        <f t="shared" si="260"/>
        <v>377.12875307962844</v>
      </c>
      <c r="T283" s="6">
        <f t="shared" si="261"/>
        <v>739.17235603607173</v>
      </c>
      <c r="V283" s="13">
        <f t="shared" si="255"/>
        <v>3371.7442514051063</v>
      </c>
      <c r="W283">
        <f t="shared" si="256"/>
        <v>968904.42614443135</v>
      </c>
      <c r="X283">
        <f t="shared" si="262"/>
        <v>984.32942968522048</v>
      </c>
      <c r="Y283" s="6">
        <f t="shared" si="263"/>
        <v>1929.2856821830321</v>
      </c>
      <c r="Z283" s="14">
        <f t="shared" si="314"/>
        <v>0.29193478398458633</v>
      </c>
    </row>
    <row r="284" spans="1:26" x14ac:dyDescent="0.3">
      <c r="A284" t="str">
        <f>'rockfish harvests'!A283</f>
        <v>SE</v>
      </c>
      <c r="B284">
        <f>'rockfish harvests'!B283</f>
        <v>2004</v>
      </c>
      <c r="C284" t="str">
        <f>'rockfish harvests'!C283</f>
        <v>NSEI</v>
      </c>
      <c r="D284">
        <f>'rockfish harvests'!D283</f>
        <v>6052</v>
      </c>
      <c r="E284">
        <v>3328</v>
      </c>
      <c r="F284" s="32">
        <v>0.71222023499999998</v>
      </c>
      <c r="G284" s="32">
        <v>6.5559435999999999E-2</v>
      </c>
      <c r="H284" s="7">
        <f t="shared" si="257"/>
        <v>2370.2689420799998</v>
      </c>
      <c r="I284">
        <f t="shared" si="264"/>
        <v>726109.040410624</v>
      </c>
      <c r="J284">
        <f t="shared" si="258"/>
        <v>852.12032038358529</v>
      </c>
      <c r="K284" s="6">
        <f t="shared" si="259"/>
        <v>1670.1558279518272</v>
      </c>
      <c r="M284" s="2">
        <f>'rockfish harvests'!O283</f>
        <v>3600.7413367049921</v>
      </c>
      <c r="N284">
        <f>'rockfish harvests'!P283</f>
        <v>1024988.7840591522</v>
      </c>
      <c r="O284" s="32">
        <v>0.23336578599999999</v>
      </c>
      <c r="P284" s="32">
        <v>6.1192249999999998E-3</v>
      </c>
      <c r="Q284" s="13">
        <f t="shared" ref="Q284:Q359" si="315">M284*O284</f>
        <v>840.28983222285115</v>
      </c>
      <c r="R284" s="2">
        <f t="shared" si="289"/>
        <v>141430.42749079052</v>
      </c>
      <c r="S284">
        <f t="shared" si="260"/>
        <v>376.07237001778066</v>
      </c>
      <c r="T284" s="6">
        <f t="shared" si="261"/>
        <v>737.10184523485009</v>
      </c>
      <c r="V284" s="13">
        <f t="shared" ref="V284:V359" si="316">Q284+H284</f>
        <v>3210.5587743028509</v>
      </c>
      <c r="W284">
        <f t="shared" ref="W284:W359" si="317">R284+I284</f>
        <v>867539.46790141449</v>
      </c>
      <c r="X284">
        <f t="shared" si="262"/>
        <v>931.41798774847291</v>
      </c>
      <c r="Y284" s="6">
        <f t="shared" si="263"/>
        <v>1825.5792559870069</v>
      </c>
      <c r="Z284" s="14">
        <f t="shared" si="314"/>
        <v>0.29011086643343681</v>
      </c>
    </row>
    <row r="285" spans="1:26" x14ac:dyDescent="0.3">
      <c r="A285" t="str">
        <f>'rockfish harvests'!A284</f>
        <v>SE</v>
      </c>
      <c r="B285">
        <f>'rockfish harvests'!B284</f>
        <v>2005</v>
      </c>
      <c r="C285" t="str">
        <f>'rockfish harvests'!C284</f>
        <v>NSEI</v>
      </c>
      <c r="D285">
        <f>'rockfish harvests'!D284</f>
        <v>7678</v>
      </c>
      <c r="E285">
        <v>4465</v>
      </c>
      <c r="F285" s="32">
        <v>0.71222023499999998</v>
      </c>
      <c r="G285" s="32">
        <v>6.5559435999999999E-2</v>
      </c>
      <c r="H285" s="7">
        <f t="shared" ref="H285:H360" si="318">E285*F285</f>
        <v>3180.0633492749998</v>
      </c>
      <c r="I285">
        <f t="shared" si="264"/>
        <v>1307007.6669691</v>
      </c>
      <c r="J285">
        <f t="shared" ref="J285:J360" si="319">SQRT(I285)</f>
        <v>1143.2443601300206</v>
      </c>
      <c r="K285" s="6">
        <f t="shared" ref="K285:K360" si="320">(1.96*J285)</f>
        <v>2240.7589458548405</v>
      </c>
      <c r="M285" s="2">
        <f>'rockfish harvests'!O284</f>
        <v>4568.1579615368355</v>
      </c>
      <c r="N285">
        <f>'rockfish harvests'!P284</f>
        <v>1649747.5421593867</v>
      </c>
      <c r="O285" s="32">
        <v>0.23336578599999999</v>
      </c>
      <c r="P285" s="32">
        <v>6.1192249999999998E-3</v>
      </c>
      <c r="Q285" s="13">
        <f t="shared" si="315"/>
        <v>1066.0517732662013</v>
      </c>
      <c r="R285" s="2">
        <f t="shared" si="289"/>
        <v>227636.14955421587</v>
      </c>
      <c r="S285">
        <f t="shared" ref="S285:S360" si="321">SQRT(R285)</f>
        <v>477.11230287450758</v>
      </c>
      <c r="T285" s="6">
        <f t="shared" ref="T285:T360" si="322">(1.96*S285)</f>
        <v>935.14011363403483</v>
      </c>
      <c r="V285" s="13">
        <f t="shared" si="316"/>
        <v>4246.1151225412013</v>
      </c>
      <c r="W285">
        <f t="shared" si="317"/>
        <v>1534643.8165233159</v>
      </c>
      <c r="X285">
        <f t="shared" ref="X285:X360" si="323">SQRT(W285)</f>
        <v>1238.8074170440359</v>
      </c>
      <c r="Y285" s="6">
        <f t="shared" ref="Y285:Y360" si="324">(1.96*X285)</f>
        <v>2428.0625374063102</v>
      </c>
      <c r="Z285" s="14">
        <f t="shared" si="314"/>
        <v>0.29175078425632472</v>
      </c>
    </row>
    <row r="286" spans="1:26" x14ac:dyDescent="0.3">
      <c r="A286" t="str">
        <f>'rockfish harvests'!A285</f>
        <v>SE</v>
      </c>
      <c r="B286">
        <f>'rockfish harvests'!B285</f>
        <v>2006</v>
      </c>
      <c r="C286" t="str">
        <f>'rockfish harvests'!C285</f>
        <v>NSEI</v>
      </c>
      <c r="D286">
        <f>'rockfish harvests'!D285</f>
        <v>6437</v>
      </c>
      <c r="E286">
        <v>3476</v>
      </c>
      <c r="F286">
        <f>IF([2]species_comp_Region1_forR!$G142&gt;49,[2]species_comp_Region1_forR!$AD142,[2]species_comp_Region1_forR!$AF142)</f>
        <v>0.92330383500000002</v>
      </c>
      <c r="G286">
        <f>IF([2]species_comp_Region1_forR!$G142&gt;49,[2]species_comp_Region1_forR!$AE142,[2]species_comp_Region1_forR!$AG142)</f>
        <v>2.0950799999999999E-4</v>
      </c>
      <c r="H286" s="7">
        <f t="shared" si="318"/>
        <v>3209.40413046</v>
      </c>
      <c r="I286">
        <f t="shared" ref="I286:I361" si="325">(E286^2)*G286</f>
        <v>2531.3963326079997</v>
      </c>
      <c r="J286">
        <f t="shared" si="319"/>
        <v>50.312983737878234</v>
      </c>
      <c r="K286" s="6">
        <f t="shared" si="320"/>
        <v>98.613448126241337</v>
      </c>
      <c r="M286" s="2">
        <f>'rockfish harvests'!O285</f>
        <v>3829.8036986731713</v>
      </c>
      <c r="N286">
        <f>'rockfish harvests'!P285</f>
        <v>1159546.8293526676</v>
      </c>
      <c r="O286">
        <f>IF([2]species_comp_Region1_forR!$D164&gt;49,[2]species_comp_Region1_forR!$N164,[2]species_comp_Region1_forR!$P164)</f>
        <v>0.321052632</v>
      </c>
      <c r="P286">
        <f>IF([2]species_comp_Region1_forR!$D164&gt;49,[2]species_comp_Region1_forR!$O164,[2]species_comp_Region1_forR!$Q164)</f>
        <v>1.153322E-3</v>
      </c>
      <c r="Q286" s="13">
        <f t="shared" si="315"/>
        <v>1229.5685575023565</v>
      </c>
      <c r="R286" s="2">
        <f t="shared" si="289"/>
        <v>137773.61063093189</v>
      </c>
      <c r="S286">
        <f t="shared" si="321"/>
        <v>371.17867750038107</v>
      </c>
      <c r="T286" s="6">
        <f t="shared" si="322"/>
        <v>727.51020790074688</v>
      </c>
      <c r="V286" s="13">
        <f t="shared" si="316"/>
        <v>4438.9726879623568</v>
      </c>
      <c r="W286">
        <f t="shared" si="317"/>
        <v>140305.0069635399</v>
      </c>
      <c r="X286">
        <f t="shared" si="323"/>
        <v>374.57309962614761</v>
      </c>
      <c r="Y286" s="6">
        <f t="shared" si="324"/>
        <v>734.16327526724933</v>
      </c>
      <c r="Z286" s="14">
        <f t="shared" si="314"/>
        <v>8.4382834938795198E-2</v>
      </c>
    </row>
    <row r="287" spans="1:26" x14ac:dyDescent="0.3">
      <c r="A287" t="str">
        <f>'rockfish harvests'!A286</f>
        <v>SE</v>
      </c>
      <c r="B287">
        <f>'rockfish harvests'!B286</f>
        <v>2007</v>
      </c>
      <c r="C287" t="str">
        <f>'rockfish harvests'!C286</f>
        <v>NSEI</v>
      </c>
      <c r="D287">
        <f>'rockfish harvests'!D286</f>
        <v>7499</v>
      </c>
      <c r="E287">
        <v>4164</v>
      </c>
      <c r="F287">
        <f>IF([2]species_comp_Region1_forR!$G143&gt;49,[2]species_comp_Region1_forR!$AD143,[2]species_comp_Region1_forR!$AF143)</f>
        <v>0.96747967499999998</v>
      </c>
      <c r="G287">
        <f>IF([2]species_comp_Region1_forR!$G143&gt;49,[2]species_comp_Region1_forR!$AE143,[2]species_comp_Region1_forR!$AG143)</f>
        <v>8.5496599999999997E-5</v>
      </c>
      <c r="H287" s="7">
        <f t="shared" si="318"/>
        <v>4028.5853667000001</v>
      </c>
      <c r="I287">
        <f t="shared" si="325"/>
        <v>1482.4166557536</v>
      </c>
      <c r="J287">
        <f t="shared" si="319"/>
        <v>38.50216429960269</v>
      </c>
      <c r="K287" s="6">
        <f t="shared" si="320"/>
        <v>75.464242027221275</v>
      </c>
      <c r="M287" s="2">
        <f>'rockfish harvests'!O286</f>
        <v>4461.6588374009807</v>
      </c>
      <c r="N287">
        <f>'rockfish harvests'!P286</f>
        <v>1573721.8750711286</v>
      </c>
      <c r="O287">
        <f>IF([2]species_comp_Region1_forR!$D165&gt;49,[2]species_comp_Region1_forR!$N165,[2]species_comp_Region1_forR!$P165)</f>
        <v>0.167464115</v>
      </c>
      <c r="P287">
        <f>IF([2]species_comp_Region1_forR!$D165&gt;49,[2]species_comp_Region1_forR!$O165,[2]species_comp_Region1_forR!$Q165)</f>
        <v>6.70288E-4</v>
      </c>
      <c r="Q287" s="13">
        <f t="shared" si="315"/>
        <v>747.16774863728415</v>
      </c>
      <c r="R287" s="2">
        <f t="shared" si="289"/>
        <v>58531.685576607328</v>
      </c>
      <c r="S287">
        <f t="shared" si="321"/>
        <v>241.9332254499314</v>
      </c>
      <c r="T287" s="6">
        <f t="shared" si="322"/>
        <v>474.18912188186556</v>
      </c>
      <c r="V287" s="13">
        <f t="shared" si="316"/>
        <v>4775.7531153372838</v>
      </c>
      <c r="W287">
        <f t="shared" si="317"/>
        <v>60014.102232360929</v>
      </c>
      <c r="X287">
        <f t="shared" si="323"/>
        <v>244.97775864833307</v>
      </c>
      <c r="Y287" s="6">
        <f t="shared" si="324"/>
        <v>480.15640695073279</v>
      </c>
      <c r="Z287" s="14">
        <f t="shared" si="314"/>
        <v>5.1296152194632808E-2</v>
      </c>
    </row>
    <row r="288" spans="1:26" x14ac:dyDescent="0.3">
      <c r="A288" t="str">
        <f>'rockfish harvests'!A287</f>
        <v>SE</v>
      </c>
      <c r="B288">
        <f>'rockfish harvests'!B287</f>
        <v>2008</v>
      </c>
      <c r="C288" t="str">
        <f>'rockfish harvests'!C287</f>
        <v>NSEI</v>
      </c>
      <c r="D288">
        <f>'rockfish harvests'!D287</f>
        <v>10923</v>
      </c>
      <c r="E288">
        <v>6828</v>
      </c>
      <c r="F288">
        <f>IF([2]species_comp_Region1_forR!$G144&gt;49,[2]species_comp_Region1_forR!$AD144,[2]species_comp_Region1_forR!$AF144)</f>
        <v>0.955242967</v>
      </c>
      <c r="G288">
        <f>IF([2]species_comp_Region1_forR!$G144&gt;49,[2]species_comp_Region1_forR!$AE144,[2]species_comp_Region1_forR!$AG144)</f>
        <v>5.47424E-5</v>
      </c>
      <c r="H288" s="7">
        <f t="shared" si="318"/>
        <v>6522.3989786760003</v>
      </c>
      <c r="I288">
        <f t="shared" si="325"/>
        <v>2552.1773999615998</v>
      </c>
      <c r="J288">
        <f t="shared" si="319"/>
        <v>50.519079563681679</v>
      </c>
      <c r="K288" s="6">
        <f t="shared" si="320"/>
        <v>99.017395944816087</v>
      </c>
      <c r="M288" s="2">
        <f>'rockfish harvests'!O287</f>
        <v>6498.8264409829208</v>
      </c>
      <c r="N288">
        <f>'rockfish harvests'!P287</f>
        <v>3338913.2975072474</v>
      </c>
      <c r="O288">
        <f>IF([2]species_comp_Region1_forR!$D166&gt;49,[2]species_comp_Region1_forR!$N166,[2]species_comp_Region1_forR!$P166)</f>
        <v>0.12790697700000001</v>
      </c>
      <c r="P288">
        <f>IF([2]species_comp_Region1_forR!$D166&gt;49,[2]species_comp_Region1_forR!$O166,[2]species_comp_Region1_forR!$Q166)</f>
        <v>6.5231999999999996E-4</v>
      </c>
      <c r="Q288" s="13">
        <f t="shared" si="315"/>
        <v>831.24524411379434</v>
      </c>
      <c r="R288" s="2">
        <f t="shared" si="289"/>
        <v>84353.880703994291</v>
      </c>
      <c r="S288">
        <f t="shared" si="321"/>
        <v>290.43739549857264</v>
      </c>
      <c r="T288" s="6">
        <f t="shared" si="322"/>
        <v>569.25729517720242</v>
      </c>
      <c r="V288" s="13">
        <f t="shared" si="316"/>
        <v>7353.6442227897951</v>
      </c>
      <c r="W288">
        <f t="shared" si="317"/>
        <v>86906.058103955889</v>
      </c>
      <c r="X288">
        <f t="shared" si="323"/>
        <v>294.79833463565546</v>
      </c>
      <c r="Y288" s="6">
        <f t="shared" si="324"/>
        <v>577.80473588588472</v>
      </c>
      <c r="Z288" s="14">
        <f t="shared" si="314"/>
        <v>4.0088740453616357E-2</v>
      </c>
    </row>
    <row r="289" spans="1:26" x14ac:dyDescent="0.3">
      <c r="A289" t="str">
        <f>'rockfish harvests'!A288</f>
        <v>SE</v>
      </c>
      <c r="B289">
        <f>'rockfish harvests'!B288</f>
        <v>2009</v>
      </c>
      <c r="C289" t="str">
        <f>'rockfish harvests'!C288</f>
        <v>NSEI</v>
      </c>
      <c r="D289">
        <f>'rockfish harvests'!D288</f>
        <v>9325</v>
      </c>
      <c r="E289">
        <v>5994</v>
      </c>
      <c r="F289">
        <f>IF([2]species_comp_Region1_forR!$G145&gt;49,[2]species_comp_Region1_forR!$AD145,[2]species_comp_Region1_forR!$AF145)</f>
        <v>0.83406113500000001</v>
      </c>
      <c r="G289">
        <f>IF([2]species_comp_Region1_forR!$G145&gt;49,[2]species_comp_Region1_forR!$AE145,[2]species_comp_Region1_forR!$AG145)</f>
        <v>3.0285199999999999E-4</v>
      </c>
      <c r="H289" s="7">
        <f t="shared" si="318"/>
        <v>4999.3624431899998</v>
      </c>
      <c r="I289">
        <f t="shared" si="325"/>
        <v>10880.877558672</v>
      </c>
      <c r="J289">
        <f t="shared" si="319"/>
        <v>104.31144500327852</v>
      </c>
      <c r="K289" s="6">
        <f t="shared" si="320"/>
        <v>204.45043220642589</v>
      </c>
      <c r="M289" s="2">
        <f>'rockfish harvests'!O288</f>
        <v>5548.0688970214906</v>
      </c>
      <c r="N289">
        <f>'rockfish harvests'!P288</f>
        <v>2433430.5466266801</v>
      </c>
      <c r="O289">
        <f>IF([2]species_comp_Region1_forR!$D167&gt;49,[2]species_comp_Region1_forR!$N167,[2]species_comp_Region1_forR!$P167)</f>
        <v>0.14479638</v>
      </c>
      <c r="P289">
        <f>IF([2]species_comp_Region1_forR!$D167&gt;49,[2]species_comp_Region1_forR!$O167,[2]species_comp_Region1_forR!$Q167)</f>
        <v>5.6286499999999996E-4</v>
      </c>
      <c r="Q289" s="13">
        <f t="shared" si="315"/>
        <v>803.34029227930466</v>
      </c>
      <c r="R289" s="2">
        <f t="shared" si="289"/>
        <v>69714.563546505859</v>
      </c>
      <c r="S289">
        <f t="shared" si="321"/>
        <v>264.03515589122946</v>
      </c>
      <c r="T289" s="6">
        <f t="shared" si="322"/>
        <v>517.50890554680973</v>
      </c>
      <c r="V289" s="13">
        <f t="shared" si="316"/>
        <v>5802.7027354693046</v>
      </c>
      <c r="W289">
        <f t="shared" si="317"/>
        <v>80595.441105177859</v>
      </c>
      <c r="X289">
        <f t="shared" si="323"/>
        <v>283.89336220696998</v>
      </c>
      <c r="Y289" s="6">
        <f t="shared" si="324"/>
        <v>556.43098992566115</v>
      </c>
      <c r="Z289" s="14">
        <f t="shared" si="314"/>
        <v>4.8924333220045531E-2</v>
      </c>
    </row>
    <row r="290" spans="1:26" x14ac:dyDescent="0.3">
      <c r="A290" t="str">
        <f>'rockfish harvests'!A289</f>
        <v>SE</v>
      </c>
      <c r="B290">
        <f>'rockfish harvests'!B289</f>
        <v>2010</v>
      </c>
      <c r="C290" t="str">
        <f>'rockfish harvests'!C289</f>
        <v>NSEI</v>
      </c>
      <c r="D290">
        <f>'rockfish harvests'!D289</f>
        <v>11942</v>
      </c>
      <c r="E290">
        <v>7473</v>
      </c>
      <c r="F290">
        <f>IF([2]species_comp_Region1_forR!$G146&gt;49,[2]species_comp_Region1_forR!$AD146,[2]species_comp_Region1_forR!$AF146)</f>
        <v>0.83190394499999998</v>
      </c>
      <c r="G290">
        <f>IF([2]species_comp_Region1_forR!$G146&gt;49,[2]species_comp_Region1_forR!$AE146,[2]species_comp_Region1_forR!$AG146)</f>
        <v>2.40275E-4</v>
      </c>
      <c r="H290" s="7">
        <f t="shared" si="318"/>
        <v>6216.8181809850003</v>
      </c>
      <c r="I290">
        <f t="shared" si="325"/>
        <v>13418.332535475</v>
      </c>
      <c r="J290">
        <f t="shared" si="319"/>
        <v>115.83752645613164</v>
      </c>
      <c r="K290" s="6">
        <f t="shared" si="320"/>
        <v>227.04155185401802</v>
      </c>
      <c r="M290" s="2">
        <f>'rockfish harvests'!O289</f>
        <v>7105.0979912311668</v>
      </c>
      <c r="N290">
        <f>'rockfish harvests'!P289</f>
        <v>3990941.9253061144</v>
      </c>
      <c r="O290">
        <f>IF([2]species_comp_Region1_forR!$D168&gt;49,[2]species_comp_Region1_forR!$N168,[2]species_comp_Region1_forR!$P168)</f>
        <v>0.20293398500000001</v>
      </c>
      <c r="P290">
        <f>IF([2]species_comp_Region1_forR!$D168&gt;49,[2]species_comp_Region1_forR!$O168,[2]species_comp_Region1_forR!$Q168)</f>
        <v>3.9645000000000001E-4</v>
      </c>
      <c r="Q290" s="13">
        <f t="shared" si="315"/>
        <v>1441.8658491760359</v>
      </c>
      <c r="R290" s="2">
        <f t="shared" si="289"/>
        <v>185951.74093800454</v>
      </c>
      <c r="S290">
        <f t="shared" si="321"/>
        <v>431.22122041709002</v>
      </c>
      <c r="T290" s="6">
        <f t="shared" si="322"/>
        <v>845.19359201749648</v>
      </c>
      <c r="V290" s="13">
        <f t="shared" si="316"/>
        <v>7658.6840301610364</v>
      </c>
      <c r="W290">
        <f t="shared" si="317"/>
        <v>199370.07347347954</v>
      </c>
      <c r="X290">
        <f t="shared" si="323"/>
        <v>446.50876080260679</v>
      </c>
      <c r="Y290" s="6">
        <f t="shared" si="324"/>
        <v>875.1571711731093</v>
      </c>
      <c r="Z290" s="14">
        <f t="shared" si="314"/>
        <v>5.8300976909895864E-2</v>
      </c>
    </row>
    <row r="291" spans="1:26" x14ac:dyDescent="0.3">
      <c r="A291" t="str">
        <f>'rockfish harvests'!A290</f>
        <v>SE</v>
      </c>
      <c r="B291">
        <f>'rockfish harvests'!B290</f>
        <v>2011</v>
      </c>
      <c r="C291" t="str">
        <f>'rockfish harvests'!C290</f>
        <v>NSEI</v>
      </c>
      <c r="D291">
        <f>'rockfish harvests'!D290</f>
        <v>13281</v>
      </c>
      <c r="E291">
        <v>8325</v>
      </c>
      <c r="F291">
        <f>IF([2]species_comp_Region1_forR!$G147&gt;49,[2]species_comp_Region1_forR!$AD147,[2]species_comp_Region1_forR!$AF147)</f>
        <v>0.93116634799999998</v>
      </c>
      <c r="G291">
        <f>IF([2]species_comp_Region1_forR!$G147&gt;49,[2]species_comp_Region1_forR!$AE147,[2]species_comp_Region1_forR!$AG147)</f>
        <v>1.22788E-4</v>
      </c>
      <c r="H291" s="7">
        <f t="shared" si="318"/>
        <v>7751.9598470999999</v>
      </c>
      <c r="I291">
        <f t="shared" si="325"/>
        <v>8509.8990825000001</v>
      </c>
      <c r="J291">
        <f t="shared" si="319"/>
        <v>92.2491142640405</v>
      </c>
      <c r="K291" s="6">
        <f t="shared" si="320"/>
        <v>180.80826395751939</v>
      </c>
      <c r="M291" s="2">
        <f>'rockfish harvests'!O290</f>
        <v>7853.144125958821</v>
      </c>
      <c r="N291">
        <f>'rockfish harvests'!P290</f>
        <v>2883554.5471730651</v>
      </c>
      <c r="O291">
        <f>IF([2]species_comp_Region1_forR!$D169&gt;49,[2]species_comp_Region1_forR!$N169,[2]species_comp_Region1_forR!$P169)</f>
        <v>0.20689655200000001</v>
      </c>
      <c r="P291">
        <f>IF([2]species_comp_Region1_forR!$D169&gt;49,[2]species_comp_Region1_forR!$O169,[2]species_comp_Region1_forR!$Q169)</f>
        <v>4.7288300000000001E-4</v>
      </c>
      <c r="Q291" s="13">
        <f t="shared" si="315"/>
        <v>1624.7884420199339</v>
      </c>
      <c r="R291" s="2">
        <f t="shared" si="289"/>
        <v>153961.12838398237</v>
      </c>
      <c r="S291">
        <f t="shared" si="321"/>
        <v>392.37880725643475</v>
      </c>
      <c r="T291" s="6">
        <f t="shared" si="322"/>
        <v>769.06246222261211</v>
      </c>
      <c r="V291" s="13">
        <f t="shared" si="316"/>
        <v>9376.7482891199343</v>
      </c>
      <c r="W291">
        <f t="shared" si="317"/>
        <v>162471.02746648237</v>
      </c>
      <c r="X291">
        <f t="shared" si="323"/>
        <v>403.07694980795213</v>
      </c>
      <c r="Y291" s="6">
        <f t="shared" si="324"/>
        <v>790.03082162358612</v>
      </c>
      <c r="Z291" s="14">
        <f t="shared" si="314"/>
        <v>4.298685827747472E-2</v>
      </c>
    </row>
    <row r="292" spans="1:26" x14ac:dyDescent="0.3">
      <c r="A292" t="str">
        <f>'rockfish harvests'!A291</f>
        <v>SE</v>
      </c>
      <c r="B292">
        <f>'rockfish harvests'!B291</f>
        <v>2012</v>
      </c>
      <c r="C292" t="str">
        <f>'rockfish harvests'!C291</f>
        <v>NSEI</v>
      </c>
      <c r="D292">
        <f>'rockfish harvests'!D291</f>
        <v>15243</v>
      </c>
      <c r="E292">
        <v>9183</v>
      </c>
      <c r="F292">
        <f>IF([2]species_comp_Region1_forR!$G148&gt;49,[2]species_comp_Region1_forR!$AD148,[2]species_comp_Region1_forR!$AF148)</f>
        <v>0.86212914500000004</v>
      </c>
      <c r="G292">
        <f>IF([2]species_comp_Region1_forR!$G148&gt;49,[2]species_comp_Region1_forR!$AE148,[2]species_comp_Region1_forR!$AG148)</f>
        <v>2.0780199999999999E-4</v>
      </c>
      <c r="H292" s="7">
        <f t="shared" si="318"/>
        <v>7916.931938535</v>
      </c>
      <c r="I292">
        <f t="shared" si="325"/>
        <v>17523.420869178</v>
      </c>
      <c r="J292">
        <f t="shared" si="319"/>
        <v>132.3760585195752</v>
      </c>
      <c r="K292" s="6">
        <f t="shared" si="320"/>
        <v>259.45707469836736</v>
      </c>
      <c r="M292" s="2">
        <f>'rockfish harvests'!O291</f>
        <v>15088.837840909095</v>
      </c>
      <c r="N292">
        <f>'rockfish harvests'!P291</f>
        <v>11116596.990618348</v>
      </c>
      <c r="O292">
        <f>IF([2]species_comp_Region1_forR!$D170&gt;49,[2]species_comp_Region1_forR!$N170,[2]species_comp_Region1_forR!$P170)</f>
        <v>0.34630350199999999</v>
      </c>
      <c r="P292">
        <f>IF([2]species_comp_Region1_forR!$D170&gt;49,[2]species_comp_Region1_forR!$O170,[2]species_comp_Region1_forR!$Q170)</f>
        <v>4.4128100000000002E-4</v>
      </c>
      <c r="Q292" s="13">
        <f t="shared" si="315"/>
        <v>5225.3173854169381</v>
      </c>
      <c r="R292" s="2">
        <f t="shared" si="289"/>
        <v>1438543.6188716295</v>
      </c>
      <c r="S292">
        <f t="shared" si="321"/>
        <v>1199.3930210200615</v>
      </c>
      <c r="T292" s="6">
        <f t="shared" si="322"/>
        <v>2350.8103211993207</v>
      </c>
      <c r="V292" s="13">
        <f t="shared" si="316"/>
        <v>13142.249323951939</v>
      </c>
      <c r="W292">
        <f t="shared" si="317"/>
        <v>1456067.0397408074</v>
      </c>
      <c r="X292">
        <f t="shared" si="323"/>
        <v>1206.6760293222069</v>
      </c>
      <c r="Y292" s="6">
        <f t="shared" si="324"/>
        <v>2365.0850174715256</v>
      </c>
      <c r="Z292" s="14">
        <f t="shared" si="314"/>
        <v>9.1816552827301973E-2</v>
      </c>
    </row>
    <row r="293" spans="1:26" x14ac:dyDescent="0.3">
      <c r="A293" t="str">
        <f>'rockfish harvests'!A292</f>
        <v>SE</v>
      </c>
      <c r="B293">
        <f>'rockfish harvests'!B292</f>
        <v>2013</v>
      </c>
      <c r="C293" t="str">
        <f>'rockfish harvests'!C292</f>
        <v>NSEI</v>
      </c>
      <c r="D293">
        <f>'rockfish harvests'!D292</f>
        <v>14770</v>
      </c>
      <c r="E293">
        <v>9583</v>
      </c>
      <c r="F293">
        <f>IF([2]species_comp_Region1_forR!$G149&gt;49,[2]species_comp_Region1_forR!$AD149,[2]species_comp_Region1_forR!$AF149)</f>
        <v>0.75684379999999996</v>
      </c>
      <c r="G293">
        <f>IF([2]species_comp_Region1_forR!$G149&gt;49,[2]species_comp_Region1_forR!$AE149,[2]species_comp_Region1_forR!$AG149)</f>
        <v>2.9682500000000002E-4</v>
      </c>
      <c r="H293" s="7">
        <f t="shared" si="318"/>
        <v>7252.8341353999995</v>
      </c>
      <c r="I293">
        <f t="shared" si="325"/>
        <v>27258.594102425002</v>
      </c>
      <c r="J293">
        <f t="shared" si="319"/>
        <v>165.10176892579014</v>
      </c>
      <c r="K293" s="6">
        <f t="shared" si="320"/>
        <v>323.59946709454869</v>
      </c>
      <c r="M293" s="2">
        <f>'rockfish harvests'!O292</f>
        <v>8172.238805970148</v>
      </c>
      <c r="N293">
        <f>'rockfish harvests'!P292</f>
        <v>2814788.8573717903</v>
      </c>
      <c r="O293">
        <f>IF([2]species_comp_Region1_forR!$D171&gt;49,[2]species_comp_Region1_forR!$N171,[2]species_comp_Region1_forR!$P171)</f>
        <v>0.368260427</v>
      </c>
      <c r="P293">
        <f>IF([2]species_comp_Region1_forR!$D171&gt;49,[2]species_comp_Region1_forR!$O171,[2]species_comp_Region1_forR!$Q171)</f>
        <v>2.3690899999999999E-4</v>
      </c>
      <c r="Q293" s="13">
        <f t="shared" si="315"/>
        <v>3009.5121522325367</v>
      </c>
      <c r="R293" s="2">
        <f t="shared" si="289"/>
        <v>398218.61150823598</v>
      </c>
      <c r="S293">
        <f t="shared" si="321"/>
        <v>631.04564930616232</v>
      </c>
      <c r="T293" s="6">
        <f t="shared" si="322"/>
        <v>1236.8494726400781</v>
      </c>
      <c r="V293" s="13">
        <f t="shared" si="316"/>
        <v>10262.346287632536</v>
      </c>
      <c r="W293">
        <f t="shared" si="317"/>
        <v>425477.20561066095</v>
      </c>
      <c r="X293">
        <f t="shared" si="323"/>
        <v>652.28613783420303</v>
      </c>
      <c r="Y293" s="6">
        <f t="shared" si="324"/>
        <v>1278.4808301550379</v>
      </c>
      <c r="Z293" s="14">
        <f t="shared" si="314"/>
        <v>6.3561111616384725E-2</v>
      </c>
    </row>
    <row r="294" spans="1:26" x14ac:dyDescent="0.3">
      <c r="A294" t="str">
        <f>'rockfish harvests'!A293</f>
        <v>SE</v>
      </c>
      <c r="B294">
        <f>'rockfish harvests'!B293</f>
        <v>2014</v>
      </c>
      <c r="C294" t="str">
        <f>'rockfish harvests'!C293</f>
        <v>NSEI</v>
      </c>
      <c r="D294">
        <f>'rockfish harvests'!D293</f>
        <v>19857</v>
      </c>
      <c r="E294">
        <v>13571</v>
      </c>
      <c r="F294">
        <f>IF([2]species_comp_Region1_forR!$G150&gt;49,[2]species_comp_Region1_forR!$AD150,[2]species_comp_Region1_forR!$AF150)</f>
        <v>0.70642201800000004</v>
      </c>
      <c r="G294">
        <f>IF([2]species_comp_Region1_forR!$G150&gt;49,[2]species_comp_Region1_forR!$AE150,[2]species_comp_Region1_forR!$AG150)</f>
        <v>2.7216499999999999E-4</v>
      </c>
      <c r="H294" s="7">
        <f t="shared" si="318"/>
        <v>9586.8532062780014</v>
      </c>
      <c r="I294">
        <f t="shared" si="325"/>
        <v>50125.183538764999</v>
      </c>
      <c r="J294">
        <f t="shared" si="319"/>
        <v>223.88654166511438</v>
      </c>
      <c r="K294" s="6">
        <f t="shared" si="320"/>
        <v>438.81762166362415</v>
      </c>
      <c r="M294" s="2">
        <f>'rockfish harvests'!O293</f>
        <v>12419.119924151324</v>
      </c>
      <c r="N294">
        <f>'rockfish harvests'!P293</f>
        <v>9528568.3691134229</v>
      </c>
      <c r="O294">
        <f>IF([2]species_comp_Region1_forR!$D172&gt;49,[2]species_comp_Region1_forR!$N172,[2]species_comp_Region1_forR!$P172)</f>
        <v>0.29830810299999999</v>
      </c>
      <c r="P294">
        <f>IF([2]species_comp_Region1_forR!$D172&gt;49,[2]species_comp_Region1_forR!$O172,[2]species_comp_Region1_forR!$Q172)</f>
        <v>1.8656E-4</v>
      </c>
      <c r="Q294" s="13">
        <f t="shared" si="315"/>
        <v>3704.7241055030854</v>
      </c>
      <c r="R294" s="2">
        <f t="shared" si="289"/>
        <v>878477.26059125701</v>
      </c>
      <c r="S294">
        <f t="shared" si="321"/>
        <v>937.27117772353222</v>
      </c>
      <c r="T294" s="6">
        <f t="shared" si="322"/>
        <v>1837.0515083381231</v>
      </c>
      <c r="V294" s="13">
        <f t="shared" si="316"/>
        <v>13291.577311781086</v>
      </c>
      <c r="W294">
        <f t="shared" si="317"/>
        <v>928602.44413002196</v>
      </c>
      <c r="X294">
        <f t="shared" si="323"/>
        <v>963.64020470817945</v>
      </c>
      <c r="Y294" s="6">
        <f t="shared" si="324"/>
        <v>1888.7348012280318</v>
      </c>
      <c r="Z294" s="14">
        <f t="shared" si="314"/>
        <v>7.2500063920483693E-2</v>
      </c>
    </row>
    <row r="295" spans="1:26" x14ac:dyDescent="0.3">
      <c r="A295" t="str">
        <f>'rockfish harvests'!A294</f>
        <v>SE</v>
      </c>
      <c r="B295">
        <f>'rockfish harvests'!B294</f>
        <v>2015</v>
      </c>
      <c r="C295" t="str">
        <f>'rockfish harvests'!C294</f>
        <v>NSEI</v>
      </c>
      <c r="D295">
        <f>'rockfish harvests'!D294</f>
        <v>22095</v>
      </c>
      <c r="E295">
        <v>13976</v>
      </c>
      <c r="F295">
        <f>IF([2]species_comp_Region1_forR!$G151&gt;49,[2]species_comp_Region1_forR!$AD151,[2]species_comp_Region1_forR!$AF151)</f>
        <v>0.80268199200000001</v>
      </c>
      <c r="G295">
        <f>IF([2]species_comp_Region1_forR!$G151&gt;49,[2]species_comp_Region1_forR!$AE151,[2]species_comp_Region1_forR!$AG151)</f>
        <v>1.5185400000000001E-4</v>
      </c>
      <c r="H295" s="7">
        <f t="shared" si="318"/>
        <v>11218.283520192001</v>
      </c>
      <c r="I295">
        <f t="shared" si="325"/>
        <v>29661.425579904004</v>
      </c>
      <c r="J295">
        <f t="shared" si="319"/>
        <v>172.22492728958838</v>
      </c>
      <c r="K295" s="6">
        <f t="shared" si="320"/>
        <v>337.56085748759324</v>
      </c>
      <c r="M295" s="2">
        <f>'rockfish harvests'!O294</f>
        <v>9668.8857001484394</v>
      </c>
      <c r="N295">
        <f>'rockfish harvests'!P294</f>
        <v>4304414.6066964231</v>
      </c>
      <c r="O295">
        <f>IF([2]species_comp_Region1_forR!$D173&gt;49,[2]species_comp_Region1_forR!$N173,[2]species_comp_Region1_forR!$P173)</f>
        <v>0.25740131599999999</v>
      </c>
      <c r="P295">
        <f>IF([2]species_comp_Region1_forR!$D173&gt;49,[2]species_comp_Region1_forR!$O173,[2]species_comp_Region1_forR!$Q173)</f>
        <v>1.57322E-4</v>
      </c>
      <c r="Q295" s="13">
        <f t="shared" si="315"/>
        <v>2488.7839034717895</v>
      </c>
      <c r="R295" s="2">
        <f t="shared" si="289"/>
        <v>300575.66895448667</v>
      </c>
      <c r="S295">
        <f t="shared" si="321"/>
        <v>548.24781709960928</v>
      </c>
      <c r="T295" s="6">
        <f t="shared" si="322"/>
        <v>1074.5657215152341</v>
      </c>
      <c r="V295" s="13">
        <f t="shared" si="316"/>
        <v>13707.06742366379</v>
      </c>
      <c r="W295">
        <f t="shared" si="317"/>
        <v>330237.09453439066</v>
      </c>
      <c r="X295">
        <f t="shared" si="323"/>
        <v>574.66259190449375</v>
      </c>
      <c r="Y295" s="6">
        <f t="shared" si="324"/>
        <v>1126.3386801328077</v>
      </c>
      <c r="Z295" s="14">
        <f t="shared" si="314"/>
        <v>4.1924546961255922E-2</v>
      </c>
    </row>
    <row r="296" spans="1:26" x14ac:dyDescent="0.3">
      <c r="A296" t="str">
        <f>'rockfish harvests'!A295</f>
        <v>SE</v>
      </c>
      <c r="B296">
        <f>'rockfish harvests'!B295</f>
        <v>2016</v>
      </c>
      <c r="C296" t="str">
        <f>'rockfish harvests'!C295</f>
        <v>NSEI</v>
      </c>
      <c r="D296">
        <f>'rockfish harvests'!D295</f>
        <v>25877</v>
      </c>
      <c r="E296">
        <v>16646</v>
      </c>
      <c r="F296">
        <f>IF([2]species_comp_Region1_forR!$G152&gt;49,[2]species_comp_Region1_forR!$AD152,[2]species_comp_Region1_forR!$AF152)</f>
        <v>0.51254953800000003</v>
      </c>
      <c r="G296">
        <f>IF([2]species_comp_Region1_forR!$G152&gt;49,[2]species_comp_Region1_forR!$AE152,[2]species_comp_Region1_forR!$AG152)</f>
        <v>3.3048000000000002E-4</v>
      </c>
      <c r="H296" s="7">
        <f t="shared" si="318"/>
        <v>8531.8996095479997</v>
      </c>
      <c r="I296">
        <f t="shared" si="325"/>
        <v>91572.47715168001</v>
      </c>
      <c r="J296">
        <f t="shared" si="319"/>
        <v>302.60944656715526</v>
      </c>
      <c r="K296" s="6">
        <f t="shared" si="320"/>
        <v>593.11451527162433</v>
      </c>
      <c r="M296" s="2">
        <f>'rockfish harvests'!O295</f>
        <v>14189.291818701371</v>
      </c>
      <c r="N296">
        <f>'rockfish harvests'!P295</f>
        <v>6762576.6255513411</v>
      </c>
      <c r="O296">
        <f>IF([2]species_comp_Region1_forR!$D174&gt;49,[2]species_comp_Region1_forR!$N174,[2]species_comp_Region1_forR!$P174)</f>
        <v>0.152555301</v>
      </c>
      <c r="P296">
        <f>IF([2]species_comp_Region1_forR!$D174&gt;49,[2]species_comp_Region1_forR!$O174,[2]species_comp_Region1_forR!$Q174)</f>
        <v>9.8688699999999996E-5</v>
      </c>
      <c r="Q296" s="13">
        <f t="shared" si="315"/>
        <v>2164.6516843788249</v>
      </c>
      <c r="R296" s="2">
        <f t="shared" si="289"/>
        <v>177923.23461815031</v>
      </c>
      <c r="S296">
        <f t="shared" si="321"/>
        <v>421.80947668129778</v>
      </c>
      <c r="T296" s="6">
        <f t="shared" si="322"/>
        <v>826.74657429534363</v>
      </c>
      <c r="V296" s="13">
        <f t="shared" si="316"/>
        <v>10696.551293926825</v>
      </c>
      <c r="W296">
        <f t="shared" si="317"/>
        <v>269495.71176983032</v>
      </c>
      <c r="X296">
        <f t="shared" si="323"/>
        <v>519.12976390285144</v>
      </c>
      <c r="Y296" s="6">
        <f t="shared" si="324"/>
        <v>1017.4943372495889</v>
      </c>
      <c r="Z296" s="14">
        <f t="shared" si="314"/>
        <v>4.8532442806832277E-2</v>
      </c>
    </row>
    <row r="297" spans="1:26" x14ac:dyDescent="0.3">
      <c r="A297" t="str">
        <f>'rockfish harvests'!A296</f>
        <v>SE</v>
      </c>
      <c r="B297">
        <f>'rockfish harvests'!B296</f>
        <v>2017</v>
      </c>
      <c r="C297" t="str">
        <f>'rockfish harvests'!C296</f>
        <v>NSEI</v>
      </c>
      <c r="D297">
        <f>'rockfish harvests'!D296</f>
        <v>24305</v>
      </c>
      <c r="E297">
        <v>19203</v>
      </c>
      <c r="F297">
        <f>IF([2]species_comp_Region1_forR!$G153&gt;49,[2]species_comp_Region1_forR!$AD153,[2]species_comp_Region1_forR!$AF153)</f>
        <v>0.39860748499999998</v>
      </c>
      <c r="G297">
        <f>IF([2]species_comp_Region1_forR!$G153&gt;49,[2]species_comp_Region1_forR!$AE153,[2]species_comp_Region1_forR!$AG153)</f>
        <v>2.08815E-4</v>
      </c>
      <c r="H297" s="7">
        <f t="shared" si="318"/>
        <v>7654.4595344549998</v>
      </c>
      <c r="I297">
        <f t="shared" si="325"/>
        <v>77001.618967335002</v>
      </c>
      <c r="J297">
        <f t="shared" si="319"/>
        <v>277.49165567154449</v>
      </c>
      <c r="K297" s="6">
        <f t="shared" si="320"/>
        <v>543.88364511622717</v>
      </c>
      <c r="M297" s="2">
        <f>'rockfish harvests'!O296</f>
        <v>16806.228360636691</v>
      </c>
      <c r="N297">
        <f>'rockfish harvests'!P296</f>
        <v>14540377.874931889</v>
      </c>
      <c r="O297">
        <f>IF([2]species_comp_Region1_forR!$D175&gt;49,[2]species_comp_Region1_forR!$N175,[2]species_comp_Region1_forR!$P175)</f>
        <v>0.27392449499999999</v>
      </c>
      <c r="P297">
        <f>IF([2]species_comp_Region1_forR!$D175&gt;49,[2]species_comp_Region1_forR!$O175,[2]species_comp_Region1_forR!$Q175)</f>
        <v>1.74771E-4</v>
      </c>
      <c r="Q297" s="13">
        <f t="shared" si="315"/>
        <v>4603.6376165420834</v>
      </c>
      <c r="R297" s="2">
        <f t="shared" si="289"/>
        <v>1142937.0438367461</v>
      </c>
      <c r="S297">
        <f t="shared" si="321"/>
        <v>1069.0823372578682</v>
      </c>
      <c r="T297" s="6">
        <f t="shared" si="322"/>
        <v>2095.4013810254214</v>
      </c>
      <c r="V297" s="13">
        <f t="shared" si="316"/>
        <v>12258.097150997084</v>
      </c>
      <c r="W297">
        <f t="shared" si="317"/>
        <v>1219938.6628040811</v>
      </c>
      <c r="X297">
        <f t="shared" si="323"/>
        <v>1104.5083353257598</v>
      </c>
      <c r="Y297" s="6">
        <f t="shared" si="324"/>
        <v>2164.8363372384893</v>
      </c>
      <c r="Z297" s="14">
        <f t="shared" si="314"/>
        <v>9.0104387468973368E-2</v>
      </c>
    </row>
    <row r="298" spans="1:26" x14ac:dyDescent="0.3">
      <c r="A298" t="str">
        <f>'rockfish harvests'!A297</f>
        <v>SE</v>
      </c>
      <c r="B298">
        <f>'rockfish harvests'!B297</f>
        <v>2018</v>
      </c>
      <c r="C298" t="str">
        <f>'rockfish harvests'!C297</f>
        <v>NSEI</v>
      </c>
      <c r="D298">
        <f>'rockfish harvests'!D297</f>
        <v>34673</v>
      </c>
      <c r="E298">
        <v>28268</v>
      </c>
      <c r="F298">
        <f>IF([2]species_comp_Region1_forR!$G154&gt;49,[2]species_comp_Region1_forR!$AD154,[2]species_comp_Region1_forR!$AF154)</f>
        <v>0.262548263</v>
      </c>
      <c r="G298">
        <f>IF([2]species_comp_Region1_forR!$G154&gt;49,[2]species_comp_Region1_forR!$AE154,[2]species_comp_Region1_forR!$AG154)</f>
        <v>8.3097300000000001E-5</v>
      </c>
      <c r="H298" s="7">
        <f t="shared" si="318"/>
        <v>7421.7142984840002</v>
      </c>
      <c r="I298">
        <f t="shared" si="325"/>
        <v>66401.375858875195</v>
      </c>
      <c r="J298">
        <f t="shared" si="319"/>
        <v>257.68464420464636</v>
      </c>
      <c r="K298" s="6">
        <f t="shared" si="320"/>
        <v>505.06190264110688</v>
      </c>
      <c r="M298" s="2">
        <f>'rockfish harvests'!O297</f>
        <v>15349.26901059274</v>
      </c>
      <c r="N298">
        <f>'rockfish harvests'!P297</f>
        <v>8197994.4604236083</v>
      </c>
      <c r="O298">
        <f>IF([2]species_comp_Region1_forR!$D176&gt;49,[2]species_comp_Region1_forR!$N176,[2]species_comp_Region1_forR!$P176)</f>
        <v>0.18615751799999999</v>
      </c>
      <c r="P298">
        <f>IF([2]species_comp_Region1_forR!$D176&gt;49,[2]species_comp_Region1_forR!$O176,[2]species_comp_Region1_forR!$Q176)</f>
        <v>1.20623E-4</v>
      </c>
      <c r="Q298" s="13">
        <f t="shared" si="315"/>
        <v>2857.38182212626</v>
      </c>
      <c r="R298" s="2">
        <f t="shared" si="289"/>
        <v>313506.04777180881</v>
      </c>
      <c r="S298">
        <f t="shared" si="321"/>
        <v>559.91610779813152</v>
      </c>
      <c r="T298" s="6">
        <f t="shared" si="322"/>
        <v>1097.4355712843378</v>
      </c>
      <c r="V298" s="13">
        <f t="shared" si="316"/>
        <v>10279.09612061026</v>
      </c>
      <c r="W298">
        <f t="shared" si="317"/>
        <v>379907.42363068403</v>
      </c>
      <c r="X298">
        <f t="shared" si="323"/>
        <v>616.36630637201779</v>
      </c>
      <c r="Y298" s="6">
        <f t="shared" si="324"/>
        <v>1208.0779604891547</v>
      </c>
      <c r="Z298" s="14">
        <f t="shared" si="314"/>
        <v>5.9963084218675904E-2</v>
      </c>
    </row>
    <row r="299" spans="1:26" x14ac:dyDescent="0.3">
      <c r="A299" t="str">
        <f>'rockfish harvests'!A298</f>
        <v>SE</v>
      </c>
      <c r="B299">
        <f>'rockfish harvests'!B298</f>
        <v>2019</v>
      </c>
      <c r="C299" t="str">
        <f>'rockfish harvests'!C298</f>
        <v>NSEI</v>
      </c>
      <c r="D299">
        <f>'rockfish harvests'!D298</f>
        <v>36293</v>
      </c>
      <c r="E299">
        <v>30096</v>
      </c>
      <c r="F299">
        <v>0.26164331692540704</v>
      </c>
      <c r="G299">
        <v>7.3176549861241682E-5</v>
      </c>
      <c r="H299" s="7">
        <f>E299*F299</f>
        <v>7874.4172661870507</v>
      </c>
      <c r="I299">
        <f>(E299^2)*G299</f>
        <v>66281.066197401786</v>
      </c>
      <c r="J299">
        <f>SQRT(I299)</f>
        <v>257.4510947683109</v>
      </c>
      <c r="K299" s="6">
        <f>(1.96*J299)</f>
        <v>504.60414574588935</v>
      </c>
      <c r="M299" s="2">
        <f>'rockfish harvests'!O298</f>
        <v>23183.361216730038</v>
      </c>
      <c r="N299">
        <f>'rockfish harvests'!P298</f>
        <v>24125308.819017805</v>
      </c>
      <c r="O299">
        <v>0.21815286624203822</v>
      </c>
      <c r="P299">
        <v>9.0580028248763466E-5</v>
      </c>
      <c r="Q299" s="13">
        <f>M299*O299</f>
        <v>5057.5166985541646</v>
      </c>
      <c r="R299" s="2">
        <f t="shared" si="289"/>
        <v>1199008.8434991804</v>
      </c>
      <c r="S299">
        <f>SQRT(R299)</f>
        <v>1094.9926225775132</v>
      </c>
      <c r="T299" s="6">
        <f>(1.96*S299)</f>
        <v>2146.1855402519259</v>
      </c>
      <c r="V299" s="13">
        <f>Q299+H299</f>
        <v>12931.933964741216</v>
      </c>
      <c r="W299">
        <f>R299+I299</f>
        <v>1265289.9096965822</v>
      </c>
      <c r="X299">
        <f>SQRT(W299)</f>
        <v>1124.8510611172405</v>
      </c>
      <c r="Y299" s="6">
        <f>(1.96*X299)</f>
        <v>2204.7080797897916</v>
      </c>
      <c r="Z299" s="14">
        <f t="shared" si="314"/>
        <v>8.6982431567013505E-2</v>
      </c>
    </row>
    <row r="300" spans="1:26" x14ac:dyDescent="0.3">
      <c r="A300" t="str">
        <f>'rockfish harvests'!A299</f>
        <v>SE</v>
      </c>
      <c r="B300">
        <f>'rockfish harvests'!B299</f>
        <v>2020</v>
      </c>
      <c r="C300" t="str">
        <f>'rockfish harvests'!C299</f>
        <v>NSEI</v>
      </c>
      <c r="D300">
        <f>'rockfish harvests'!D299</f>
        <v>17585</v>
      </c>
      <c r="E300">
        <v>17302</v>
      </c>
      <c r="F300" t="s">
        <v>183</v>
      </c>
      <c r="G300" t="s">
        <v>294</v>
      </c>
      <c r="H300" s="7">
        <f t="shared" ref="H300:H301" si="326">E300*F300</f>
        <v>9205.5512820512813</v>
      </c>
      <c r="I300">
        <f t="shared" ref="I300:I301" si="327">(E300^2)*G300</f>
        <v>113616.27115179144</v>
      </c>
      <c r="J300">
        <f t="shared" ref="J300:J301" si="328">SQRT(I300)</f>
        <v>337.07012794341694</v>
      </c>
      <c r="K300" s="6">
        <f t="shared" ref="K300:K301" si="329">(1.96*J300)</f>
        <v>660.65745076909718</v>
      </c>
      <c r="M300" s="2">
        <f>'rockfish harvests'!O299</f>
        <v>4858.3978904449577</v>
      </c>
      <c r="N300">
        <f>'rockfish harvests'!P299</f>
        <v>1472700.4379098967</v>
      </c>
      <c r="O300" t="s">
        <v>185</v>
      </c>
      <c r="P300" t="s">
        <v>186</v>
      </c>
      <c r="Q300" s="13">
        <f t="shared" ref="Q300:Q301" si="330">M300*O300</f>
        <v>314.28989048700538</v>
      </c>
      <c r="R300" s="2">
        <f t="shared" si="289"/>
        <v>10263.69478079397</v>
      </c>
      <c r="S300">
        <f t="shared" ref="S300:S301" si="331">SQRT(R300)</f>
        <v>101.30989478226681</v>
      </c>
      <c r="T300" s="6">
        <f t="shared" ref="T300:T301" si="332">(1.96*S300)</f>
        <v>198.56739377324294</v>
      </c>
      <c r="V300" s="13">
        <f t="shared" ref="V300:V301" si="333">Q300+H300</f>
        <v>9519.8411725382866</v>
      </c>
      <c r="W300">
        <f t="shared" ref="W300:W301" si="334">R300+I300</f>
        <v>123879.96593258542</v>
      </c>
      <c r="X300">
        <f t="shared" ref="X300:X301" si="335">SQRT(W300)</f>
        <v>351.96585904400644</v>
      </c>
      <c r="Y300" s="6">
        <f t="shared" ref="Y300:Y301" si="336">(1.96*X300)</f>
        <v>689.85308372625263</v>
      </c>
      <c r="Z300" s="14">
        <f t="shared" ref="Z300:Z301" si="337">X300/V300</f>
        <v>3.6971820502564263E-2</v>
      </c>
    </row>
    <row r="301" spans="1:26" x14ac:dyDescent="0.3">
      <c r="A301" t="str">
        <f>'rockfish harvests'!A300</f>
        <v>SE</v>
      </c>
      <c r="B301">
        <f>'rockfish harvests'!B300</f>
        <v>2021</v>
      </c>
      <c r="C301" t="str">
        <f>'rockfish harvests'!C300</f>
        <v>NSEI</v>
      </c>
      <c r="D301">
        <f>'rockfish harvests'!D300</f>
        <v>33151</v>
      </c>
      <c r="E301">
        <v>31211</v>
      </c>
      <c r="F301" t="s">
        <v>184</v>
      </c>
      <c r="G301" t="s">
        <v>295</v>
      </c>
      <c r="H301" s="7">
        <f t="shared" si="326"/>
        <v>12228.121994134886</v>
      </c>
      <c r="I301">
        <f t="shared" si="327"/>
        <v>127401.17895471949</v>
      </c>
      <c r="J301">
        <f t="shared" si="328"/>
        <v>356.93301746226769</v>
      </c>
      <c r="K301" s="6">
        <f t="shared" si="329"/>
        <v>699.58871422604466</v>
      </c>
      <c r="M301" s="2">
        <f>'rockfish harvests'!O300</f>
        <v>7926.4899805809182</v>
      </c>
      <c r="N301">
        <f>'rockfish harvests'!P300</f>
        <v>3864104.3574178377</v>
      </c>
      <c r="O301" t="s">
        <v>187</v>
      </c>
      <c r="P301" t="s">
        <v>188</v>
      </c>
      <c r="Q301" s="13">
        <f t="shared" si="330"/>
        <v>150.98076153487426</v>
      </c>
      <c r="R301" s="2">
        <f t="shared" si="289"/>
        <v>4376.0532405920094</v>
      </c>
      <c r="S301">
        <f t="shared" si="331"/>
        <v>66.151744047999287</v>
      </c>
      <c r="T301" s="6">
        <f t="shared" si="332"/>
        <v>129.65741833407861</v>
      </c>
      <c r="V301" s="13">
        <f t="shared" si="333"/>
        <v>12379.102755669761</v>
      </c>
      <c r="W301">
        <f t="shared" si="334"/>
        <v>131777.23219531152</v>
      </c>
      <c r="X301">
        <f t="shared" si="335"/>
        <v>363.01133893490368</v>
      </c>
      <c r="Y301" s="6">
        <f t="shared" si="336"/>
        <v>711.50222431241116</v>
      </c>
      <c r="Z301" s="14">
        <f t="shared" si="337"/>
        <v>2.932452747988061E-2</v>
      </c>
    </row>
    <row r="302" spans="1:26" s="51" customFormat="1" x14ac:dyDescent="0.3">
      <c r="A302" s="51" t="s">
        <v>151</v>
      </c>
      <c r="B302" s="51">
        <v>2022</v>
      </c>
      <c r="C302" s="51" t="s">
        <v>38</v>
      </c>
      <c r="D302">
        <f>'rockfish harvests'!D301</f>
        <v>34168</v>
      </c>
      <c r="E302" s="51">
        <v>31320</v>
      </c>
      <c r="F302" t="s">
        <v>182</v>
      </c>
      <c r="G302" t="s">
        <v>296</v>
      </c>
      <c r="H302" s="7">
        <f t="shared" ref="H302" si="338">E302*F302</f>
        <v>19895.947995666305</v>
      </c>
      <c r="I302">
        <f t="shared" ref="I302" si="339">(E302^2)*G302</f>
        <v>78457.833820507629</v>
      </c>
      <c r="J302">
        <f t="shared" ref="J302" si="340">SQRT(I302)</f>
        <v>280.10325564067909</v>
      </c>
      <c r="K302" s="6">
        <f t="shared" ref="K302" si="341">(1.96*J302)</f>
        <v>549.00238105573101</v>
      </c>
      <c r="M302" s="2">
        <f>'rockfish harvests'!O301</f>
        <v>23959.726273535314</v>
      </c>
      <c r="N302">
        <f>'rockfish harvests'!P301</f>
        <v>56312393.20575878</v>
      </c>
      <c r="O302" t="s">
        <v>189</v>
      </c>
      <c r="P302" t="s">
        <v>190</v>
      </c>
      <c r="Q302" s="13">
        <f t="shared" ref="Q302" si="342">M302*O302</f>
        <v>10983.669826887184</v>
      </c>
      <c r="R302" s="2">
        <f t="shared" si="289"/>
        <v>11945412.139372654</v>
      </c>
      <c r="S302">
        <f t="shared" ref="S302" si="343">SQRT(R302)</f>
        <v>3456.2135552324676</v>
      </c>
      <c r="T302" s="6">
        <f t="shared" ref="T302" si="344">(1.96*S302)</f>
        <v>6774.1785682556365</v>
      </c>
      <c r="U302"/>
      <c r="V302" s="13">
        <f t="shared" ref="V302" si="345">Q302+H302</f>
        <v>30879.61782255349</v>
      </c>
      <c r="W302">
        <f t="shared" ref="W302" si="346">R302+I302</f>
        <v>12023869.973193161</v>
      </c>
      <c r="X302">
        <f t="shared" ref="X302" si="347">SQRT(W302)</f>
        <v>3467.5452373679514</v>
      </c>
      <c r="Y302" s="6">
        <f t="shared" ref="Y302" si="348">(1.96*X302)</f>
        <v>6796.3886652411848</v>
      </c>
      <c r="Z302" s="14">
        <f t="shared" ref="Z302" si="349">X302/V302</f>
        <v>0.11229236246684915</v>
      </c>
    </row>
    <row r="303" spans="1:26" x14ac:dyDescent="0.3">
      <c r="A303" t="str">
        <f>'rockfish harvests'!A302</f>
        <v>SE</v>
      </c>
      <c r="B303">
        <f>'rockfish harvests'!B302</f>
        <v>1998</v>
      </c>
      <c r="C303" t="str">
        <f>'rockfish harvests'!C302</f>
        <v>NSEO</v>
      </c>
      <c r="D303">
        <f>'rockfish harvests'!D302</f>
        <v>1123</v>
      </c>
      <c r="E303">
        <v>601</v>
      </c>
      <c r="F303" s="32">
        <v>0.94497086500000005</v>
      </c>
      <c r="G303" s="32">
        <v>1.0541039999999999E-3</v>
      </c>
      <c r="H303" s="7">
        <f t="shared" si="318"/>
        <v>567.92748986499998</v>
      </c>
      <c r="I303">
        <f t="shared" si="325"/>
        <v>380.74341890399995</v>
      </c>
      <c r="J303">
        <f t="shared" si="319"/>
        <v>19.51264766514273</v>
      </c>
      <c r="K303" s="6">
        <f t="shared" si="320"/>
        <v>38.244789423679748</v>
      </c>
      <c r="M303" s="2">
        <f>'rockfish harvests'!O302</f>
        <v>595.65533897155365</v>
      </c>
      <c r="N303">
        <f>'rockfish harvests'!P302</f>
        <v>93360.34279041113</v>
      </c>
      <c r="O303" s="32">
        <v>0.60406434499999995</v>
      </c>
      <c r="P303" s="32">
        <v>2.2998472999999998E-2</v>
      </c>
      <c r="Q303" s="13">
        <f t="shared" si="315"/>
        <v>359.81415218160447</v>
      </c>
      <c r="R303" s="2">
        <f t="shared" si="289"/>
        <v>44373.729026354151</v>
      </c>
      <c r="S303">
        <f t="shared" si="321"/>
        <v>210.65072757138569</v>
      </c>
      <c r="T303" s="6">
        <f t="shared" si="322"/>
        <v>412.87542603991596</v>
      </c>
      <c r="V303" s="13">
        <f t="shared" si="316"/>
        <v>927.74164204660451</v>
      </c>
      <c r="W303">
        <f t="shared" si="317"/>
        <v>44754.47244525815</v>
      </c>
      <c r="X303">
        <f t="shared" si="323"/>
        <v>211.55252880846911</v>
      </c>
      <c r="Y303" s="6">
        <f t="shared" si="324"/>
        <v>414.64295646459942</v>
      </c>
      <c r="Z303" s="14">
        <f t="shared" si="314"/>
        <v>0.22802957118727876</v>
      </c>
    </row>
    <row r="304" spans="1:26" x14ac:dyDescent="0.3">
      <c r="A304" t="str">
        <f>'rockfish harvests'!A303</f>
        <v>SE</v>
      </c>
      <c r="B304">
        <f>'rockfish harvests'!B303</f>
        <v>1999</v>
      </c>
      <c r="C304" t="str">
        <f>'rockfish harvests'!C303</f>
        <v>NSEO</v>
      </c>
      <c r="D304">
        <f>'rockfish harvests'!D303</f>
        <v>1071</v>
      </c>
      <c r="E304">
        <v>484</v>
      </c>
      <c r="F304" s="32">
        <v>0.94497086500000005</v>
      </c>
      <c r="G304" s="32">
        <v>1.0541039999999999E-3</v>
      </c>
      <c r="H304" s="7">
        <f t="shared" si="318"/>
        <v>457.36589866000003</v>
      </c>
      <c r="I304">
        <f t="shared" si="325"/>
        <v>246.93018662399999</v>
      </c>
      <c r="J304">
        <f t="shared" si="319"/>
        <v>15.714012429166523</v>
      </c>
      <c r="K304" s="6">
        <f t="shared" si="320"/>
        <v>30.799464361166386</v>
      </c>
      <c r="M304" s="2">
        <f>'rockfish harvests'!O303</f>
        <v>568.07379166387705</v>
      </c>
      <c r="N304">
        <f>'rockfish harvests'!P303</f>
        <v>84914.501969787365</v>
      </c>
      <c r="O304" s="32">
        <v>0.60406434499999995</v>
      </c>
      <c r="P304" s="32">
        <v>2.2998472999999998E-2</v>
      </c>
      <c r="Q304" s="13">
        <f t="shared" si="315"/>
        <v>343.15312287310633</v>
      </c>
      <c r="R304" s="2">
        <f t="shared" si="289"/>
        <v>40359.460860957355</v>
      </c>
      <c r="S304">
        <f t="shared" si="321"/>
        <v>200.89664223415323</v>
      </c>
      <c r="T304" s="6">
        <f t="shared" si="322"/>
        <v>393.75741877894035</v>
      </c>
      <c r="V304" s="13">
        <f t="shared" si="316"/>
        <v>800.5190215331063</v>
      </c>
      <c r="W304">
        <f t="shared" si="317"/>
        <v>40606.391047581354</v>
      </c>
      <c r="X304">
        <f t="shared" si="323"/>
        <v>201.510275290322</v>
      </c>
      <c r="Y304" s="6">
        <f t="shared" si="324"/>
        <v>394.96013956903113</v>
      </c>
      <c r="Z304" s="14">
        <f t="shared" si="314"/>
        <v>0.25172453104787135</v>
      </c>
    </row>
    <row r="305" spans="1:26" x14ac:dyDescent="0.3">
      <c r="A305" t="str">
        <f>'rockfish harvests'!A304</f>
        <v>SE</v>
      </c>
      <c r="B305">
        <f>'rockfish harvests'!B304</f>
        <v>2000</v>
      </c>
      <c r="C305" t="str">
        <f>'rockfish harvests'!C304</f>
        <v>NSEO</v>
      </c>
      <c r="D305">
        <f>'rockfish harvests'!D304</f>
        <v>2883</v>
      </c>
      <c r="E305">
        <v>1457</v>
      </c>
      <c r="F305" s="32">
        <v>0.94497086500000005</v>
      </c>
      <c r="G305" s="32">
        <v>1.0541039999999999E-3</v>
      </c>
      <c r="H305" s="7">
        <f t="shared" si="318"/>
        <v>1376.822550305</v>
      </c>
      <c r="I305">
        <f t="shared" si="325"/>
        <v>2237.703622296</v>
      </c>
      <c r="J305">
        <f t="shared" si="319"/>
        <v>47.304372126643855</v>
      </c>
      <c r="K305" s="6">
        <f t="shared" si="320"/>
        <v>92.716569368221954</v>
      </c>
      <c r="M305" s="2">
        <f>'rockfish harvests'!O304</f>
        <v>1529.1846324621447</v>
      </c>
      <c r="N305">
        <f>'rockfish harvests'!P304</f>
        <v>615307.50161743129</v>
      </c>
      <c r="O305" s="32">
        <v>0.60406434499999995</v>
      </c>
      <c r="P305" s="32">
        <v>2.2998472999999998E-2</v>
      </c>
      <c r="Q305" s="13">
        <f t="shared" si="315"/>
        <v>923.7259133923111</v>
      </c>
      <c r="R305" s="2">
        <f t="shared" si="289"/>
        <v>292452.74308760522</v>
      </c>
      <c r="S305">
        <f t="shared" si="321"/>
        <v>540.78900052386905</v>
      </c>
      <c r="T305" s="6">
        <f t="shared" si="322"/>
        <v>1059.9464410267833</v>
      </c>
      <c r="V305" s="13">
        <f t="shared" si="316"/>
        <v>2300.548463697311</v>
      </c>
      <c r="W305">
        <f t="shared" si="317"/>
        <v>294690.44670990121</v>
      </c>
      <c r="X305">
        <f t="shared" si="323"/>
        <v>542.85398286270424</v>
      </c>
      <c r="Y305" s="6">
        <f t="shared" si="324"/>
        <v>1063.9938064109003</v>
      </c>
      <c r="Z305" s="14">
        <f t="shared" si="314"/>
        <v>0.23596720148649253</v>
      </c>
    </row>
    <row r="306" spans="1:26" x14ac:dyDescent="0.3">
      <c r="A306" t="str">
        <f>'rockfish harvests'!A305</f>
        <v>SE</v>
      </c>
      <c r="B306">
        <f>'rockfish harvests'!B305</f>
        <v>2001</v>
      </c>
      <c r="C306" t="str">
        <f>'rockfish harvests'!C305</f>
        <v>NSEO</v>
      </c>
      <c r="D306">
        <f>'rockfish harvests'!D305</f>
        <v>2839</v>
      </c>
      <c r="E306">
        <v>1235</v>
      </c>
      <c r="F306" s="32">
        <v>0.94497086500000005</v>
      </c>
      <c r="G306" s="32">
        <v>1.0541039999999999E-3</v>
      </c>
      <c r="H306" s="7">
        <f t="shared" si="318"/>
        <v>1167.039018275</v>
      </c>
      <c r="I306">
        <f t="shared" si="325"/>
        <v>1607.7457734</v>
      </c>
      <c r="J306">
        <f t="shared" si="319"/>
        <v>40.09670526863772</v>
      </c>
      <c r="K306" s="6">
        <f t="shared" si="320"/>
        <v>78.589542326529937</v>
      </c>
      <c r="M306" s="2">
        <f>'rockfish harvests'!O305</f>
        <v>1505.8464001248803</v>
      </c>
      <c r="N306">
        <f>'rockfish harvests'!P305</f>
        <v>596669.32361688081</v>
      </c>
      <c r="O306" s="32">
        <v>0.60406434499999995</v>
      </c>
      <c r="P306" s="32">
        <v>2.2998472999999998E-2</v>
      </c>
      <c r="Q306" s="13">
        <f t="shared" si="315"/>
        <v>909.62811936204366</v>
      </c>
      <c r="R306" s="2">
        <f t="shared" si="289"/>
        <v>283594.10530391528</v>
      </c>
      <c r="S306">
        <f t="shared" si="321"/>
        <v>532.53554370005691</v>
      </c>
      <c r="T306" s="6">
        <f t="shared" si="322"/>
        <v>1043.7696656521116</v>
      </c>
      <c r="V306" s="13">
        <f t="shared" si="316"/>
        <v>2076.6671376370437</v>
      </c>
      <c r="W306">
        <f t="shared" si="317"/>
        <v>285201.85107731528</v>
      </c>
      <c r="X306">
        <f t="shared" si="323"/>
        <v>534.0429299946918</v>
      </c>
      <c r="Y306" s="6">
        <f t="shared" si="324"/>
        <v>1046.7241427895958</v>
      </c>
      <c r="Z306" s="14">
        <f t="shared" si="314"/>
        <v>0.25716347136997497</v>
      </c>
    </row>
    <row r="307" spans="1:26" x14ac:dyDescent="0.3">
      <c r="A307" t="str">
        <f>'rockfish harvests'!A306</f>
        <v>SE</v>
      </c>
      <c r="B307">
        <f>'rockfish harvests'!B306</f>
        <v>2002</v>
      </c>
      <c r="C307" t="str">
        <f>'rockfish harvests'!C306</f>
        <v>NSEO</v>
      </c>
      <c r="D307">
        <f>'rockfish harvests'!D306</f>
        <v>2029</v>
      </c>
      <c r="E307">
        <v>687</v>
      </c>
      <c r="F307" s="32">
        <v>0.94497086500000005</v>
      </c>
      <c r="G307" s="32">
        <v>1.0541039999999999E-3</v>
      </c>
      <c r="H307" s="7">
        <f t="shared" si="318"/>
        <v>649.19498425500001</v>
      </c>
      <c r="I307">
        <f t="shared" si="325"/>
        <v>497.50441077599999</v>
      </c>
      <c r="J307">
        <f t="shared" si="319"/>
        <v>22.304806898424385</v>
      </c>
      <c r="K307" s="6">
        <f t="shared" si="320"/>
        <v>43.717421520911792</v>
      </c>
      <c r="M307" s="2">
        <f>'rockfish harvests'!O306</f>
        <v>1076.2107593706878</v>
      </c>
      <c r="N307">
        <f>'rockfish harvests'!P306</f>
        <v>304766.3537779394</v>
      </c>
      <c r="O307" s="32">
        <v>0.60406434499999995</v>
      </c>
      <c r="P307" s="32">
        <v>2.2998472999999998E-2</v>
      </c>
      <c r="Q307" s="13">
        <f t="shared" si="315"/>
        <v>650.10054744120714</v>
      </c>
      <c r="R307" s="2">
        <f t="shared" si="289"/>
        <v>144854.00540197306</v>
      </c>
      <c r="S307">
        <f t="shared" si="321"/>
        <v>380.59690671624361</v>
      </c>
      <c r="T307" s="6">
        <f t="shared" si="322"/>
        <v>745.96993716383747</v>
      </c>
      <c r="V307" s="13">
        <f t="shared" si="316"/>
        <v>1299.295531696207</v>
      </c>
      <c r="W307">
        <f t="shared" si="317"/>
        <v>145351.50981274905</v>
      </c>
      <c r="X307">
        <f t="shared" si="323"/>
        <v>381.24993090195971</v>
      </c>
      <c r="Y307" s="6">
        <f t="shared" si="324"/>
        <v>747.24986456784097</v>
      </c>
      <c r="Z307" s="14">
        <f t="shared" si="314"/>
        <v>0.29342818596801051</v>
      </c>
    </row>
    <row r="308" spans="1:26" x14ac:dyDescent="0.3">
      <c r="A308" t="str">
        <f>'rockfish harvests'!A307</f>
        <v>SE</v>
      </c>
      <c r="B308">
        <f>'rockfish harvests'!B307</f>
        <v>2003</v>
      </c>
      <c r="C308" t="str">
        <f>'rockfish harvests'!C307</f>
        <v>NSEO</v>
      </c>
      <c r="D308">
        <f>'rockfish harvests'!D307</f>
        <v>3083</v>
      </c>
      <c r="E308">
        <v>1424</v>
      </c>
      <c r="F308" s="32">
        <v>0.94497086500000005</v>
      </c>
      <c r="G308" s="32">
        <v>1.0541039999999999E-3</v>
      </c>
      <c r="H308" s="7">
        <f t="shared" si="318"/>
        <v>1345.63851176</v>
      </c>
      <c r="I308">
        <f t="shared" si="325"/>
        <v>2137.486792704</v>
      </c>
      <c r="J308">
        <f t="shared" si="319"/>
        <v>46.232962188291594</v>
      </c>
      <c r="K308" s="6">
        <f t="shared" si="320"/>
        <v>90.616605889051527</v>
      </c>
      <c r="M308" s="2">
        <f>'rockfish harvests'!O307</f>
        <v>1635.26750672244</v>
      </c>
      <c r="N308">
        <f>'rockfish harvests'!P307</f>
        <v>703639.11639872531</v>
      </c>
      <c r="O308" s="32">
        <v>0.60406434499999995</v>
      </c>
      <c r="P308" s="32">
        <v>2.2998472999999998E-2</v>
      </c>
      <c r="Q308" s="13">
        <f t="shared" si="315"/>
        <v>987.80679534807371</v>
      </c>
      <c r="R308" s="2">
        <f t="shared" si="289"/>
        <v>334436.34149367298</v>
      </c>
      <c r="S308">
        <f t="shared" si="321"/>
        <v>578.30471335937852</v>
      </c>
      <c r="T308" s="6">
        <f t="shared" si="322"/>
        <v>1133.4772381843818</v>
      </c>
      <c r="V308" s="13">
        <f t="shared" si="316"/>
        <v>2333.4453071080738</v>
      </c>
      <c r="W308">
        <f t="shared" si="317"/>
        <v>336573.82828637696</v>
      </c>
      <c r="X308">
        <f t="shared" si="323"/>
        <v>580.14983261772727</v>
      </c>
      <c r="Y308" s="6">
        <f t="shared" si="324"/>
        <v>1137.0936719307454</v>
      </c>
      <c r="Z308" s="14">
        <f t="shared" si="314"/>
        <v>0.2486237114066876</v>
      </c>
    </row>
    <row r="309" spans="1:26" x14ac:dyDescent="0.3">
      <c r="A309" t="str">
        <f>'rockfish harvests'!A308</f>
        <v>SE</v>
      </c>
      <c r="B309">
        <f>'rockfish harvests'!B308</f>
        <v>2004</v>
      </c>
      <c r="C309" t="str">
        <f>'rockfish harvests'!C308</f>
        <v>NSEO</v>
      </c>
      <c r="D309">
        <f>'rockfish harvests'!D308</f>
        <v>2923</v>
      </c>
      <c r="E309">
        <v>999</v>
      </c>
      <c r="F309" s="32">
        <v>0.94497086500000005</v>
      </c>
      <c r="G309" s="32">
        <v>1.0541039999999999E-3</v>
      </c>
      <c r="H309" s="7">
        <f t="shared" si="318"/>
        <v>944.02589413500004</v>
      </c>
      <c r="I309">
        <f t="shared" si="325"/>
        <v>1051.996846104</v>
      </c>
      <c r="J309">
        <f t="shared" si="319"/>
        <v>32.434500861027601</v>
      </c>
      <c r="K309" s="6">
        <f t="shared" si="320"/>
        <v>63.571621687614098</v>
      </c>
      <c r="M309" s="2">
        <f>'rockfish harvests'!O308</f>
        <v>1550.4012073142039</v>
      </c>
      <c r="N309">
        <f>'rockfish harvests'!P308</f>
        <v>632500.03783668019</v>
      </c>
      <c r="O309" s="32">
        <v>0.60406434499999995</v>
      </c>
      <c r="P309" s="32">
        <v>2.2998472999999998E-2</v>
      </c>
      <c r="Q309" s="13">
        <f t="shared" si="315"/>
        <v>936.54208978346378</v>
      </c>
      <c r="R309" s="2">
        <f t="shared" si="289"/>
        <v>300624.27417528979</v>
      </c>
      <c r="S309">
        <f t="shared" si="321"/>
        <v>548.29214309097097</v>
      </c>
      <c r="T309" s="6">
        <f t="shared" si="322"/>
        <v>1074.6526004583031</v>
      </c>
      <c r="V309" s="13">
        <f t="shared" si="316"/>
        <v>1880.5679839184638</v>
      </c>
      <c r="W309">
        <f t="shared" si="317"/>
        <v>301676.27102139377</v>
      </c>
      <c r="X309">
        <f t="shared" si="323"/>
        <v>549.25064498951087</v>
      </c>
      <c r="Y309" s="6">
        <f t="shared" si="324"/>
        <v>1076.5312641794412</v>
      </c>
      <c r="Z309" s="14">
        <f t="shared" si="314"/>
        <v>0.2920663595713564</v>
      </c>
    </row>
    <row r="310" spans="1:26" x14ac:dyDescent="0.3">
      <c r="A310" t="str">
        <f>'rockfish harvests'!A309</f>
        <v>SE</v>
      </c>
      <c r="B310">
        <f>'rockfish harvests'!B309</f>
        <v>2005</v>
      </c>
      <c r="C310" t="str">
        <f>'rockfish harvests'!C309</f>
        <v>NSEO</v>
      </c>
      <c r="D310">
        <f>'rockfish harvests'!D309</f>
        <v>2796</v>
      </c>
      <c r="E310">
        <v>1188</v>
      </c>
      <c r="F310" s="32">
        <v>0.94497086500000005</v>
      </c>
      <c r="G310" s="32">
        <v>1.0541039999999999E-3</v>
      </c>
      <c r="H310" s="7">
        <f t="shared" si="318"/>
        <v>1122.6253876200001</v>
      </c>
      <c r="I310">
        <f t="shared" si="325"/>
        <v>1487.7033557759999</v>
      </c>
      <c r="J310">
        <f t="shared" si="319"/>
        <v>38.570757780681468</v>
      </c>
      <c r="K310" s="6">
        <f t="shared" si="320"/>
        <v>75.598685250135674</v>
      </c>
      <c r="M310" s="2">
        <f>'rockfish harvests'!O309</f>
        <v>1483.0385821589171</v>
      </c>
      <c r="N310">
        <f>'rockfish harvests'!P309</f>
        <v>578731.68372450606</v>
      </c>
      <c r="O310" s="32">
        <v>0.60406434499999995</v>
      </c>
      <c r="P310" s="32">
        <v>2.2998472999999998E-2</v>
      </c>
      <c r="Q310" s="13">
        <f t="shared" si="315"/>
        <v>895.8507297415548</v>
      </c>
      <c r="R310" s="2">
        <f t="shared" si="289"/>
        <v>275068.42996718863</v>
      </c>
      <c r="S310">
        <f t="shared" si="321"/>
        <v>524.46966544042243</v>
      </c>
      <c r="T310" s="6">
        <f t="shared" si="322"/>
        <v>1027.960544263228</v>
      </c>
      <c r="V310" s="13">
        <f t="shared" si="316"/>
        <v>2018.4761173615548</v>
      </c>
      <c r="W310">
        <f t="shared" si="317"/>
        <v>276556.1333229646</v>
      </c>
      <c r="X310">
        <f t="shared" si="323"/>
        <v>525.88604594813557</v>
      </c>
      <c r="Y310" s="6">
        <f t="shared" si="324"/>
        <v>1030.7366500583457</v>
      </c>
      <c r="Z310" s="14">
        <f t="shared" si="314"/>
        <v>0.26053617450552052</v>
      </c>
    </row>
    <row r="311" spans="1:26" x14ac:dyDescent="0.3">
      <c r="A311" t="str">
        <f>'rockfish harvests'!A310</f>
        <v>SE</v>
      </c>
      <c r="B311">
        <f>'rockfish harvests'!B310</f>
        <v>2006</v>
      </c>
      <c r="C311" t="str">
        <f>'rockfish harvests'!C310</f>
        <v>NSEO</v>
      </c>
      <c r="D311">
        <f>'rockfish harvests'!D310</f>
        <v>3058</v>
      </c>
      <c r="E311">
        <v>1407</v>
      </c>
      <c r="F311">
        <f>IF([2]species_comp_Region1_forR!$G186&gt;49,[2]species_comp_Region1_forR!$AD186,[2]species_comp_Region1_forR!$AF186)</f>
        <v>0.95814977999999995</v>
      </c>
      <c r="G311">
        <f>IF([2]species_comp_Region1_forR!$G186&gt;49,[2]species_comp_Region1_forR!$AE186,[2]species_comp_Region1_forR!$AG186)</f>
        <v>8.8518300000000003E-5</v>
      </c>
      <c r="H311" s="7">
        <f t="shared" si="318"/>
        <v>1348.1167404599998</v>
      </c>
      <c r="I311">
        <f t="shared" si="325"/>
        <v>175.23516407670002</v>
      </c>
      <c r="J311">
        <f t="shared" si="319"/>
        <v>13.237641937924595</v>
      </c>
      <c r="K311" s="6">
        <f t="shared" si="320"/>
        <v>25.945778198332206</v>
      </c>
      <c r="M311" s="2">
        <f>'rockfish harvests'!O310</f>
        <v>1622.0071474399028</v>
      </c>
      <c r="N311">
        <f>'rockfish harvests'!P310</f>
        <v>692273.78689881065</v>
      </c>
      <c r="O311">
        <f>IF([2]species_comp_Region1_forR!$D208&gt;49,[2]species_comp_Region1_forR!$N208,[2]species_comp_Region1_forR!$P208)</f>
        <v>0.37878787899999999</v>
      </c>
      <c r="P311">
        <f>IF([2]species_comp_Region1_forR!$D208&gt;49,[2]species_comp_Region1_forR!$O208,[2]species_comp_Region1_forR!$Q208)</f>
        <v>3.620117E-3</v>
      </c>
      <c r="Q311" s="13">
        <f t="shared" si="315"/>
        <v>614.39664710160105</v>
      </c>
      <c r="R311" s="2">
        <f t="shared" si="289"/>
        <v>111357.92498590556</v>
      </c>
      <c r="S311">
        <f t="shared" si="321"/>
        <v>333.70334877838064</v>
      </c>
      <c r="T311" s="6">
        <f t="shared" si="322"/>
        <v>654.05856360562609</v>
      </c>
      <c r="V311" s="13">
        <f t="shared" si="316"/>
        <v>1962.5133875616009</v>
      </c>
      <c r="W311">
        <f t="shared" si="317"/>
        <v>111533.16014998226</v>
      </c>
      <c r="X311">
        <f t="shared" si="323"/>
        <v>333.96580685750189</v>
      </c>
      <c r="Y311" s="6">
        <f t="shared" si="324"/>
        <v>654.57298144070364</v>
      </c>
      <c r="Z311" s="14">
        <f t="shared" si="314"/>
        <v>0.17017249868162701</v>
      </c>
    </row>
    <row r="312" spans="1:26" x14ac:dyDescent="0.3">
      <c r="A312" t="str">
        <f>'rockfish harvests'!A311</f>
        <v>SE</v>
      </c>
      <c r="B312">
        <f>'rockfish harvests'!B311</f>
        <v>2007</v>
      </c>
      <c r="C312" t="str">
        <f>'rockfish harvests'!C311</f>
        <v>NSEO</v>
      </c>
      <c r="D312">
        <f>'rockfish harvests'!D311</f>
        <v>4266</v>
      </c>
      <c r="E312">
        <v>2518</v>
      </c>
      <c r="F312">
        <f>IF([2]species_comp_Region1_forR!$G187&gt;49,[2]species_comp_Region1_forR!$AD187,[2]species_comp_Region1_forR!$AF187)</f>
        <v>0.97456765000000001</v>
      </c>
      <c r="G312">
        <f>IF([2]species_comp_Region1_forR!$G187&gt;49,[2]species_comp_Region1_forR!$AE187,[2]species_comp_Region1_forR!$AG187)</f>
        <v>2.5239899999999999E-5</v>
      </c>
      <c r="H312" s="7">
        <f t="shared" si="318"/>
        <v>2453.9613426999999</v>
      </c>
      <c r="I312">
        <f t="shared" si="325"/>
        <v>160.0291437276</v>
      </c>
      <c r="J312">
        <f t="shared" si="319"/>
        <v>12.65026259520331</v>
      </c>
      <c r="K312" s="6">
        <f t="shared" si="320"/>
        <v>24.794514686598486</v>
      </c>
      <c r="M312" s="2">
        <f>'rockfish harvests'!O311</f>
        <v>2262.7477079720811</v>
      </c>
      <c r="N312">
        <f>'rockfish harvests'!P311</f>
        <v>1347238.9410750614</v>
      </c>
      <c r="O312">
        <f>IF([2]species_comp_Region1_forR!$D209&gt;49,[2]species_comp_Region1_forR!$N209,[2]species_comp_Region1_forR!$P209)</f>
        <v>0.32786885199999999</v>
      </c>
      <c r="P312">
        <f>IF([2]species_comp_Region1_forR!$D209&gt;49,[2]species_comp_Region1_forR!$O209,[2]species_comp_Region1_forR!$Q209)</f>
        <v>3.6728479999999998E-3</v>
      </c>
      <c r="Q312" s="13">
        <f t="shared" si="315"/>
        <v>741.88449337843747</v>
      </c>
      <c r="R312" s="2">
        <f t="shared" si="289"/>
        <v>168578.75575722271</v>
      </c>
      <c r="S312">
        <f t="shared" si="321"/>
        <v>410.58343336917858</v>
      </c>
      <c r="T312" s="6">
        <f t="shared" si="322"/>
        <v>804.74352940358995</v>
      </c>
      <c r="V312" s="13">
        <f t="shared" si="316"/>
        <v>3195.8458360784375</v>
      </c>
      <c r="W312">
        <f t="shared" si="317"/>
        <v>168738.7849009503</v>
      </c>
      <c r="X312">
        <f t="shared" si="323"/>
        <v>410.77826731820937</v>
      </c>
      <c r="Y312" s="6">
        <f t="shared" si="324"/>
        <v>805.12540394369034</v>
      </c>
      <c r="Z312" s="14">
        <f t="shared" si="314"/>
        <v>0.12853506970857759</v>
      </c>
    </row>
    <row r="313" spans="1:26" x14ac:dyDescent="0.3">
      <c r="A313" t="str">
        <f>'rockfish harvests'!A312</f>
        <v>SE</v>
      </c>
      <c r="B313">
        <f>'rockfish harvests'!B312</f>
        <v>2008</v>
      </c>
      <c r="C313" t="str">
        <f>'rockfish harvests'!C312</f>
        <v>NSEO</v>
      </c>
      <c r="D313">
        <f>'rockfish harvests'!D312</f>
        <v>5010</v>
      </c>
      <c r="E313">
        <v>3047</v>
      </c>
      <c r="F313">
        <f>IF([2]species_comp_Region1_forR!$G188&gt;49,[2]species_comp_Region1_forR!$AD188,[2]species_comp_Region1_forR!$AF188)</f>
        <v>0.99317988099999999</v>
      </c>
      <c r="G313">
        <f>IF([2]species_comp_Region1_forR!$G188&gt;49,[2]species_comp_Region1_forR!$AE188,[2]species_comp_Region1_forR!$AG188)</f>
        <v>5.7795299999999999E-6</v>
      </c>
      <c r="H313" s="7">
        <f t="shared" si="318"/>
        <v>3026.2190974069999</v>
      </c>
      <c r="I313">
        <f t="shared" si="325"/>
        <v>53.658364441769997</v>
      </c>
      <c r="J313">
        <f t="shared" si="319"/>
        <v>7.325186990225574</v>
      </c>
      <c r="K313" s="6">
        <f t="shared" si="320"/>
        <v>14.357366500842124</v>
      </c>
      <c r="M313" s="2">
        <f>'rockfish harvests'!O312</f>
        <v>2657.3760002203771</v>
      </c>
      <c r="N313">
        <f>'rockfish harvests'!P312</f>
        <v>1858139.7621286947</v>
      </c>
      <c r="O313">
        <f>IF([2]species_comp_Region1_forR!$D210&gt;49,[2]species_comp_Region1_forR!$N210,[2]species_comp_Region1_forR!$P210)</f>
        <v>0.63366336599999995</v>
      </c>
      <c r="P313">
        <f>IF([2]species_comp_Region1_forR!$D210&gt;49,[2]species_comp_Region1_forR!$O210,[2]species_comp_Region1_forR!$Q210)</f>
        <v>2.3213410000000002E-3</v>
      </c>
      <c r="Q313" s="13">
        <f t="shared" si="315"/>
        <v>1683.8818210272607</v>
      </c>
      <c r="R313" s="2">
        <f t="shared" si="289"/>
        <v>766803.35348657693</v>
      </c>
      <c r="S313">
        <f t="shared" si="321"/>
        <v>875.67308596677617</v>
      </c>
      <c r="T313" s="6">
        <f t="shared" si="322"/>
        <v>1716.3192484948813</v>
      </c>
      <c r="V313" s="13">
        <f t="shared" si="316"/>
        <v>4710.1009184342602</v>
      </c>
      <c r="W313">
        <f t="shared" si="317"/>
        <v>766857.01185101876</v>
      </c>
      <c r="X313">
        <f t="shared" si="323"/>
        <v>875.70372378505897</v>
      </c>
      <c r="Y313" s="6">
        <f t="shared" si="324"/>
        <v>1716.3792986187154</v>
      </c>
      <c r="Z313" s="14">
        <f t="shared" si="314"/>
        <v>0.18592037388365809</v>
      </c>
    </row>
    <row r="314" spans="1:26" x14ac:dyDescent="0.3">
      <c r="A314" t="str">
        <f>'rockfish harvests'!A313</f>
        <v>SE</v>
      </c>
      <c r="B314">
        <f>'rockfish harvests'!B313</f>
        <v>2009</v>
      </c>
      <c r="C314" t="str">
        <f>'rockfish harvests'!C313</f>
        <v>NSEO</v>
      </c>
      <c r="D314">
        <f>'rockfish harvests'!D313</f>
        <v>2818</v>
      </c>
      <c r="E314">
        <v>1954</v>
      </c>
      <c r="F314">
        <f>IF([2]species_comp_Region1_forR!$G189&gt;49,[2]species_comp_Region1_forR!$AD189,[2]species_comp_Region1_forR!$AF189)</f>
        <v>0.97887323900000001</v>
      </c>
      <c r="G314">
        <f>IF([2]species_comp_Region1_forR!$G189&gt;49,[2]species_comp_Region1_forR!$AE189,[2]species_comp_Region1_forR!$AG189)</f>
        <v>2.91684E-5</v>
      </c>
      <c r="H314" s="7">
        <f t="shared" si="318"/>
        <v>1912.718309006</v>
      </c>
      <c r="I314">
        <f t="shared" si="325"/>
        <v>111.36833473439999</v>
      </c>
      <c r="J314">
        <f t="shared" si="319"/>
        <v>10.553119668344522</v>
      </c>
      <c r="K314" s="6">
        <f t="shared" si="320"/>
        <v>20.684114549955261</v>
      </c>
      <c r="M314" s="2">
        <f>'rockfish harvests'!O313</f>
        <v>1494.7076983275492</v>
      </c>
      <c r="N314">
        <f>'rockfish harvests'!P313</f>
        <v>587874.87939866644</v>
      </c>
      <c r="O314">
        <f>IF([2]species_comp_Region1_forR!$D211&gt;49,[2]species_comp_Region1_forR!$N211,[2]species_comp_Region1_forR!$P211)</f>
        <v>0.35897435900000002</v>
      </c>
      <c r="P314">
        <f>IF([2]species_comp_Region1_forR!$D211&gt;49,[2]species_comp_Region1_forR!$O211,[2]species_comp_Region1_forR!$Q211)</f>
        <v>2.988465E-3</v>
      </c>
      <c r="Q314" s="13">
        <f t="shared" si="315"/>
        <v>536.56173789949742</v>
      </c>
      <c r="R314" s="2">
        <f t="shared" si="289"/>
        <v>84188.605680643203</v>
      </c>
      <c r="S314">
        <f t="shared" si="321"/>
        <v>290.15272819782894</v>
      </c>
      <c r="T314" s="6">
        <f t="shared" si="322"/>
        <v>568.69934726774466</v>
      </c>
      <c r="V314" s="13">
        <f t="shared" si="316"/>
        <v>2449.2800469054973</v>
      </c>
      <c r="W314">
        <f t="shared" si="317"/>
        <v>84299.974015377607</v>
      </c>
      <c r="X314">
        <f t="shared" si="323"/>
        <v>290.34457807125932</v>
      </c>
      <c r="Y314" s="6">
        <f t="shared" si="324"/>
        <v>569.07537301966829</v>
      </c>
      <c r="Z314" s="14">
        <f t="shared" si="314"/>
        <v>0.11854282585533264</v>
      </c>
    </row>
    <row r="315" spans="1:26" x14ac:dyDescent="0.3">
      <c r="A315" t="str">
        <f>'rockfish harvests'!A314</f>
        <v>SE</v>
      </c>
      <c r="B315">
        <f>'rockfish harvests'!B314</f>
        <v>2010</v>
      </c>
      <c r="C315" t="str">
        <f>'rockfish harvests'!C314</f>
        <v>NSEO</v>
      </c>
      <c r="D315">
        <f>'rockfish harvests'!D314</f>
        <v>4613</v>
      </c>
      <c r="E315">
        <v>2971</v>
      </c>
      <c r="F315">
        <f>IF([2]species_comp_Region1_forR!$G190&gt;49,[2]species_comp_Region1_forR!$AD190,[2]species_comp_Region1_forR!$AF190)</f>
        <v>0.96595744699999997</v>
      </c>
      <c r="G315">
        <f>IF([2]species_comp_Region1_forR!$G190&gt;49,[2]species_comp_Region1_forR!$AE190,[2]species_comp_Region1_forR!$AG190)</f>
        <v>3.50199E-5</v>
      </c>
      <c r="H315" s="7">
        <f t="shared" si="318"/>
        <v>2869.859575037</v>
      </c>
      <c r="I315">
        <f t="shared" si="325"/>
        <v>309.11508913590001</v>
      </c>
      <c r="J315">
        <f t="shared" si="319"/>
        <v>17.581669122580482</v>
      </c>
      <c r="K315" s="6">
        <f t="shared" si="320"/>
        <v>34.460071480257746</v>
      </c>
      <c r="M315" s="2">
        <f>'rockfish harvests'!O314</f>
        <v>2446.8014948136924</v>
      </c>
      <c r="N315">
        <f>'rockfish harvests'!P314</f>
        <v>1575323.7998180711</v>
      </c>
      <c r="O315">
        <f>IF([2]species_comp_Region1_forR!$D212&gt;49,[2]species_comp_Region1_forR!$N212,[2]species_comp_Region1_forR!$P212)</f>
        <v>0.54938271599999999</v>
      </c>
      <c r="P315">
        <f>IF([2]species_comp_Region1_forR!$D212&gt;49,[2]species_comp_Region1_forR!$O212,[2]species_comp_Region1_forR!$Q212)</f>
        <v>1.537648E-3</v>
      </c>
      <c r="Q315" s="13">
        <f t="shared" si="315"/>
        <v>1344.2304507336062</v>
      </c>
      <c r="R315" s="2">
        <f t="shared" si="289"/>
        <v>487094.32759447355</v>
      </c>
      <c r="S315">
        <f t="shared" si="321"/>
        <v>697.92143368324309</v>
      </c>
      <c r="T315" s="6">
        <f t="shared" si="322"/>
        <v>1367.9260100191564</v>
      </c>
      <c r="V315" s="13">
        <f t="shared" si="316"/>
        <v>4214.0900257706062</v>
      </c>
      <c r="W315">
        <f t="shared" si="317"/>
        <v>487403.44268360944</v>
      </c>
      <c r="X315">
        <f t="shared" si="323"/>
        <v>698.14285263376394</v>
      </c>
      <c r="Y315" s="6">
        <f t="shared" si="324"/>
        <v>1368.3599911621773</v>
      </c>
      <c r="Z315" s="14">
        <f t="shared" si="314"/>
        <v>0.16566870863327099</v>
      </c>
    </row>
    <row r="316" spans="1:26" x14ac:dyDescent="0.3">
      <c r="A316" t="str">
        <f>'rockfish harvests'!A315</f>
        <v>SE</v>
      </c>
      <c r="B316">
        <f>'rockfish harvests'!B315</f>
        <v>2011</v>
      </c>
      <c r="C316" t="str">
        <f>'rockfish harvests'!C315</f>
        <v>NSEO</v>
      </c>
      <c r="D316">
        <f>'rockfish harvests'!D315</f>
        <v>8950</v>
      </c>
      <c r="E316">
        <v>6832</v>
      </c>
      <c r="F316">
        <f>IF([2]species_comp_Region1_forR!$G191&gt;49,[2]species_comp_Region1_forR!$AD191,[2]species_comp_Region1_forR!$AF191)</f>
        <v>0.97652370200000005</v>
      </c>
      <c r="G316">
        <f>IF([2]species_comp_Region1_forR!$G191&gt;49,[2]species_comp_Region1_forR!$AE191,[2]species_comp_Region1_forR!$AG191)</f>
        <v>1.0354600000000001E-5</v>
      </c>
      <c r="H316" s="7">
        <f t="shared" si="318"/>
        <v>6671.6099320640005</v>
      </c>
      <c r="I316">
        <f t="shared" si="325"/>
        <v>483.31362903040002</v>
      </c>
      <c r="J316">
        <f t="shared" si="319"/>
        <v>21.984395125415663</v>
      </c>
      <c r="K316" s="6">
        <f t="shared" si="320"/>
        <v>43.089414445814697</v>
      </c>
      <c r="M316" s="2">
        <f>'rockfish harvests'!O315</f>
        <v>2109.8638720829731</v>
      </c>
      <c r="N316">
        <f>'rockfish harvests'!P315</f>
        <v>736850.51155388099</v>
      </c>
      <c r="O316">
        <f>IF([2]species_comp_Region1_forR!$D213&gt;49,[2]species_comp_Region1_forR!$N213,[2]species_comp_Region1_forR!$P213)</f>
        <v>0.55151515200000001</v>
      </c>
      <c r="P316">
        <f>IF([2]species_comp_Region1_forR!$D213&gt;49,[2]species_comp_Region1_forR!$O213,[2]species_comp_Region1_forR!$Q213)</f>
        <v>1.508208E-3</v>
      </c>
      <c r="Q316" s="13">
        <f t="shared" si="315"/>
        <v>1163.6218941111495</v>
      </c>
      <c r="R316" s="2">
        <f t="shared" si="289"/>
        <v>231952.20619725241</v>
      </c>
      <c r="S316">
        <f t="shared" si="321"/>
        <v>481.61416735521021</v>
      </c>
      <c r="T316" s="6">
        <f t="shared" si="322"/>
        <v>943.96376801621204</v>
      </c>
      <c r="V316" s="13">
        <f t="shared" si="316"/>
        <v>7835.2318261751498</v>
      </c>
      <c r="W316">
        <f t="shared" si="317"/>
        <v>232435.51982628281</v>
      </c>
      <c r="X316">
        <f t="shared" si="323"/>
        <v>482.11567058775717</v>
      </c>
      <c r="Y316" s="6">
        <f t="shared" si="324"/>
        <v>944.94671435200405</v>
      </c>
      <c r="Z316" s="14">
        <f t="shared" si="314"/>
        <v>6.1531768463717169E-2</v>
      </c>
    </row>
    <row r="317" spans="1:26" x14ac:dyDescent="0.3">
      <c r="A317" t="str">
        <f>'rockfish harvests'!A316</f>
        <v>SE</v>
      </c>
      <c r="B317">
        <f>'rockfish harvests'!B316</f>
        <v>2012</v>
      </c>
      <c r="C317" t="str">
        <f>'rockfish harvests'!C316</f>
        <v>NSEO</v>
      </c>
      <c r="D317">
        <f>'rockfish harvests'!D316</f>
        <v>8600</v>
      </c>
      <c r="E317">
        <v>6467</v>
      </c>
      <c r="F317">
        <f>IF([2]species_comp_Region1_forR!$G192&gt;49,[2]species_comp_Region1_forR!$AD192,[2]species_comp_Region1_forR!$AF192)</f>
        <v>0.95702306100000001</v>
      </c>
      <c r="G317">
        <f>IF([2]species_comp_Region1_forR!$G192&gt;49,[2]species_comp_Region1_forR!$AE192,[2]species_comp_Region1_forR!$AG192)</f>
        <v>2.1567900000000001E-5</v>
      </c>
      <c r="H317" s="7">
        <f t="shared" si="318"/>
        <v>6189.0681354870003</v>
      </c>
      <c r="I317">
        <f t="shared" si="325"/>
        <v>902.01463334310006</v>
      </c>
      <c r="J317">
        <f t="shared" si="319"/>
        <v>30.033558452888997</v>
      </c>
      <c r="K317" s="6">
        <f t="shared" si="320"/>
        <v>58.865774567662434</v>
      </c>
      <c r="M317" s="2">
        <f>'rockfish harvests'!O316</f>
        <v>4056.1403508771928</v>
      </c>
      <c r="N317">
        <f>'rockfish harvests'!P316</f>
        <v>2425591.2838210762</v>
      </c>
      <c r="O317">
        <f>IF([2]species_comp_Region1_forR!$D214&gt;49,[2]species_comp_Region1_forR!$N214,[2]species_comp_Region1_forR!$P214)</f>
        <v>0.68093385200000001</v>
      </c>
      <c r="P317">
        <f>IF([2]species_comp_Region1_forR!$D214&gt;49,[2]species_comp_Region1_forR!$O214,[2]species_comp_Region1_forR!$Q214)</f>
        <v>8.4868300000000003E-4</v>
      </c>
      <c r="Q317" s="13">
        <f t="shared" si="315"/>
        <v>2761.9632733754383</v>
      </c>
      <c r="R317" s="2">
        <f t="shared" si="289"/>
        <v>1140697.4436028493</v>
      </c>
      <c r="S317">
        <f t="shared" si="321"/>
        <v>1068.0343831557341</v>
      </c>
      <c r="T317" s="6">
        <f t="shared" si="322"/>
        <v>2093.3473909852387</v>
      </c>
      <c r="V317" s="13">
        <f t="shared" si="316"/>
        <v>8951.0314088624382</v>
      </c>
      <c r="W317">
        <f t="shared" si="317"/>
        <v>1141599.4582361924</v>
      </c>
      <c r="X317">
        <f t="shared" si="323"/>
        <v>1068.4565776091194</v>
      </c>
      <c r="Y317" s="6">
        <f t="shared" si="324"/>
        <v>2094.1748921138742</v>
      </c>
      <c r="Z317" s="14">
        <f t="shared" si="314"/>
        <v>0.11936686721389872</v>
      </c>
    </row>
    <row r="318" spans="1:26" x14ac:dyDescent="0.3">
      <c r="A318" t="str">
        <f>'rockfish harvests'!A317</f>
        <v>SE</v>
      </c>
      <c r="B318">
        <f>'rockfish harvests'!B317</f>
        <v>2013</v>
      </c>
      <c r="C318" t="str">
        <f>'rockfish harvests'!C317</f>
        <v>NSEO</v>
      </c>
      <c r="D318">
        <f>'rockfish harvests'!D317</f>
        <v>6970</v>
      </c>
      <c r="E318">
        <v>5295</v>
      </c>
      <c r="F318">
        <f>IF([2]species_comp_Region1_forR!$G193&gt;49,[2]species_comp_Region1_forR!$AD193,[2]species_comp_Region1_forR!$AF193)</f>
        <v>0.92766652999999999</v>
      </c>
      <c r="G318">
        <f>IF([2]species_comp_Region1_forR!$G193&gt;49,[2]species_comp_Region1_forR!$AE193,[2]species_comp_Region1_forR!$AG193)</f>
        <v>2.74331E-5</v>
      </c>
      <c r="H318" s="7">
        <f t="shared" si="318"/>
        <v>4911.9942763500003</v>
      </c>
      <c r="I318">
        <f t="shared" si="325"/>
        <v>769.14251052750001</v>
      </c>
      <c r="J318">
        <f t="shared" si="319"/>
        <v>27.7334186592187</v>
      </c>
      <c r="K318" s="6">
        <f t="shared" si="320"/>
        <v>54.357500572068652</v>
      </c>
      <c r="M318" s="2">
        <f>'rockfish harvests'!O317</f>
        <v>3563.4638032559742</v>
      </c>
      <c r="N318">
        <f>'rockfish harvests'!P317</f>
        <v>1983952.159720307</v>
      </c>
      <c r="O318">
        <f>IF([2]species_comp_Region1_forR!$D215&gt;49,[2]species_comp_Region1_forR!$N215,[2]species_comp_Region1_forR!$P215)</f>
        <v>0.67973856200000005</v>
      </c>
      <c r="P318">
        <f>IF([2]species_comp_Region1_forR!$D215&gt;49,[2]species_comp_Region1_forR!$O215,[2]species_comp_Region1_forR!$Q215)</f>
        <v>7.1375099999999999E-4</v>
      </c>
      <c r="Q318" s="13">
        <f t="shared" si="315"/>
        <v>2422.2237613642669</v>
      </c>
      <c r="R318" s="2">
        <f t="shared" si="289"/>
        <v>927153.66259973985</v>
      </c>
      <c r="S318">
        <f t="shared" si="321"/>
        <v>962.88818800509739</v>
      </c>
      <c r="T318" s="6">
        <f t="shared" si="322"/>
        <v>1887.2608484899908</v>
      </c>
      <c r="V318" s="13">
        <f t="shared" si="316"/>
        <v>7334.2180377142668</v>
      </c>
      <c r="W318">
        <f t="shared" si="317"/>
        <v>927922.80511026736</v>
      </c>
      <c r="X318">
        <f t="shared" si="323"/>
        <v>963.28749867849285</v>
      </c>
      <c r="Y318" s="6">
        <f t="shared" si="324"/>
        <v>1888.0434974098459</v>
      </c>
      <c r="Z318" s="14">
        <f t="shared" si="314"/>
        <v>0.13134154094206676</v>
      </c>
    </row>
    <row r="319" spans="1:26" x14ac:dyDescent="0.3">
      <c r="A319" t="str">
        <f>'rockfish harvests'!A318</f>
        <v>SE</v>
      </c>
      <c r="B319">
        <f>'rockfish harvests'!B318</f>
        <v>2014</v>
      </c>
      <c r="C319" t="str">
        <f>'rockfish harvests'!C318</f>
        <v>NSEO</v>
      </c>
      <c r="D319">
        <f>'rockfish harvests'!D318</f>
        <v>8688</v>
      </c>
      <c r="E319">
        <v>6428</v>
      </c>
      <c r="F319">
        <f>IF([2]species_comp_Region1_forR!$G194&gt;49,[2]species_comp_Region1_forR!$AD194,[2]species_comp_Region1_forR!$AF194)</f>
        <v>0.93317422400000005</v>
      </c>
      <c r="G319">
        <f>IF([2]species_comp_Region1_forR!$G194&gt;49,[2]species_comp_Region1_forR!$AE194,[2]species_comp_Region1_forR!$AG194)</f>
        <v>2.97804E-5</v>
      </c>
      <c r="H319" s="7">
        <f t="shared" si="318"/>
        <v>5998.4439118720002</v>
      </c>
      <c r="I319">
        <f t="shared" si="325"/>
        <v>1230.5018271936001</v>
      </c>
      <c r="J319">
        <f t="shared" si="319"/>
        <v>35.078509477935349</v>
      </c>
      <c r="K319" s="6">
        <f t="shared" si="320"/>
        <v>68.75387857675328</v>
      </c>
      <c r="M319" s="2">
        <f>'rockfish harvests'!O318</f>
        <v>9722.2508839872025</v>
      </c>
      <c r="N319">
        <f>'rockfish harvests'!P318</f>
        <v>9687106.4801495951</v>
      </c>
      <c r="O319">
        <f>IF([2]species_comp_Region1_forR!$D216&gt;49,[2]species_comp_Region1_forR!$N216,[2]species_comp_Region1_forR!$P216)</f>
        <v>0.77358490599999996</v>
      </c>
      <c r="P319">
        <f>IF([2]species_comp_Region1_forR!$D216&gt;49,[2]species_comp_Region1_forR!$O216,[2]species_comp_Region1_forR!$Q216)</f>
        <v>4.1406899999999998E-4</v>
      </c>
      <c r="Q319" s="13">
        <f t="shared" si="315"/>
        <v>7520.9865361976563</v>
      </c>
      <c r="R319" s="2">
        <f t="shared" si="289"/>
        <v>5840239.8979789857</v>
      </c>
      <c r="S319">
        <f t="shared" si="321"/>
        <v>2416.6588294542084</v>
      </c>
      <c r="T319" s="6">
        <f t="shared" si="322"/>
        <v>4736.6513057302482</v>
      </c>
      <c r="V319" s="13">
        <f t="shared" si="316"/>
        <v>13519.430448069656</v>
      </c>
      <c r="W319">
        <f t="shared" si="317"/>
        <v>5841470.3998061791</v>
      </c>
      <c r="X319">
        <f t="shared" si="323"/>
        <v>2416.9134034561889</v>
      </c>
      <c r="Y319" s="6">
        <f t="shared" si="324"/>
        <v>4737.1502707741301</v>
      </c>
      <c r="Z319" s="14">
        <f t="shared" si="314"/>
        <v>0.17877331539519722</v>
      </c>
    </row>
    <row r="320" spans="1:26" x14ac:dyDescent="0.3">
      <c r="A320" t="str">
        <f>'rockfish harvests'!A319</f>
        <v>SE</v>
      </c>
      <c r="B320">
        <f>'rockfish harvests'!B319</f>
        <v>2015</v>
      </c>
      <c r="C320" t="str">
        <f>'rockfish harvests'!C319</f>
        <v>NSEO</v>
      </c>
      <c r="D320">
        <f>'rockfish harvests'!D319</f>
        <v>9156</v>
      </c>
      <c r="E320">
        <v>6577</v>
      </c>
      <c r="F320">
        <f>IF([2]species_comp_Region1_forR!$G195&gt;49,[2]species_comp_Region1_forR!$AD195,[2]species_comp_Region1_forR!$AF195)</f>
        <v>0.95144411900000003</v>
      </c>
      <c r="G320">
        <f>IF([2]species_comp_Region1_forR!$G195&gt;49,[2]species_comp_Region1_forR!$AE195,[2]species_comp_Region1_forR!$AG195)</f>
        <v>1.9346000000000001E-5</v>
      </c>
      <c r="H320" s="7">
        <f t="shared" si="318"/>
        <v>6257.6479706629998</v>
      </c>
      <c r="I320">
        <f t="shared" si="325"/>
        <v>836.84854843400001</v>
      </c>
      <c r="J320">
        <f t="shared" si="319"/>
        <v>28.928334698596114</v>
      </c>
      <c r="K320" s="6">
        <f t="shared" si="320"/>
        <v>56.699536009248384</v>
      </c>
      <c r="M320" s="2">
        <f>'rockfish harvests'!O319</f>
        <v>4529.4803554223308</v>
      </c>
      <c r="N320">
        <f>'rockfish harvests'!P319</f>
        <v>3708908.4909766819</v>
      </c>
      <c r="O320">
        <f>IF([2]species_comp_Region1_forR!$D217&gt;49,[2]species_comp_Region1_forR!$N217,[2]species_comp_Region1_forR!$P217)</f>
        <v>0.619808307</v>
      </c>
      <c r="P320">
        <f>IF([2]species_comp_Region1_forR!$D217&gt;49,[2]species_comp_Region1_forR!$O217,[2]species_comp_Region1_forR!$Q217)</f>
        <v>7.5527600000000004E-4</v>
      </c>
      <c r="Q320" s="13">
        <f t="shared" si="315"/>
        <v>2807.4095506840731</v>
      </c>
      <c r="R320" s="2">
        <f t="shared" si="289"/>
        <v>1443119.5924110771</v>
      </c>
      <c r="S320">
        <f t="shared" si="321"/>
        <v>1201.2991269501019</v>
      </c>
      <c r="T320" s="6">
        <f t="shared" si="322"/>
        <v>2354.5462888221996</v>
      </c>
      <c r="V320" s="13">
        <f t="shared" si="316"/>
        <v>9065.0575213470729</v>
      </c>
      <c r="W320">
        <f t="shared" si="317"/>
        <v>1443956.4409595111</v>
      </c>
      <c r="X320">
        <f t="shared" si="323"/>
        <v>1201.647386282478</v>
      </c>
      <c r="Y320" s="6">
        <f t="shared" si="324"/>
        <v>2355.2288771136568</v>
      </c>
      <c r="Z320" s="14">
        <f t="shared" si="314"/>
        <v>0.13255816451828895</v>
      </c>
    </row>
    <row r="321" spans="1:26" x14ac:dyDescent="0.3">
      <c r="A321" t="str">
        <f>'rockfish harvests'!A320</f>
        <v>SE</v>
      </c>
      <c r="B321">
        <f>'rockfish harvests'!B320</f>
        <v>2016</v>
      </c>
      <c r="C321" t="str">
        <f>'rockfish harvests'!C320</f>
        <v>NSEO</v>
      </c>
      <c r="D321">
        <f>'rockfish harvests'!D320</f>
        <v>5839</v>
      </c>
      <c r="E321">
        <v>4347</v>
      </c>
      <c r="F321">
        <f>IF([2]species_comp_Region1_forR!$G196&gt;49,[2]species_comp_Region1_forR!$AD196,[2]species_comp_Region1_forR!$AF196)</f>
        <v>0.90388349499999998</v>
      </c>
      <c r="G321">
        <f>IF([2]species_comp_Region1_forR!$G196&gt;49,[2]species_comp_Region1_forR!$AE196,[2]species_comp_Region1_forR!$AG196)</f>
        <v>4.2194299999999997E-5</v>
      </c>
      <c r="H321" s="7">
        <f t="shared" si="318"/>
        <v>3929.1815527650001</v>
      </c>
      <c r="I321">
        <f t="shared" si="325"/>
        <v>797.32075026869995</v>
      </c>
      <c r="J321">
        <f t="shared" si="319"/>
        <v>28.236868634264315</v>
      </c>
      <c r="K321" s="6">
        <f t="shared" si="320"/>
        <v>55.344262523158058</v>
      </c>
      <c r="M321" s="2">
        <f>'rockfish harvests'!O320</f>
        <v>1660.6278507924235</v>
      </c>
      <c r="N321">
        <f>'rockfish harvests'!P320</f>
        <v>405106.18509878113</v>
      </c>
      <c r="O321">
        <f>IF([2]species_comp_Region1_forR!$D218&gt;49,[2]species_comp_Region1_forR!$N218,[2]species_comp_Region1_forR!$P218)</f>
        <v>0.67330677299999997</v>
      </c>
      <c r="P321">
        <f>IF([2]species_comp_Region1_forR!$D218&gt;49,[2]species_comp_Region1_forR!$O218,[2]species_comp_Region1_forR!$Q218)</f>
        <v>4.3905099999999998E-4</v>
      </c>
      <c r="Q321" s="13">
        <f t="shared" si="315"/>
        <v>1118.111979370972</v>
      </c>
      <c r="R321" s="2">
        <f t="shared" si="289"/>
        <v>185040.27901670837</v>
      </c>
      <c r="S321">
        <f t="shared" si="321"/>
        <v>430.16308420959183</v>
      </c>
      <c r="T321" s="6">
        <f t="shared" si="322"/>
        <v>843.11964505079993</v>
      </c>
      <c r="V321" s="13">
        <f t="shared" si="316"/>
        <v>5047.2935321359719</v>
      </c>
      <c r="W321">
        <f t="shared" si="317"/>
        <v>185837.59976697707</v>
      </c>
      <c r="X321">
        <f t="shared" si="323"/>
        <v>431.08885367981514</v>
      </c>
      <c r="Y321" s="6">
        <f t="shared" si="324"/>
        <v>844.93415321243765</v>
      </c>
      <c r="Z321" s="14">
        <f t="shared" si="314"/>
        <v>8.5409903532474366E-2</v>
      </c>
    </row>
    <row r="322" spans="1:26" x14ac:dyDescent="0.3">
      <c r="A322" t="str">
        <f>'rockfish harvests'!A321</f>
        <v>SE</v>
      </c>
      <c r="B322">
        <f>'rockfish harvests'!B321</f>
        <v>2017</v>
      </c>
      <c r="C322" t="str">
        <f>'rockfish harvests'!C321</f>
        <v>NSEO</v>
      </c>
      <c r="D322">
        <f>'rockfish harvests'!D321</f>
        <v>9211</v>
      </c>
      <c r="E322">
        <v>7495</v>
      </c>
      <c r="F322">
        <f>IF([2]species_comp_Region1_forR!$G197&gt;49,[2]species_comp_Region1_forR!$AD197,[2]species_comp_Region1_forR!$AF197)</f>
        <v>0.90132827299999996</v>
      </c>
      <c r="G322">
        <f>IF([2]species_comp_Region1_forR!$G197&gt;49,[2]species_comp_Region1_forR!$AE197,[2]species_comp_Region1_forR!$AG197)</f>
        <v>3.3764499999999998E-5</v>
      </c>
      <c r="H322" s="7">
        <f t="shared" si="318"/>
        <v>6755.455406135</v>
      </c>
      <c r="I322">
        <f t="shared" si="325"/>
        <v>1896.7216316125</v>
      </c>
      <c r="J322">
        <f t="shared" si="319"/>
        <v>43.551367735267512</v>
      </c>
      <c r="K322" s="6">
        <f t="shared" si="320"/>
        <v>85.360680761124328</v>
      </c>
      <c r="M322" s="2">
        <f>'rockfish harvests'!O321</f>
        <v>6867.0171471927151</v>
      </c>
      <c r="N322">
        <f>'rockfish harvests'!P321</f>
        <v>4662505.6656814301</v>
      </c>
      <c r="O322">
        <f>IF([2]species_comp_Region1_forR!$D219&gt;49,[2]species_comp_Region1_forR!$N219,[2]species_comp_Region1_forR!$P219)</f>
        <v>0.74463937599999996</v>
      </c>
      <c r="P322">
        <f>IF([2]species_comp_Region1_forR!$D219&gt;49,[2]species_comp_Region1_forR!$O219,[2]species_comp_Region1_forR!$Q219)</f>
        <v>3.7138999999999998E-4</v>
      </c>
      <c r="Q322" s="13">
        <f t="shared" si="315"/>
        <v>5113.4513634668829</v>
      </c>
      <c r="R322" s="2">
        <f t="shared" si="289"/>
        <v>2604547.3571809893</v>
      </c>
      <c r="S322">
        <f t="shared" si="321"/>
        <v>1613.8610092511033</v>
      </c>
      <c r="T322" s="6">
        <f t="shared" si="322"/>
        <v>3163.1675781321624</v>
      </c>
      <c r="V322" s="13">
        <f t="shared" si="316"/>
        <v>11868.906769601883</v>
      </c>
      <c r="W322">
        <f t="shared" si="317"/>
        <v>2606444.078812602</v>
      </c>
      <c r="X322">
        <f t="shared" si="323"/>
        <v>1614.4485370592033</v>
      </c>
      <c r="Y322" s="6">
        <f t="shared" si="324"/>
        <v>3164.3191326360384</v>
      </c>
      <c r="Z322" s="14">
        <f t="shared" si="314"/>
        <v>0.13602335652294931</v>
      </c>
    </row>
    <row r="323" spans="1:26" x14ac:dyDescent="0.3">
      <c r="A323" t="str">
        <f>'rockfish harvests'!A322</f>
        <v>SE</v>
      </c>
      <c r="B323">
        <f>'rockfish harvests'!B322</f>
        <v>2018</v>
      </c>
      <c r="C323" t="str">
        <f>'rockfish harvests'!C322</f>
        <v>NSEO</v>
      </c>
      <c r="D323">
        <f>'rockfish harvests'!D322</f>
        <v>11024</v>
      </c>
      <c r="E323">
        <v>9189</v>
      </c>
      <c r="F323">
        <f>IF([2]species_comp_Region1_forR!$G198&gt;49,[2]species_comp_Region1_forR!$AD198,[2]species_comp_Region1_forR!$AF198)</f>
        <v>0.91278524500000002</v>
      </c>
      <c r="G323">
        <f>IF([2]species_comp_Region1_forR!$G198&gt;49,[2]species_comp_Region1_forR!$AE198,[2]species_comp_Region1_forR!$AG198)</f>
        <v>2.4893200000000001E-5</v>
      </c>
      <c r="H323" s="7">
        <f t="shared" si="318"/>
        <v>8387.5836163050008</v>
      </c>
      <c r="I323">
        <f t="shared" si="325"/>
        <v>2101.9250763972</v>
      </c>
      <c r="J323">
        <f t="shared" si="319"/>
        <v>45.846756443582791</v>
      </c>
      <c r="K323" s="6">
        <f t="shared" si="320"/>
        <v>89.859642629422268</v>
      </c>
      <c r="M323" s="2">
        <f>'rockfish harvests'!O322</f>
        <v>7836.8836407058479</v>
      </c>
      <c r="N323">
        <f>'rockfish harvests'!P322</f>
        <v>7422148.5356027149</v>
      </c>
      <c r="O323">
        <f>IF([2]species_comp_Region1_forR!$D220&gt;49,[2]species_comp_Region1_forR!$N220,[2]species_comp_Region1_forR!$P220)</f>
        <v>0.73885350299999997</v>
      </c>
      <c r="P323">
        <f>IF([2]species_comp_Region1_forR!$D220&gt;49,[2]species_comp_Region1_forR!$O220,[2]species_comp_Region1_forR!$Q220)</f>
        <v>4.1052999999999999E-4</v>
      </c>
      <c r="Q323" s="13">
        <f t="shared" si="315"/>
        <v>5790.3089305389085</v>
      </c>
      <c r="R323" s="2">
        <f t="shared" si="289"/>
        <v>4080044.7080996521</v>
      </c>
      <c r="S323">
        <f>SQRT(R323)</f>
        <v>2019.9120545458538</v>
      </c>
      <c r="T323" s="6">
        <f t="shared" si="322"/>
        <v>3959.0276269098736</v>
      </c>
      <c r="V323" s="13">
        <f t="shared" si="316"/>
        <v>14177.892546843908</v>
      </c>
      <c r="W323" s="14">
        <f>R323+I323</f>
        <v>4082146.6331760492</v>
      </c>
      <c r="X323">
        <f>SQRT(W323)</f>
        <v>2020.4322886887471</v>
      </c>
      <c r="Y323" s="6">
        <f>(1.96*X323)</f>
        <v>3960.0472858299445</v>
      </c>
      <c r="Z323" s="14">
        <f t="shared" si="314"/>
        <v>0.1425058260254983</v>
      </c>
    </row>
    <row r="324" spans="1:26" x14ac:dyDescent="0.3">
      <c r="A324" t="str">
        <f>'rockfish harvests'!A323</f>
        <v>SE</v>
      </c>
      <c r="B324">
        <f>'rockfish harvests'!B323</f>
        <v>2019</v>
      </c>
      <c r="C324" t="str">
        <f>'rockfish harvests'!C323</f>
        <v>NSEO</v>
      </c>
      <c r="D324">
        <f>'rockfish harvests'!D323</f>
        <v>11553</v>
      </c>
      <c r="E324">
        <v>9925</v>
      </c>
      <c r="F324">
        <v>0.88785347043701801</v>
      </c>
      <c r="G324">
        <v>3.20056848183739E-5</v>
      </c>
      <c r="H324" s="7">
        <f>E324*F324</f>
        <v>8811.9456940874043</v>
      </c>
      <c r="I324">
        <f>(E324^2)*G324</f>
        <v>3152.7399865869324</v>
      </c>
      <c r="J324">
        <f>SQRT(I324)</f>
        <v>56.149265236394079</v>
      </c>
      <c r="K324" s="6">
        <f>(1.96*J324)</f>
        <v>110.05255986333239</v>
      </c>
      <c r="M324" s="2">
        <f>'rockfish harvests'!O323</f>
        <v>6640.6634516724807</v>
      </c>
      <c r="N324">
        <f>'rockfish harvests'!P323</f>
        <v>4892127.8553123055</v>
      </c>
      <c r="O324">
        <v>0.77339901477832518</v>
      </c>
      <c r="P324">
        <v>2.8824503078658082E-4</v>
      </c>
      <c r="Q324" s="13">
        <f>M324*O324</f>
        <v>5135.8825709979292</v>
      </c>
      <c r="R324" s="2">
        <f t="shared" ref="R324:R377" si="350">(M324^2)*P324+(O324^2)*N324+(P324*N324)</f>
        <v>2940328.163957369</v>
      </c>
      <c r="S324">
        <f>SQRT(R324)</f>
        <v>1714.7385118312848</v>
      </c>
      <c r="T324" s="6">
        <f>(1.96*S324)</f>
        <v>3360.8874831893181</v>
      </c>
      <c r="V324" s="13">
        <f>Q324+H324</f>
        <v>13947.828265085333</v>
      </c>
      <c r="W324">
        <f>R324+I324</f>
        <v>2943480.9039439559</v>
      </c>
      <c r="X324">
        <f>SQRT(W324)</f>
        <v>1715.6575718784784</v>
      </c>
      <c r="Y324" s="6">
        <f>(1.96*X324)</f>
        <v>3362.6888408818177</v>
      </c>
      <c r="Z324" s="14">
        <f t="shared" si="314"/>
        <v>0.12300535533357329</v>
      </c>
    </row>
    <row r="325" spans="1:26" x14ac:dyDescent="0.3">
      <c r="A325" t="str">
        <f>'rockfish harvests'!A324</f>
        <v>SE</v>
      </c>
      <c r="B325">
        <f>'rockfish harvests'!B324</f>
        <v>2020</v>
      </c>
      <c r="C325" t="str">
        <f>'rockfish harvests'!C324</f>
        <v>NSEO</v>
      </c>
      <c r="D325">
        <f>'rockfish harvests'!D324</f>
        <v>3314</v>
      </c>
      <c r="E325">
        <v>3142</v>
      </c>
      <c r="F325" t="s">
        <v>301</v>
      </c>
      <c r="G325" t="s">
        <v>302</v>
      </c>
      <c r="H325" s="7">
        <f t="shared" ref="H325" si="351">E325*F325</f>
        <v>3049.5882352941185</v>
      </c>
      <c r="I325">
        <f t="shared" ref="I325" si="352">(E325^2)*G325</f>
        <v>1179.1541023005354</v>
      </c>
      <c r="J325">
        <f t="shared" ref="J325" si="353">SQRT(I325)</f>
        <v>34.338813350209634</v>
      </c>
      <c r="K325" s="6">
        <f t="shared" ref="K325" si="354">(1.96*J325)</f>
        <v>67.304074166410885</v>
      </c>
      <c r="M325" s="2">
        <f>'rockfish harvests'!O324</f>
        <v>1085.5719163465646</v>
      </c>
      <c r="N325">
        <f>'rockfish harvests'!P324</f>
        <v>110201.41937596143</v>
      </c>
      <c r="O325" s="26">
        <f>O250</f>
        <v>0.88378378378378375</v>
      </c>
      <c r="P325" s="26">
        <f>P250</f>
        <v>2.7834690326450384E-4</v>
      </c>
      <c r="Q325" s="13">
        <f t="shared" ref="Q325:Q326" si="355">M325*O325</f>
        <v>959.41085579818002</v>
      </c>
      <c r="R325" s="2">
        <f t="shared" si="350"/>
        <v>86434.135498188974</v>
      </c>
      <c r="S325">
        <f t="shared" ref="S325" si="356">SQRT(R325)</f>
        <v>293.99682906145262</v>
      </c>
      <c r="T325" s="6">
        <f t="shared" ref="T325:T326" si="357">(1.96*S325)</f>
        <v>576.23378496044711</v>
      </c>
      <c r="V325" s="13">
        <f t="shared" ref="V325:V326" si="358">Q325+H325</f>
        <v>4008.9990910922984</v>
      </c>
      <c r="W325">
        <f t="shared" ref="W325" si="359">R325+I325</f>
        <v>87613.289600489516</v>
      </c>
      <c r="X325">
        <f t="shared" ref="X325" si="360">SQRT(W325)</f>
        <v>295.99542158703997</v>
      </c>
      <c r="Y325" s="6">
        <f t="shared" ref="Y325" si="361">(1.96*X325)</f>
        <v>580.15102631059835</v>
      </c>
      <c r="Z325" s="14">
        <f t="shared" ref="Z325:Z326" si="362">X325/V325</f>
        <v>7.3832748489447167E-2</v>
      </c>
    </row>
    <row r="326" spans="1:26" x14ac:dyDescent="0.3">
      <c r="A326" t="str">
        <f>'rockfish harvests'!A325</f>
        <v>SE</v>
      </c>
      <c r="B326">
        <f>'rockfish harvests'!B325</f>
        <v>2021</v>
      </c>
      <c r="C326" t="str">
        <f>'rockfish harvests'!C325</f>
        <v>NSEO</v>
      </c>
      <c r="D326">
        <f>'rockfish harvests'!D325</f>
        <v>9732</v>
      </c>
      <c r="E326">
        <v>9094</v>
      </c>
      <c r="F326" t="s">
        <v>303</v>
      </c>
      <c r="G326" t="s">
        <v>304</v>
      </c>
      <c r="H326" s="7">
        <f>E326*F326</f>
        <v>7756.647058823527</v>
      </c>
      <c r="I326">
        <f>(E326^2)*G326</f>
        <v>61019.851516385119</v>
      </c>
      <c r="J326">
        <f>SQRT(I326)</f>
        <v>247.02196565565808</v>
      </c>
      <c r="K326" s="6">
        <f>(1.96*J326)</f>
        <v>484.16305268508984</v>
      </c>
      <c r="M326" s="2">
        <f>'rockfish harvests'!O325</f>
        <v>6262.8946783553529</v>
      </c>
      <c r="N326">
        <f>'rockfish harvests'!P325</f>
        <v>3588518.0359388059</v>
      </c>
      <c r="O326" s="26">
        <f>O251</f>
        <v>0.89787234042553188</v>
      </c>
      <c r="P326" s="26">
        <f>P251</f>
        <v>1.9551727233328288E-4</v>
      </c>
      <c r="Q326" s="13">
        <f t="shared" si="355"/>
        <v>5623.279902693529</v>
      </c>
      <c r="R326" s="2">
        <f t="shared" si="350"/>
        <v>2901343.1509081689</v>
      </c>
      <c r="S326">
        <f>SQRT(R326)</f>
        <v>1703.3329536259694</v>
      </c>
      <c r="T326" s="6">
        <f t="shared" si="357"/>
        <v>3338.5325891069001</v>
      </c>
      <c r="V326" s="13">
        <f t="shared" si="358"/>
        <v>13379.926961517056</v>
      </c>
      <c r="W326" s="14">
        <f>R326+I326</f>
        <v>2962363.002424554</v>
      </c>
      <c r="X326">
        <f>SQRT(W326)</f>
        <v>1721.151650036845</v>
      </c>
      <c r="Y326" s="6">
        <f>(1.96*X326)</f>
        <v>3373.4572340722161</v>
      </c>
      <c r="Z326" s="14">
        <f t="shared" si="362"/>
        <v>0.12863684943775625</v>
      </c>
    </row>
    <row r="327" spans="1:26" s="51" customFormat="1" x14ac:dyDescent="0.3">
      <c r="A327" s="51" t="s">
        <v>151</v>
      </c>
      <c r="B327" s="51">
        <v>2022</v>
      </c>
      <c r="C327" s="51" t="s">
        <v>41</v>
      </c>
      <c r="D327">
        <f>'rockfish harvests'!D326</f>
        <v>10558</v>
      </c>
      <c r="E327" s="51">
        <v>9674</v>
      </c>
      <c r="F327" t="s">
        <v>191</v>
      </c>
      <c r="G327" t="s">
        <v>305</v>
      </c>
      <c r="H327" s="7">
        <f>E327*F327</f>
        <v>8407.004915730342</v>
      </c>
      <c r="I327">
        <f>(E327^2)*G327</f>
        <v>3516.5513046091874</v>
      </c>
      <c r="J327">
        <f>SQRT(I327)</f>
        <v>59.300516900016881</v>
      </c>
      <c r="K327" s="6">
        <f>(1.96*J327)</f>
        <v>116.22901312403309</v>
      </c>
      <c r="M327" s="2">
        <f>'rockfish harvests'!O326</f>
        <v>4984.0158085410021</v>
      </c>
      <c r="N327">
        <f>'rockfish harvests'!P326</f>
        <v>3116937.6581412847</v>
      </c>
      <c r="O327" t="s">
        <v>192</v>
      </c>
      <c r="P327" t="s">
        <v>193</v>
      </c>
      <c r="Q327" s="13">
        <f t="shared" ref="Q327" si="363">M327*O327</f>
        <v>4474.7794107118143</v>
      </c>
      <c r="R327" s="2">
        <f t="shared" si="350"/>
        <v>2518124.9957246422</v>
      </c>
      <c r="S327">
        <f>SQRT(R327)</f>
        <v>1586.8601059087225</v>
      </c>
      <c r="T327" s="6">
        <f t="shared" ref="T327" si="364">(1.96*S327)</f>
        <v>3110.245807581096</v>
      </c>
      <c r="U327"/>
      <c r="V327" s="13">
        <f t="shared" ref="V327" si="365">Q327+H327</f>
        <v>12881.784326442157</v>
      </c>
      <c r="W327" s="14">
        <f>R327+I327</f>
        <v>2521641.5470292512</v>
      </c>
      <c r="X327">
        <f>SQRT(W327)</f>
        <v>1587.9677411802959</v>
      </c>
      <c r="Y327" s="6">
        <f>(1.96*X327)</f>
        <v>3112.4167727133799</v>
      </c>
      <c r="Z327" s="14">
        <f t="shared" ref="Z327" si="366">X327/V327</f>
        <v>0.12327234340670563</v>
      </c>
    </row>
    <row r="328" spans="1:26" x14ac:dyDescent="0.3">
      <c r="A328" t="str">
        <f>'rockfish harvests'!A327</f>
        <v>SE</v>
      </c>
      <c r="B328">
        <f>'rockfish harvests'!B327</f>
        <v>1998</v>
      </c>
      <c r="C328" t="str">
        <f>'rockfish harvests'!C327</f>
        <v>SSEI</v>
      </c>
      <c r="D328">
        <f>'rockfish harvests'!D327</f>
        <v>6261</v>
      </c>
      <c r="E328">
        <v>2769</v>
      </c>
      <c r="F328" s="32">
        <v>0.82777370100000003</v>
      </c>
      <c r="G328" s="32">
        <v>4.4111050000000002E-3</v>
      </c>
      <c r="H328" s="7">
        <f t="shared" si="318"/>
        <v>2292.1053780689999</v>
      </c>
      <c r="I328">
        <f t="shared" si="325"/>
        <v>33821.534443905002</v>
      </c>
      <c r="J328">
        <f t="shared" si="319"/>
        <v>183.90631974977097</v>
      </c>
      <c r="K328" s="6">
        <f t="shared" si="320"/>
        <v>360.45638670955111</v>
      </c>
      <c r="M328" s="2">
        <f>'rockfish harvests'!O327</f>
        <v>7422.4767633387146</v>
      </c>
      <c r="N328">
        <f>'rockfish harvests'!P327</f>
        <v>2528282.455604976</v>
      </c>
      <c r="O328" s="32">
        <v>0.102415992</v>
      </c>
      <c r="P328" s="32">
        <v>1.7392600000000001E-3</v>
      </c>
      <c r="Q328" s="13">
        <f t="shared" si="315"/>
        <v>760.18032081428362</v>
      </c>
      <c r="R328" s="2">
        <f t="shared" si="350"/>
        <v>126737.91649226952</v>
      </c>
      <c r="S328">
        <f t="shared" si="321"/>
        <v>356.0026916924499</v>
      </c>
      <c r="T328" s="6">
        <f t="shared" si="322"/>
        <v>697.7652757172018</v>
      </c>
      <c r="V328" s="13">
        <f t="shared" si="316"/>
        <v>3052.2856988832837</v>
      </c>
      <c r="W328">
        <f t="shared" si="317"/>
        <v>160559.45093617451</v>
      </c>
      <c r="X328">
        <f t="shared" si="323"/>
        <v>400.69870343710187</v>
      </c>
      <c r="Y328" s="6">
        <f t="shared" si="324"/>
        <v>785.36945873671959</v>
      </c>
      <c r="Z328" s="14">
        <f t="shared" si="314"/>
        <v>0.13127824291929896</v>
      </c>
    </row>
    <row r="329" spans="1:26" x14ac:dyDescent="0.3">
      <c r="A329" t="str">
        <f>'rockfish harvests'!A328</f>
        <v>SE</v>
      </c>
      <c r="B329">
        <f>'rockfish harvests'!B328</f>
        <v>1999</v>
      </c>
      <c r="C329" t="str">
        <f>'rockfish harvests'!C328</f>
        <v>SSEI</v>
      </c>
      <c r="D329">
        <f>'rockfish harvests'!D328</f>
        <v>7370</v>
      </c>
      <c r="E329">
        <v>3832</v>
      </c>
      <c r="F329" s="32">
        <v>0.82777370100000003</v>
      </c>
      <c r="G329" s="32">
        <v>4.4111050000000002E-3</v>
      </c>
      <c r="H329" s="7">
        <f t="shared" si="318"/>
        <v>3172.028822232</v>
      </c>
      <c r="I329">
        <f t="shared" si="325"/>
        <v>64773.653907520005</v>
      </c>
      <c r="J329">
        <f t="shared" si="319"/>
        <v>254.5066873532403</v>
      </c>
      <c r="K329" s="6">
        <f t="shared" si="320"/>
        <v>498.83310721235097</v>
      </c>
      <c r="M329" s="2">
        <f>'rockfish harvests'!O328</f>
        <v>8737.2071148069517</v>
      </c>
      <c r="N329">
        <f>'rockfish harvests'!P328</f>
        <v>3503266.3626943887</v>
      </c>
      <c r="O329" s="32">
        <v>0.102415992</v>
      </c>
      <c r="P329" s="32">
        <v>1.7392600000000001E-3</v>
      </c>
      <c r="Q329" s="13">
        <f t="shared" si="315"/>
        <v>894.82973397241187</v>
      </c>
      <c r="R329" s="2">
        <f t="shared" si="350"/>
        <v>175611.97671606558</v>
      </c>
      <c r="S329">
        <f t="shared" si="321"/>
        <v>419.06082698823758</v>
      </c>
      <c r="T329" s="6">
        <f t="shared" si="322"/>
        <v>821.35922089694566</v>
      </c>
      <c r="V329" s="13">
        <f t="shared" si="316"/>
        <v>4066.8585562044118</v>
      </c>
      <c r="W329">
        <f t="shared" si="317"/>
        <v>240385.63062358557</v>
      </c>
      <c r="X329">
        <f t="shared" si="323"/>
        <v>490.29137318903088</v>
      </c>
      <c r="Y329" s="6">
        <f t="shared" si="324"/>
        <v>960.97109145050047</v>
      </c>
      <c r="Z329" s="14">
        <f t="shared" si="314"/>
        <v>0.12055776379068824</v>
      </c>
    </row>
    <row r="330" spans="1:26" x14ac:dyDescent="0.3">
      <c r="A330" t="str">
        <f>'rockfish harvests'!A329</f>
        <v>SE</v>
      </c>
      <c r="B330">
        <f>'rockfish harvests'!B329</f>
        <v>2000</v>
      </c>
      <c r="C330" t="str">
        <f>'rockfish harvests'!C329</f>
        <v>SSEI</v>
      </c>
      <c r="D330">
        <f>'rockfish harvests'!D329</f>
        <v>11989</v>
      </c>
      <c r="E330">
        <v>5112</v>
      </c>
      <c r="F330" s="32">
        <v>0.82777370100000003</v>
      </c>
      <c r="G330" s="32">
        <v>4.4111050000000002E-3</v>
      </c>
      <c r="H330" s="7">
        <f t="shared" si="318"/>
        <v>4231.5791595119999</v>
      </c>
      <c r="I330">
        <f t="shared" si="325"/>
        <v>115273.39550112</v>
      </c>
      <c r="J330">
        <f t="shared" si="319"/>
        <v>339.51935953803871</v>
      </c>
      <c r="K330" s="6">
        <f t="shared" si="320"/>
        <v>665.45794469455586</v>
      </c>
      <c r="M330" s="2">
        <f>'rockfish harvests'!O329</f>
        <v>14213.076811318933</v>
      </c>
      <c r="N330">
        <f>'rockfish harvests'!P329</f>
        <v>9270520.1843895838</v>
      </c>
      <c r="O330" s="32">
        <v>0.102415992</v>
      </c>
      <c r="P330" s="32">
        <v>1.7392600000000001E-3</v>
      </c>
      <c r="Q330" s="13">
        <f t="shared" si="315"/>
        <v>1455.6463610034255</v>
      </c>
      <c r="R330" s="2">
        <f t="shared" si="350"/>
        <v>464713.27219170431</v>
      </c>
      <c r="S330">
        <f t="shared" si="321"/>
        <v>681.69881340054008</v>
      </c>
      <c r="T330" s="6">
        <f t="shared" si="322"/>
        <v>1336.1296742650586</v>
      </c>
      <c r="V330" s="13">
        <f t="shared" si="316"/>
        <v>5687.2255205154252</v>
      </c>
      <c r="W330">
        <f t="shared" si="317"/>
        <v>579986.66769282427</v>
      </c>
      <c r="X330">
        <f t="shared" si="323"/>
        <v>761.56855744760389</v>
      </c>
      <c r="Y330" s="6">
        <f t="shared" si="324"/>
        <v>1492.6743725973035</v>
      </c>
      <c r="Z330" s="14">
        <f t="shared" si="314"/>
        <v>0.13390862639443635</v>
      </c>
    </row>
    <row r="331" spans="1:26" x14ac:dyDescent="0.3">
      <c r="A331" t="str">
        <f>'rockfish harvests'!A330</f>
        <v>SE</v>
      </c>
      <c r="B331">
        <f>'rockfish harvests'!B330</f>
        <v>2001</v>
      </c>
      <c r="C331" t="str">
        <f>'rockfish harvests'!C330</f>
        <v>SSEI</v>
      </c>
      <c r="D331">
        <f>'rockfish harvests'!D330</f>
        <v>9348</v>
      </c>
      <c r="E331">
        <v>4514</v>
      </c>
      <c r="F331" s="32">
        <v>0.82777370100000003</v>
      </c>
      <c r="G331" s="32">
        <v>4.4111050000000002E-3</v>
      </c>
      <c r="H331" s="7">
        <f t="shared" si="318"/>
        <v>3736.5704863139999</v>
      </c>
      <c r="I331">
        <f t="shared" si="325"/>
        <v>89881.540056580008</v>
      </c>
      <c r="J331">
        <f t="shared" si="319"/>
        <v>299.80250175170323</v>
      </c>
      <c r="K331" s="6">
        <f t="shared" si="320"/>
        <v>587.61290343333837</v>
      </c>
      <c r="M331" s="2">
        <f>'rockfish harvests'!O330</f>
        <v>11082.145469364368</v>
      </c>
      <c r="N331">
        <f>'rockfish harvests'!P330</f>
        <v>5636059.7796220118</v>
      </c>
      <c r="O331" s="32">
        <v>0.102415992</v>
      </c>
      <c r="P331" s="32">
        <v>1.7392600000000001E-3</v>
      </c>
      <c r="Q331" s="13">
        <f t="shared" si="315"/>
        <v>1134.9889217332573</v>
      </c>
      <c r="R331" s="2">
        <f t="shared" si="350"/>
        <v>282524.79152858449</v>
      </c>
      <c r="S331">
        <f t="shared" si="321"/>
        <v>531.53061203338473</v>
      </c>
      <c r="T331" s="6">
        <f t="shared" si="322"/>
        <v>1041.7999995854341</v>
      </c>
      <c r="V331" s="13">
        <f t="shared" si="316"/>
        <v>4871.5594080472574</v>
      </c>
      <c r="W331">
        <f t="shared" si="317"/>
        <v>372406.33158516453</v>
      </c>
      <c r="X331">
        <f t="shared" si="323"/>
        <v>610.25103980670485</v>
      </c>
      <c r="Y331" s="6">
        <f t="shared" si="324"/>
        <v>1196.0920380211414</v>
      </c>
      <c r="Z331" s="14">
        <f t="shared" si="314"/>
        <v>0.12526811000162291</v>
      </c>
    </row>
    <row r="332" spans="1:26" x14ac:dyDescent="0.3">
      <c r="A332" t="str">
        <f>'rockfish harvests'!A331</f>
        <v>SE</v>
      </c>
      <c r="B332">
        <f>'rockfish harvests'!B331</f>
        <v>2002</v>
      </c>
      <c r="C332" t="str">
        <f>'rockfish harvests'!C331</f>
        <v>SSEI</v>
      </c>
      <c r="D332">
        <f>'rockfish harvests'!D331</f>
        <v>8033</v>
      </c>
      <c r="E332">
        <v>3969</v>
      </c>
      <c r="F332" s="32">
        <v>0.82777370100000003</v>
      </c>
      <c r="G332" s="32">
        <v>4.4111050000000002E-3</v>
      </c>
      <c r="H332" s="7">
        <f t="shared" si="318"/>
        <v>3285.4338192690002</v>
      </c>
      <c r="I332">
        <f t="shared" si="325"/>
        <v>69487.965031904998</v>
      </c>
      <c r="J332">
        <f t="shared" si="319"/>
        <v>263.60569992301947</v>
      </c>
      <c r="K332" s="6">
        <f t="shared" si="320"/>
        <v>516.66717184911818</v>
      </c>
      <c r="M332" s="2">
        <f>'rockfish harvests'!O331</f>
        <v>9523.200102204104</v>
      </c>
      <c r="N332">
        <f>'rockfish harvests'!P331</f>
        <v>4161919.8980246014</v>
      </c>
      <c r="O332" s="32">
        <v>0.102415992</v>
      </c>
      <c r="P332" s="32">
        <v>1.7392600000000001E-3</v>
      </c>
      <c r="Q332" s="13">
        <f t="shared" si="315"/>
        <v>975.32798548173469</v>
      </c>
      <c r="R332" s="2">
        <f t="shared" si="350"/>
        <v>208629.00634934846</v>
      </c>
      <c r="S332">
        <f t="shared" si="321"/>
        <v>456.75924331024595</v>
      </c>
      <c r="T332" s="6">
        <f t="shared" si="322"/>
        <v>895.248116888082</v>
      </c>
      <c r="V332" s="13">
        <f t="shared" si="316"/>
        <v>4260.7618047507349</v>
      </c>
      <c r="W332">
        <f t="shared" si="317"/>
        <v>278116.97138125345</v>
      </c>
      <c r="X332">
        <f t="shared" si="323"/>
        <v>527.36796582770694</v>
      </c>
      <c r="Y332" s="6">
        <f t="shared" si="324"/>
        <v>1033.6412130223057</v>
      </c>
      <c r="Z332" s="14">
        <f t="shared" si="314"/>
        <v>0.12377316310892889</v>
      </c>
    </row>
    <row r="333" spans="1:26" x14ac:dyDescent="0.3">
      <c r="A333" t="str">
        <f>'rockfish harvests'!A332</f>
        <v>SE</v>
      </c>
      <c r="B333">
        <f>'rockfish harvests'!B332</f>
        <v>2003</v>
      </c>
      <c r="C333" t="str">
        <f>'rockfish harvests'!C332</f>
        <v>SSEI</v>
      </c>
      <c r="D333">
        <f>'rockfish harvests'!D332</f>
        <v>11263</v>
      </c>
      <c r="E333">
        <v>5648</v>
      </c>
      <c r="F333" s="32">
        <v>0.82777370100000003</v>
      </c>
      <c r="G333" s="32">
        <v>4.4111050000000002E-3</v>
      </c>
      <c r="H333" s="7">
        <f t="shared" si="318"/>
        <v>4675.2658632479997</v>
      </c>
      <c r="I333">
        <f t="shared" si="325"/>
        <v>140713.82603392002</v>
      </c>
      <c r="J333">
        <f t="shared" si="319"/>
        <v>375.11841601542307</v>
      </c>
      <c r="K333" s="6">
        <f t="shared" si="320"/>
        <v>735.23209539022923</v>
      </c>
      <c r="M333" s="2">
        <f>'rockfish harvests'!O332</f>
        <v>13352.396707472279</v>
      </c>
      <c r="N333">
        <f>'rockfish harvests'!P332</f>
        <v>8181752.760036231</v>
      </c>
      <c r="O333" s="32">
        <v>0.102415992</v>
      </c>
      <c r="P333" s="32">
        <v>1.7392600000000001E-3</v>
      </c>
      <c r="Q333" s="13">
        <f t="shared" si="315"/>
        <v>1367.4989543733072</v>
      </c>
      <c r="R333" s="2">
        <f t="shared" si="350"/>
        <v>410135.46400366299</v>
      </c>
      <c r="S333">
        <f t="shared" si="321"/>
        <v>640.41819462259423</v>
      </c>
      <c r="T333" s="6">
        <f t="shared" si="322"/>
        <v>1255.2196614602847</v>
      </c>
      <c r="V333" s="13">
        <f t="shared" si="316"/>
        <v>6042.764817621307</v>
      </c>
      <c r="W333">
        <f t="shared" si="317"/>
        <v>550849.29003758298</v>
      </c>
      <c r="X333">
        <f t="shared" si="323"/>
        <v>742.19221906294797</v>
      </c>
      <c r="Y333" s="6">
        <f t="shared" si="324"/>
        <v>1454.6967493633781</v>
      </c>
      <c r="Z333" s="14">
        <f t="shared" si="314"/>
        <v>0.12282328395416633</v>
      </c>
    </row>
    <row r="334" spans="1:26" x14ac:dyDescent="0.3">
      <c r="A334" t="str">
        <f>'rockfish harvests'!A333</f>
        <v>SE</v>
      </c>
      <c r="B334">
        <f>'rockfish harvests'!B333</f>
        <v>2004</v>
      </c>
      <c r="C334" t="str">
        <f>'rockfish harvests'!C333</f>
        <v>SSEI</v>
      </c>
      <c r="D334">
        <f>'rockfish harvests'!D333</f>
        <v>13195</v>
      </c>
      <c r="E334">
        <v>5266</v>
      </c>
      <c r="F334" s="32">
        <v>0.82777370100000003</v>
      </c>
      <c r="G334" s="32">
        <v>4.4111050000000002E-3</v>
      </c>
      <c r="H334" s="7">
        <f t="shared" si="318"/>
        <v>4359.0563094660001</v>
      </c>
      <c r="I334">
        <f t="shared" si="325"/>
        <v>122323.27644538</v>
      </c>
      <c r="J334">
        <f t="shared" si="319"/>
        <v>349.74744666027226</v>
      </c>
      <c r="K334" s="6">
        <f t="shared" si="320"/>
        <v>685.50499545413356</v>
      </c>
      <c r="M334" s="2">
        <f>'rockfish harvests'!O333</f>
        <v>15642.801611923707</v>
      </c>
      <c r="N334">
        <f>'rockfish harvests'!P333</f>
        <v>11229410.873184105</v>
      </c>
      <c r="O334" s="32">
        <v>0.102415992</v>
      </c>
      <c r="P334" s="32">
        <v>1.7392600000000001E-3</v>
      </c>
      <c r="Q334" s="13">
        <f t="shared" si="315"/>
        <v>1602.0730447443655</v>
      </c>
      <c r="R334" s="2">
        <f t="shared" si="350"/>
        <v>562908.67911055614</v>
      </c>
      <c r="S334">
        <f t="shared" si="321"/>
        <v>750.27240327134257</v>
      </c>
      <c r="T334" s="6">
        <f t="shared" si="322"/>
        <v>1470.5339104118314</v>
      </c>
      <c r="V334" s="13">
        <f t="shared" si="316"/>
        <v>5961.1293542103658</v>
      </c>
      <c r="W334">
        <f t="shared" si="317"/>
        <v>685231.95555593609</v>
      </c>
      <c r="X334">
        <f t="shared" si="323"/>
        <v>827.78738547765761</v>
      </c>
      <c r="Y334" s="6">
        <f t="shared" si="324"/>
        <v>1622.4632755362088</v>
      </c>
      <c r="Z334" s="14">
        <f t="shared" si="314"/>
        <v>0.13886418768835951</v>
      </c>
    </row>
    <row r="335" spans="1:26" x14ac:dyDescent="0.3">
      <c r="A335" t="str">
        <f>'rockfish harvests'!A334</f>
        <v>SE</v>
      </c>
      <c r="B335">
        <f>'rockfish harvests'!B334</f>
        <v>2005</v>
      </c>
      <c r="C335" t="str">
        <f>'rockfish harvests'!C334</f>
        <v>SSEI</v>
      </c>
      <c r="D335">
        <f>'rockfish harvests'!D334</f>
        <v>15329</v>
      </c>
      <c r="E335">
        <v>5745</v>
      </c>
      <c r="F335" s="32">
        <v>0.82777370100000003</v>
      </c>
      <c r="G335" s="32">
        <v>4.4111050000000002E-3</v>
      </c>
      <c r="H335" s="7">
        <f t="shared" si="318"/>
        <v>4755.5599122450003</v>
      </c>
      <c r="I335">
        <f t="shared" si="325"/>
        <v>145588.630802625</v>
      </c>
      <c r="J335">
        <f t="shared" si="319"/>
        <v>381.56078257942733</v>
      </c>
      <c r="K335" s="6">
        <f t="shared" si="320"/>
        <v>747.85913385567756</v>
      </c>
      <c r="M335" s="2">
        <f>'rockfish harvests'!O334</f>
        <v>18172.679492927513</v>
      </c>
      <c r="N335">
        <f>'rockfish harvests'!P334</f>
        <v>15155345.162562583</v>
      </c>
      <c r="O335" s="32">
        <v>0.102415992</v>
      </c>
      <c r="P335" s="32">
        <v>1.7392600000000001E-3</v>
      </c>
      <c r="Q335" s="13">
        <f t="shared" si="315"/>
        <v>1861.1729975662281</v>
      </c>
      <c r="R335" s="2">
        <f t="shared" si="350"/>
        <v>759708.18267010932</v>
      </c>
      <c r="S335">
        <f t="shared" si="321"/>
        <v>871.61240392166826</v>
      </c>
      <c r="T335" s="6">
        <f t="shared" si="322"/>
        <v>1708.3603116864697</v>
      </c>
      <c r="V335" s="13">
        <f t="shared" si="316"/>
        <v>6616.7329098112286</v>
      </c>
      <c r="W335">
        <f t="shared" si="317"/>
        <v>905296.8134727343</v>
      </c>
      <c r="X335">
        <f t="shared" si="323"/>
        <v>951.47086843094371</v>
      </c>
      <c r="Y335" s="6">
        <f t="shared" si="324"/>
        <v>1864.8829021246497</v>
      </c>
      <c r="Z335" s="14">
        <f t="shared" si="314"/>
        <v>0.14379768405342638</v>
      </c>
    </row>
    <row r="336" spans="1:26" x14ac:dyDescent="0.3">
      <c r="A336" t="str">
        <f>'rockfish harvests'!A335</f>
        <v>SE</v>
      </c>
      <c r="B336">
        <f>'rockfish harvests'!B335</f>
        <v>2006</v>
      </c>
      <c r="C336" t="str">
        <f>'rockfish harvests'!C335</f>
        <v>SSEI</v>
      </c>
      <c r="D336">
        <f>'rockfish harvests'!D335</f>
        <v>17714</v>
      </c>
      <c r="E336">
        <v>6326</v>
      </c>
      <c r="F336">
        <f>IF([2]species_comp_Region1_forR!$G230&gt;49,[2]species_comp_Region1_forR!$AD230,[2]species_comp_Region1_forR!$AF230)</f>
        <v>0.87912087900000002</v>
      </c>
      <c r="G336">
        <f>IF([2]species_comp_Region1_forR!$G230&gt;49,[2]species_comp_Region1_forR!$AE230,[2]species_comp_Region1_forR!$AG230)</f>
        <v>2.9274800000000001E-4</v>
      </c>
      <c r="H336" s="7">
        <f t="shared" si="318"/>
        <v>5561.3186805539999</v>
      </c>
      <c r="I336">
        <f t="shared" si="325"/>
        <v>11715.270262448001</v>
      </c>
      <c r="J336">
        <f t="shared" si="319"/>
        <v>108.23710206046724</v>
      </c>
      <c r="K336" s="6">
        <f t="shared" si="320"/>
        <v>212.14472003851577</v>
      </c>
      <c r="M336" s="2">
        <f>'rockfish harvests'!O335</f>
        <v>21000.120329944417</v>
      </c>
      <c r="N336">
        <f>'rockfish harvests'!P335</f>
        <v>20238180.459821593</v>
      </c>
      <c r="O336">
        <f>IF([2]species_comp_Region1_forR!$D252&gt;49,[2]species_comp_Region1_forR!$N252,[2]species_comp_Region1_forR!$P252)</f>
        <v>9.9099098999999996E-2</v>
      </c>
      <c r="P336">
        <f>IF([2]species_comp_Region1_forR!$D252&gt;49,[2]species_comp_Region1_forR!$O252,[2]species_comp_Region1_forR!$Q252)</f>
        <v>7.3179100000000005E-5</v>
      </c>
      <c r="Q336" s="13">
        <f t="shared" si="315"/>
        <v>2081.0930035890742</v>
      </c>
      <c r="R336" s="2">
        <f t="shared" si="350"/>
        <v>232505.07572971444</v>
      </c>
      <c r="S336">
        <f t="shared" si="321"/>
        <v>482.18780130745165</v>
      </c>
      <c r="T336" s="6">
        <f t="shared" si="322"/>
        <v>945.0880905626052</v>
      </c>
      <c r="V336" s="13">
        <f t="shared" si="316"/>
        <v>7642.4116841430741</v>
      </c>
      <c r="W336">
        <f t="shared" si="317"/>
        <v>244220.34599216245</v>
      </c>
      <c r="X336">
        <f t="shared" si="323"/>
        <v>494.18654978880437</v>
      </c>
      <c r="Y336" s="6">
        <f t="shared" si="324"/>
        <v>968.60563758605656</v>
      </c>
      <c r="Z336" s="14">
        <f t="shared" si="314"/>
        <v>6.466369128140162E-2</v>
      </c>
    </row>
    <row r="337" spans="1:26" x14ac:dyDescent="0.3">
      <c r="A337" t="str">
        <f>'rockfish harvests'!A336</f>
        <v>SE</v>
      </c>
      <c r="B337">
        <f>'rockfish harvests'!B336</f>
        <v>2007</v>
      </c>
      <c r="C337" t="str">
        <f>'rockfish harvests'!C336</f>
        <v>SSEI</v>
      </c>
      <c r="D337">
        <f>'rockfish harvests'!D336</f>
        <v>20368</v>
      </c>
      <c r="E337">
        <v>8353</v>
      </c>
      <c r="F337">
        <f>IF([2]species_comp_Region1_forR!$G231&gt;49,[2]species_comp_Region1_forR!$AD231,[2]species_comp_Region1_forR!$AF231)</f>
        <v>0.735294118</v>
      </c>
      <c r="G337">
        <f>IF([2]species_comp_Region1_forR!$G231&gt;49,[2]species_comp_Region1_forR!$AE231,[2]species_comp_Region1_forR!$AG231)</f>
        <v>9.5880100000000001E-4</v>
      </c>
      <c r="H337" s="7">
        <f t="shared" si="318"/>
        <v>6141.911767654</v>
      </c>
      <c r="I337">
        <f t="shared" si="325"/>
        <v>66898.047281809006</v>
      </c>
      <c r="J337">
        <f t="shared" si="319"/>
        <v>258.64656827765759</v>
      </c>
      <c r="K337" s="6">
        <f t="shared" si="320"/>
        <v>506.94727382420888</v>
      </c>
      <c r="M337" s="2">
        <f>'rockfish harvests'!O336</f>
        <v>24146.463299102848</v>
      </c>
      <c r="N337">
        <f>'rockfish harvests'!P336</f>
        <v>26756848.278906163</v>
      </c>
      <c r="O337">
        <f>IF([2]species_comp_Region1_forR!$D253&gt;49,[2]species_comp_Region1_forR!$N253,[2]species_comp_Region1_forR!$P253)</f>
        <v>7.7938404000000003E-2</v>
      </c>
      <c r="P337">
        <f>IF([2]species_comp_Region1_forR!$D253&gt;49,[2]species_comp_Region1_forR!$O253,[2]species_comp_Region1_forR!$Q253)</f>
        <v>4.5197500000000002E-5</v>
      </c>
      <c r="Q337" s="13">
        <f t="shared" si="315"/>
        <v>1881.9368117766508</v>
      </c>
      <c r="R337" s="2">
        <f t="shared" si="350"/>
        <v>190093.48193550197</v>
      </c>
      <c r="S337">
        <f t="shared" si="321"/>
        <v>435.99711230179264</v>
      </c>
      <c r="T337" s="6">
        <f t="shared" si="322"/>
        <v>854.55434011151351</v>
      </c>
      <c r="V337" s="13">
        <f t="shared" si="316"/>
        <v>8023.8485794306507</v>
      </c>
      <c r="W337">
        <f t="shared" si="317"/>
        <v>256991.52921731098</v>
      </c>
      <c r="X337">
        <f t="shared" si="323"/>
        <v>506.94331953119865</v>
      </c>
      <c r="Y337" s="6">
        <f t="shared" si="324"/>
        <v>993.6089062811493</v>
      </c>
      <c r="Z337" s="14">
        <f t="shared" si="314"/>
        <v>6.3179572061063227E-2</v>
      </c>
    </row>
    <row r="338" spans="1:26" x14ac:dyDescent="0.3">
      <c r="A338" t="str">
        <f>'rockfish harvests'!A337</f>
        <v>SE</v>
      </c>
      <c r="B338">
        <f>'rockfish harvests'!B337</f>
        <v>2008</v>
      </c>
      <c r="C338" t="str">
        <f>'rockfish harvests'!C337</f>
        <v>SSEI</v>
      </c>
      <c r="D338">
        <f>'rockfish harvests'!D337</f>
        <v>18756</v>
      </c>
      <c r="E338">
        <v>8206</v>
      </c>
      <c r="F338">
        <f>IF([2]species_comp_Region1_forR!$G232&gt;49,[2]species_comp_Region1_forR!$AD232,[2]species_comp_Region1_forR!$AF232)</f>
        <v>0.90157480300000004</v>
      </c>
      <c r="G338">
        <f>IF([2]species_comp_Region1_forR!$G232&gt;49,[2]species_comp_Region1_forR!$AE232,[2]species_comp_Region1_forR!$AG232)</f>
        <v>3.5074200000000002E-4</v>
      </c>
      <c r="H338" s="7">
        <f t="shared" si="318"/>
        <v>7398.3228334180003</v>
      </c>
      <c r="I338">
        <f t="shared" si="325"/>
        <v>23618.417719512003</v>
      </c>
      <c r="J338">
        <f t="shared" si="319"/>
        <v>153.68284783772066</v>
      </c>
      <c r="K338" s="6">
        <f t="shared" si="320"/>
        <v>301.21838176193251</v>
      </c>
      <c r="M338" s="2">
        <f>'rockfish harvests'!O337</f>
        <v>22235.421525823498</v>
      </c>
      <c r="N338">
        <f>'rockfish harvests'!P337</f>
        <v>22689171.172948774</v>
      </c>
      <c r="O338">
        <f>IF([2]species_comp_Region1_forR!$D254&gt;49,[2]species_comp_Region1_forR!$N254,[2]species_comp_Region1_forR!$P254)</f>
        <v>0.12551953399999999</v>
      </c>
      <c r="P338">
        <f>IF([2]species_comp_Region1_forR!$D254&gt;49,[2]species_comp_Region1_forR!$O254,[2]species_comp_Region1_forR!$Q254)</f>
        <v>9.1318100000000002E-5</v>
      </c>
      <c r="Q338" s="13">
        <f t="shared" si="315"/>
        <v>2790.9797482149343</v>
      </c>
      <c r="R338" s="2">
        <f t="shared" si="350"/>
        <v>404692.24909740716</v>
      </c>
      <c r="S338">
        <f t="shared" si="321"/>
        <v>636.15426517269157</v>
      </c>
      <c r="T338" s="6">
        <f t="shared" si="322"/>
        <v>1246.8623597384756</v>
      </c>
      <c r="V338" s="13">
        <f t="shared" si="316"/>
        <v>10189.302581632935</v>
      </c>
      <c r="W338">
        <f t="shared" si="317"/>
        <v>428310.66681691917</v>
      </c>
      <c r="X338">
        <f t="shared" si="323"/>
        <v>654.45448032458239</v>
      </c>
      <c r="Y338" s="6">
        <f t="shared" si="324"/>
        <v>1282.7307814361814</v>
      </c>
      <c r="Z338" s="14">
        <f t="shared" si="314"/>
        <v>6.4229565770702601E-2</v>
      </c>
    </row>
    <row r="339" spans="1:26" x14ac:dyDescent="0.3">
      <c r="A339" t="str">
        <f>'rockfish harvests'!A338</f>
        <v>SE</v>
      </c>
      <c r="B339">
        <f>'rockfish harvests'!B338</f>
        <v>2009</v>
      </c>
      <c r="C339" t="str">
        <f>'rockfish harvests'!C338</f>
        <v>SSEI</v>
      </c>
      <c r="D339">
        <f>'rockfish harvests'!D338</f>
        <v>14837</v>
      </c>
      <c r="E339">
        <v>6518</v>
      </c>
      <c r="F339">
        <f>IF([2]species_comp_Region1_forR!$G233&gt;49,[2]species_comp_Region1_forR!$AD233,[2]species_comp_Region1_forR!$AF233)</f>
        <v>0.85066666700000004</v>
      </c>
      <c r="G339">
        <f>IF([2]species_comp_Region1_forR!$G233&gt;49,[2]species_comp_Region1_forR!$AE233,[2]species_comp_Region1_forR!$AG233)</f>
        <v>3.3965999999999998E-4</v>
      </c>
      <c r="H339" s="7">
        <f t="shared" si="318"/>
        <v>5544.6453355060003</v>
      </c>
      <c r="I339">
        <f t="shared" si="325"/>
        <v>14430.225489839999</v>
      </c>
      <c r="J339">
        <f t="shared" si="319"/>
        <v>120.12587352373342</v>
      </c>
      <c r="K339" s="6">
        <f t="shared" si="320"/>
        <v>235.44671210651748</v>
      </c>
      <c r="M339" s="2">
        <f>'rockfish harvests'!O338</f>
        <v>17589.408678750442</v>
      </c>
      <c r="N339">
        <f>'rockfish harvests'!P338</f>
        <v>14198104.777272861</v>
      </c>
      <c r="O339">
        <f>IF([2]species_comp_Region1_forR!$D255&gt;49,[2]species_comp_Region1_forR!$N255,[2]species_comp_Region1_forR!$P255)</f>
        <v>9.0297791000000002E-2</v>
      </c>
      <c r="P339">
        <f>IF([2]species_comp_Region1_forR!$D255&gt;49,[2]species_comp_Region1_forR!$O255,[2]species_comp_Region1_forR!$Q255)</f>
        <v>7.8984699999999996E-5</v>
      </c>
      <c r="Q339" s="13">
        <f t="shared" si="315"/>
        <v>1588.2847486873936</v>
      </c>
      <c r="R339" s="2">
        <f t="shared" si="350"/>
        <v>141325.25592053263</v>
      </c>
      <c r="S339">
        <f t="shared" si="321"/>
        <v>375.9325151147911</v>
      </c>
      <c r="T339" s="6">
        <f t="shared" si="322"/>
        <v>736.82772962499052</v>
      </c>
      <c r="V339" s="13">
        <f t="shared" si="316"/>
        <v>7132.9300841933937</v>
      </c>
      <c r="W339">
        <f t="shared" si="317"/>
        <v>155755.48141037262</v>
      </c>
      <c r="X339">
        <f t="shared" si="323"/>
        <v>394.65868976923923</v>
      </c>
      <c r="Y339" s="6">
        <f t="shared" si="324"/>
        <v>773.53103194770893</v>
      </c>
      <c r="Z339" s="14">
        <f t="shared" si="314"/>
        <v>5.5329112315821619E-2</v>
      </c>
    </row>
    <row r="340" spans="1:26" x14ac:dyDescent="0.3">
      <c r="A340" t="str">
        <f>'rockfish harvests'!A339</f>
        <v>SE</v>
      </c>
      <c r="B340">
        <f>'rockfish harvests'!B339</f>
        <v>2010</v>
      </c>
      <c r="C340" t="str">
        <f>'rockfish harvests'!C339</f>
        <v>SSEI</v>
      </c>
      <c r="D340">
        <f>'rockfish harvests'!D339</f>
        <v>20015</v>
      </c>
      <c r="E340">
        <v>8957</v>
      </c>
      <c r="F340">
        <f>IF([2]species_comp_Region1_forR!$G234&gt;49,[2]species_comp_Region1_forR!$AD234,[2]species_comp_Region1_forR!$AF234)</f>
        <v>0.90256410300000001</v>
      </c>
      <c r="G340">
        <f>IF([2]species_comp_Region1_forR!$G234&gt;49,[2]species_comp_Region1_forR!$AE234,[2]species_comp_Region1_forR!$AG234)</f>
        <v>2.2607200000000001E-4</v>
      </c>
      <c r="H340" s="7">
        <f t="shared" si="318"/>
        <v>8084.2666705709998</v>
      </c>
      <c r="I340">
        <f t="shared" si="325"/>
        <v>18137.270279128003</v>
      </c>
      <c r="J340">
        <f t="shared" si="319"/>
        <v>134.67468314099722</v>
      </c>
      <c r="K340" s="6">
        <f t="shared" si="320"/>
        <v>263.96237895635454</v>
      </c>
      <c r="M340" s="2">
        <f>'rockfish harvests'!O339</f>
        <v>23727.978345028649</v>
      </c>
      <c r="N340">
        <f>'rockfish harvests'!P339</f>
        <v>25837433.526771665</v>
      </c>
      <c r="O340">
        <f>IF([2]species_comp_Region1_forR!$D256&gt;49,[2]species_comp_Region1_forR!$N256,[2]species_comp_Region1_forR!$P256)</f>
        <v>9.6687555999999994E-2</v>
      </c>
      <c r="P340">
        <f>IF([2]species_comp_Region1_forR!$D256&gt;49,[2]species_comp_Region1_forR!$O256,[2]species_comp_Region1_forR!$Q256)</f>
        <v>7.8260800000000001E-5</v>
      </c>
      <c r="Q340" s="13">
        <f t="shared" si="315"/>
        <v>2294.2002350017447</v>
      </c>
      <c r="R340" s="2">
        <f t="shared" si="350"/>
        <v>287625.03626100416</v>
      </c>
      <c r="S340">
        <f t="shared" si="321"/>
        <v>536.30684897827302</v>
      </c>
      <c r="T340" s="6">
        <f t="shared" si="322"/>
        <v>1051.1614239974151</v>
      </c>
      <c r="V340" s="13">
        <f t="shared" si="316"/>
        <v>10378.466905572745</v>
      </c>
      <c r="W340">
        <f t="shared" si="317"/>
        <v>305762.30654013215</v>
      </c>
      <c r="X340">
        <f t="shared" si="323"/>
        <v>552.95778007017145</v>
      </c>
      <c r="Y340" s="6">
        <f t="shared" si="324"/>
        <v>1083.7972489375361</v>
      </c>
      <c r="Z340" s="14">
        <f t="shared" si="314"/>
        <v>5.3279331629728408E-2</v>
      </c>
    </row>
    <row r="341" spans="1:26" x14ac:dyDescent="0.3">
      <c r="A341" t="str">
        <f>'rockfish harvests'!A340</f>
        <v>SE</v>
      </c>
      <c r="B341">
        <f>'rockfish harvests'!B340</f>
        <v>2011</v>
      </c>
      <c r="C341" t="str">
        <f>'rockfish harvests'!C340</f>
        <v>SSEI</v>
      </c>
      <c r="D341">
        <f>'rockfish harvests'!D340</f>
        <v>17328</v>
      </c>
      <c r="E341">
        <v>9231</v>
      </c>
      <c r="F341">
        <f>IF([2]species_comp_Region1_forR!$G235&gt;49,[2]species_comp_Region1_forR!$AD235,[2]species_comp_Region1_forR!$AF235)</f>
        <v>0.84631360300000003</v>
      </c>
      <c r="G341">
        <f>IF([2]species_comp_Region1_forR!$G235&gt;49,[2]species_comp_Region1_forR!$AE235,[2]species_comp_Region1_forR!$AG235)</f>
        <v>1.35205E-4</v>
      </c>
      <c r="H341" s="7">
        <f t="shared" si="318"/>
        <v>7812.3208692930002</v>
      </c>
      <c r="I341">
        <f t="shared" si="325"/>
        <v>11521.002064005001</v>
      </c>
      <c r="J341">
        <f t="shared" si="319"/>
        <v>107.33593090854991</v>
      </c>
      <c r="K341" s="6">
        <f t="shared" si="320"/>
        <v>210.37842458075784</v>
      </c>
      <c r="M341" s="2">
        <f>'rockfish harvests'!O340</f>
        <v>26057.656259472569</v>
      </c>
      <c r="N341">
        <f>'rockfish harvests'!P340</f>
        <v>22721971.694568597</v>
      </c>
      <c r="O341">
        <f>IF([2]species_comp_Region1_forR!$D257&gt;49,[2]species_comp_Region1_forR!$N257,[2]species_comp_Region1_forR!$P257)</f>
        <v>9.6648479999999995E-2</v>
      </c>
      <c r="P341">
        <f>IF([2]species_comp_Region1_forR!$D257&gt;49,[2]species_comp_Region1_forR!$O257,[2]species_comp_Region1_forR!$Q257)</f>
        <v>6.8102599999999994E-5</v>
      </c>
      <c r="Q341" s="13">
        <f t="shared" si="315"/>
        <v>2518.4328698405093</v>
      </c>
      <c r="R341" s="2">
        <f t="shared" si="350"/>
        <v>260033.50669170267</v>
      </c>
      <c r="S341">
        <f t="shared" si="321"/>
        <v>509.93480631518247</v>
      </c>
      <c r="T341" s="6">
        <f t="shared" si="322"/>
        <v>999.47222037775759</v>
      </c>
      <c r="V341" s="13">
        <f t="shared" si="316"/>
        <v>10330.75373913351</v>
      </c>
      <c r="W341">
        <f t="shared" si="317"/>
        <v>271554.50875570765</v>
      </c>
      <c r="X341">
        <f t="shared" si="323"/>
        <v>521.10892216091224</v>
      </c>
      <c r="Y341" s="6">
        <f t="shared" si="324"/>
        <v>1021.373487435388</v>
      </c>
      <c r="Z341" s="14">
        <f t="shared" si="314"/>
        <v>5.044248806231056E-2</v>
      </c>
    </row>
    <row r="342" spans="1:26" x14ac:dyDescent="0.3">
      <c r="A342" t="str">
        <f>'rockfish harvests'!A341</f>
        <v>SE</v>
      </c>
      <c r="B342">
        <f>'rockfish harvests'!B341</f>
        <v>2012</v>
      </c>
      <c r="C342" t="str">
        <f>'rockfish harvests'!C341</f>
        <v>SSEI</v>
      </c>
      <c r="D342">
        <f>'rockfish harvests'!D341</f>
        <v>20908</v>
      </c>
      <c r="E342">
        <v>9031</v>
      </c>
      <c r="F342">
        <f>IF([2]species_comp_Region1_forR!$G236&gt;49,[2]species_comp_Region1_forR!$AD236,[2]species_comp_Region1_forR!$AF236)</f>
        <v>0.89322381900000003</v>
      </c>
      <c r="G342">
        <f>IF([2]species_comp_Region1_forR!$G236&gt;49,[2]species_comp_Region1_forR!$AE236,[2]species_comp_Region1_forR!$AG236)</f>
        <v>1.96245E-4</v>
      </c>
      <c r="H342" s="7">
        <f t="shared" si="318"/>
        <v>8066.7043093890006</v>
      </c>
      <c r="I342">
        <f t="shared" si="325"/>
        <v>16005.538301445</v>
      </c>
      <c r="J342">
        <f t="shared" si="319"/>
        <v>126.51299657128116</v>
      </c>
      <c r="K342" s="6">
        <f t="shared" si="320"/>
        <v>247.96547327971109</v>
      </c>
      <c r="M342" s="2">
        <f>'rockfish harvests'!O341</f>
        <v>30342.239687848378</v>
      </c>
      <c r="N342">
        <f>'rockfish harvests'!P341</f>
        <v>23087012.957423236</v>
      </c>
      <c r="O342">
        <f>IF([2]species_comp_Region1_forR!$D258&gt;49,[2]species_comp_Region1_forR!$N258,[2]species_comp_Region1_forR!$P258)</f>
        <v>3.5132819000000003E-2</v>
      </c>
      <c r="P342">
        <f>IF([2]species_comp_Region1_forR!$D258&gt;49,[2]species_comp_Region1_forR!$O258,[2]species_comp_Region1_forR!$Q258)</f>
        <v>2.90725E-5</v>
      </c>
      <c r="Q342" s="13">
        <f t="shared" si="315"/>
        <v>1066.0084150077937</v>
      </c>
      <c r="R342" s="2">
        <f t="shared" si="350"/>
        <v>55933.483914001648</v>
      </c>
      <c r="S342">
        <f t="shared" si="321"/>
        <v>236.50260868329053</v>
      </c>
      <c r="T342" s="6">
        <f t="shared" si="322"/>
        <v>463.54511301924941</v>
      </c>
      <c r="V342" s="13">
        <f t="shared" si="316"/>
        <v>9132.7127243967952</v>
      </c>
      <c r="W342">
        <f t="shared" si="317"/>
        <v>71939.022215446646</v>
      </c>
      <c r="X342">
        <f t="shared" si="323"/>
        <v>268.21450783924172</v>
      </c>
      <c r="Y342" s="6">
        <f t="shared" si="324"/>
        <v>525.7004353649138</v>
      </c>
      <c r="Z342" s="14">
        <f t="shared" si="314"/>
        <v>2.9368547542587567E-2</v>
      </c>
    </row>
    <row r="343" spans="1:26" x14ac:dyDescent="0.3">
      <c r="A343" t="str">
        <f>'rockfish harvests'!A342</f>
        <v>SE</v>
      </c>
      <c r="B343">
        <f>'rockfish harvests'!B342</f>
        <v>2013</v>
      </c>
      <c r="C343" t="str">
        <f>'rockfish harvests'!C342</f>
        <v>SSEI</v>
      </c>
      <c r="D343">
        <f>'rockfish harvests'!D342</f>
        <v>24779</v>
      </c>
      <c r="E343">
        <v>11207</v>
      </c>
      <c r="F343">
        <f>IF([2]species_comp_Region1_forR!$G237&gt;49,[2]species_comp_Region1_forR!$AD237,[2]species_comp_Region1_forR!$AF237)</f>
        <v>0.81181619299999996</v>
      </c>
      <c r="G343">
        <f>IF([2]species_comp_Region1_forR!$G237&gt;49,[2]species_comp_Region1_forR!$AE237,[2]species_comp_Region1_forR!$AG237)</f>
        <v>3.3502299999999999E-4</v>
      </c>
      <c r="H343" s="7">
        <f t="shared" si="318"/>
        <v>9098.0240749509994</v>
      </c>
      <c r="I343">
        <f t="shared" si="325"/>
        <v>42077.833142527001</v>
      </c>
      <c r="J343">
        <f t="shared" si="319"/>
        <v>205.12882084808805</v>
      </c>
      <c r="K343" s="6">
        <f t="shared" si="320"/>
        <v>402.05248886225257</v>
      </c>
      <c r="M343" s="2">
        <f>'rockfish harvests'!O342</f>
        <v>34267.842065821518</v>
      </c>
      <c r="N343">
        <f>'rockfish harvests'!P342</f>
        <v>37595985.131994449</v>
      </c>
      <c r="O343">
        <f>IF([2]species_comp_Region1_forR!$D259&gt;49,[2]species_comp_Region1_forR!$N259,[2]species_comp_Region1_forR!$P259)</f>
        <v>0.12667091</v>
      </c>
      <c r="P343">
        <f>IF([2]species_comp_Region1_forR!$D259&gt;49,[2]species_comp_Region1_forR!$O259,[2]species_comp_Region1_forR!$Q259)</f>
        <v>7.0462000000000004E-5</v>
      </c>
      <c r="Q343" s="13">
        <f t="shared" si="315"/>
        <v>4340.7387382138913</v>
      </c>
      <c r="R343" s="2">
        <f t="shared" si="350"/>
        <v>688638.66827360995</v>
      </c>
      <c r="S343">
        <f t="shared" si="321"/>
        <v>829.84255631632311</v>
      </c>
      <c r="T343" s="6">
        <f t="shared" si="322"/>
        <v>1626.4914103799933</v>
      </c>
      <c r="V343" s="13">
        <f t="shared" si="316"/>
        <v>13438.762813164891</v>
      </c>
      <c r="W343">
        <f t="shared" si="317"/>
        <v>730716.50141613698</v>
      </c>
      <c r="X343">
        <f t="shared" si="323"/>
        <v>854.81957243393595</v>
      </c>
      <c r="Y343" s="6">
        <f t="shared" si="324"/>
        <v>1675.4463619705143</v>
      </c>
      <c r="Z343" s="14">
        <f t="shared" si="314"/>
        <v>6.3608502085961138E-2</v>
      </c>
    </row>
    <row r="344" spans="1:26" x14ac:dyDescent="0.3">
      <c r="A344" t="str">
        <f>'rockfish harvests'!A343</f>
        <v>SE</v>
      </c>
      <c r="B344">
        <f>'rockfish harvests'!B343</f>
        <v>2014</v>
      </c>
      <c r="C344" t="str">
        <f>'rockfish harvests'!C343</f>
        <v>SSEI</v>
      </c>
      <c r="D344">
        <f>'rockfish harvests'!D343</f>
        <v>25686</v>
      </c>
      <c r="E344">
        <v>10668</v>
      </c>
      <c r="F344">
        <f>IF([2]species_comp_Region1_forR!$G238&gt;49,[2]species_comp_Region1_forR!$AD238,[2]species_comp_Region1_forR!$AF238)</f>
        <v>0.84560143600000004</v>
      </c>
      <c r="G344">
        <f>IF([2]species_comp_Region1_forR!$G238&gt;49,[2]species_comp_Region1_forR!$AE238,[2]species_comp_Region1_forR!$AG238)</f>
        <v>2.3482E-4</v>
      </c>
      <c r="H344" s="7">
        <f t="shared" si="318"/>
        <v>9020.8761192479997</v>
      </c>
      <c r="I344">
        <f t="shared" si="325"/>
        <v>26723.97751968</v>
      </c>
      <c r="J344">
        <f t="shared" si="319"/>
        <v>163.47469993757443</v>
      </c>
      <c r="K344" s="6">
        <f t="shared" si="320"/>
        <v>320.41041187764586</v>
      </c>
      <c r="M344" s="2">
        <f>'rockfish harvests'!O343</f>
        <v>33152.073336968373</v>
      </c>
      <c r="N344">
        <f>'rockfish harvests'!P343</f>
        <v>19566076.633357268</v>
      </c>
      <c r="O344">
        <f>IF([2]species_comp_Region1_forR!$D260&gt;49,[2]species_comp_Region1_forR!$N260,[2]species_comp_Region1_forR!$P260)</f>
        <v>7.5290550999999997E-2</v>
      </c>
      <c r="P344">
        <f>IF([2]species_comp_Region1_forR!$D260&gt;49,[2]species_comp_Region1_forR!$O260,[2]species_comp_Region1_forR!$Q260)</f>
        <v>3.5198099999999998E-5</v>
      </c>
      <c r="Q344" s="13">
        <f t="shared" si="315"/>
        <v>2496.0378683327572</v>
      </c>
      <c r="R344" s="2">
        <f t="shared" si="350"/>
        <v>150287.08562854194</v>
      </c>
      <c r="S344">
        <f t="shared" si="321"/>
        <v>387.66878340735917</v>
      </c>
      <c r="T344" s="6">
        <f t="shared" si="322"/>
        <v>759.83081547842392</v>
      </c>
      <c r="V344" s="13">
        <f t="shared" si="316"/>
        <v>11516.913987580756</v>
      </c>
      <c r="W344">
        <f t="shared" si="317"/>
        <v>177011.06314822193</v>
      </c>
      <c r="X344">
        <f t="shared" si="323"/>
        <v>420.72682722667201</v>
      </c>
      <c r="Y344" s="6">
        <f t="shared" si="324"/>
        <v>824.62458136427711</v>
      </c>
      <c r="Z344" s="14">
        <f t="shared" si="314"/>
        <v>3.6531212066041478E-2</v>
      </c>
    </row>
    <row r="345" spans="1:26" x14ac:dyDescent="0.3">
      <c r="A345" t="str">
        <f>'rockfish harvests'!A344</f>
        <v>SE</v>
      </c>
      <c r="B345">
        <f>'rockfish harvests'!B344</f>
        <v>2015</v>
      </c>
      <c r="C345" t="str">
        <f>'rockfish harvests'!C344</f>
        <v>SSEI</v>
      </c>
      <c r="D345">
        <f>'rockfish harvests'!D344</f>
        <v>29160</v>
      </c>
      <c r="E345">
        <v>11218</v>
      </c>
      <c r="F345">
        <f>IF([2]species_comp_Region1_forR!$G239&gt;49,[2]species_comp_Region1_forR!$AD239,[2]species_comp_Region1_forR!$AF239)</f>
        <v>0.88438818600000002</v>
      </c>
      <c r="G345">
        <f>IF([2]species_comp_Region1_forR!$G239&gt;49,[2]species_comp_Region1_forR!$AE239,[2]species_comp_Region1_forR!$AG239)</f>
        <v>8.6356199999999998E-5</v>
      </c>
      <c r="H345" s="7">
        <f t="shared" si="318"/>
        <v>9921.0666705479998</v>
      </c>
      <c r="I345">
        <f t="shared" si="325"/>
        <v>10867.3685272488</v>
      </c>
      <c r="J345">
        <f t="shared" si="319"/>
        <v>104.24667154038444</v>
      </c>
      <c r="K345" s="6">
        <f t="shared" si="320"/>
        <v>204.32347621915349</v>
      </c>
      <c r="M345" s="2">
        <f>'rockfish harvests'!O344</f>
        <v>31796.645359656926</v>
      </c>
      <c r="N345">
        <f>'rockfish harvests'!P344</f>
        <v>18451721.940392502</v>
      </c>
      <c r="O345">
        <f>IF([2]species_comp_Region1_forR!$D261&gt;49,[2]species_comp_Region1_forR!$N261,[2]species_comp_Region1_forR!$P261)</f>
        <v>6.2753035999999998E-2</v>
      </c>
      <c r="P345">
        <f>IF([2]species_comp_Region1_forR!$D261&gt;49,[2]species_comp_Region1_forR!$O261,[2]species_comp_Region1_forR!$Q261)</f>
        <v>2.9779799999999999E-5</v>
      </c>
      <c r="Q345" s="13">
        <f t="shared" si="315"/>
        <v>1995.3360309337841</v>
      </c>
      <c r="R345" s="2">
        <f t="shared" si="350"/>
        <v>103319.49918437695</v>
      </c>
      <c r="S345">
        <f t="shared" si="321"/>
        <v>321.43350662987353</v>
      </c>
      <c r="T345" s="6">
        <f t="shared" si="322"/>
        <v>630.00967299455215</v>
      </c>
      <c r="V345" s="13">
        <f t="shared" si="316"/>
        <v>11916.402701481784</v>
      </c>
      <c r="W345">
        <f t="shared" si="317"/>
        <v>114186.86771162576</v>
      </c>
      <c r="X345">
        <f t="shared" si="323"/>
        <v>337.91547421156338</v>
      </c>
      <c r="Y345" s="6">
        <f t="shared" si="324"/>
        <v>662.31432945466418</v>
      </c>
      <c r="Z345" s="14">
        <f t="shared" si="314"/>
        <v>2.8357171428047171E-2</v>
      </c>
    </row>
    <row r="346" spans="1:26" x14ac:dyDescent="0.3">
      <c r="A346" t="str">
        <f>'rockfish harvests'!A345</f>
        <v>SE</v>
      </c>
      <c r="B346">
        <f>'rockfish harvests'!B345</f>
        <v>2016</v>
      </c>
      <c r="C346" t="str">
        <f>'rockfish harvests'!C345</f>
        <v>SSEI</v>
      </c>
      <c r="D346">
        <f>'rockfish harvests'!D345</f>
        <v>32540</v>
      </c>
      <c r="E346">
        <v>13373</v>
      </c>
      <c r="F346">
        <f>IF([2]species_comp_Region1_forR!$G240&gt;49,[2]species_comp_Region1_forR!$AD240,[2]species_comp_Region1_forR!$AF240)</f>
        <v>0.79018789099999998</v>
      </c>
      <c r="G346">
        <f>IF([2]species_comp_Region1_forR!$G240&gt;49,[2]species_comp_Region1_forR!$AE240,[2]species_comp_Region1_forR!$AG240)</f>
        <v>1.7323999999999999E-4</v>
      </c>
      <c r="H346" s="7">
        <f t="shared" si="318"/>
        <v>10567.182666343</v>
      </c>
      <c r="I346">
        <f t="shared" si="325"/>
        <v>30981.744227959996</v>
      </c>
      <c r="J346">
        <f t="shared" si="319"/>
        <v>176.01631807295595</v>
      </c>
      <c r="K346" s="6">
        <f t="shared" si="320"/>
        <v>344.99198342299366</v>
      </c>
      <c r="M346" s="2">
        <f>'rockfish harvests'!O345</f>
        <v>33865.532446281708</v>
      </c>
      <c r="N346">
        <f>'rockfish harvests'!P345</f>
        <v>23923054.468410891</v>
      </c>
      <c r="O346">
        <f>IF([2]species_comp_Region1_forR!$D262&gt;49,[2]species_comp_Region1_forR!$N262,[2]species_comp_Region1_forR!$P262)</f>
        <v>7.7616425000000003E-2</v>
      </c>
      <c r="P346">
        <f>IF([2]species_comp_Region1_forR!$D262&gt;49,[2]species_comp_Region1_forR!$O262,[2]species_comp_Region1_forR!$Q262)</f>
        <v>3.5867800000000002E-5</v>
      </c>
      <c r="Q346" s="13">
        <f t="shared" si="315"/>
        <v>2628.5215592018908</v>
      </c>
      <c r="R346" s="2">
        <f t="shared" si="350"/>
        <v>186113.8075387346</v>
      </c>
      <c r="S346">
        <f t="shared" si="321"/>
        <v>431.40909533612592</v>
      </c>
      <c r="T346" s="6">
        <f t="shared" si="322"/>
        <v>845.56182685880674</v>
      </c>
      <c r="V346" s="13">
        <f t="shared" si="316"/>
        <v>13195.704225544891</v>
      </c>
      <c r="W346">
        <f t="shared" si="317"/>
        <v>217095.55176669461</v>
      </c>
      <c r="X346">
        <f t="shared" si="323"/>
        <v>465.93513686638249</v>
      </c>
      <c r="Y346" s="6">
        <f t="shared" si="324"/>
        <v>913.23286825810965</v>
      </c>
      <c r="Z346" s="14">
        <f t="shared" si="314"/>
        <v>3.5309607498204033E-2</v>
      </c>
    </row>
    <row r="347" spans="1:26" x14ac:dyDescent="0.3">
      <c r="A347" t="str">
        <f>'rockfish harvests'!A346</f>
        <v>SE</v>
      </c>
      <c r="B347">
        <f>'rockfish harvests'!B346</f>
        <v>2017</v>
      </c>
      <c r="C347" t="str">
        <f>'rockfish harvests'!C346</f>
        <v>SSEI</v>
      </c>
      <c r="D347">
        <f>'rockfish harvests'!D346</f>
        <v>30249</v>
      </c>
      <c r="E347">
        <v>16481</v>
      </c>
      <c r="F347">
        <f>IF([2]species_comp_Region1_forR!$G241&gt;49,[2]species_comp_Region1_forR!$AD241,[2]species_comp_Region1_forR!$AF241)</f>
        <v>0.69582618600000001</v>
      </c>
      <c r="G347">
        <f>IF([2]species_comp_Region1_forR!$G241&gt;49,[2]species_comp_Region1_forR!$AE241,[2]species_comp_Region1_forR!$AG241)</f>
        <v>1.21082E-4</v>
      </c>
      <c r="H347" s="7">
        <f t="shared" si="318"/>
        <v>11467.911371466</v>
      </c>
      <c r="I347">
        <f t="shared" si="325"/>
        <v>32888.699796601999</v>
      </c>
      <c r="J347">
        <f t="shared" si="319"/>
        <v>181.35241877791981</v>
      </c>
      <c r="K347" s="6">
        <f t="shared" si="320"/>
        <v>355.45074080472284</v>
      </c>
      <c r="M347" s="2">
        <f>'rockfish harvests'!O346</f>
        <v>32660.834871736792</v>
      </c>
      <c r="N347">
        <f>'rockfish harvests'!P346</f>
        <v>21220862.426665116</v>
      </c>
      <c r="O347">
        <f>IF([2]species_comp_Region1_forR!$D263&gt;49,[2]species_comp_Region1_forR!$N263,[2]species_comp_Region1_forR!$P263)</f>
        <v>0.11073369600000001</v>
      </c>
      <c r="P347">
        <f>IF([2]species_comp_Region1_forR!$D263&gt;49,[2]species_comp_Region1_forR!$O263,[2]species_comp_Region1_forR!$Q263)</f>
        <v>6.6941999999999997E-5</v>
      </c>
      <c r="Q347" s="13">
        <f t="shared" si="315"/>
        <v>3616.6549597931012</v>
      </c>
      <c r="R347" s="2">
        <f t="shared" si="350"/>
        <v>333038.80001219595</v>
      </c>
      <c r="S347">
        <f t="shared" si="321"/>
        <v>577.09513948065444</v>
      </c>
      <c r="T347" s="6">
        <f t="shared" si="322"/>
        <v>1131.1064733820826</v>
      </c>
      <c r="V347" s="13">
        <f t="shared" si="316"/>
        <v>15084.5663312591</v>
      </c>
      <c r="W347">
        <f t="shared" si="317"/>
        <v>365927.49980879796</v>
      </c>
      <c r="X347">
        <f t="shared" si="323"/>
        <v>604.9194159628189</v>
      </c>
      <c r="Y347" s="6">
        <f t="shared" si="324"/>
        <v>1185.642055287125</v>
      </c>
      <c r="Z347" s="14">
        <f t="shared" si="314"/>
        <v>4.0101876492748108E-2</v>
      </c>
    </row>
    <row r="348" spans="1:26" x14ac:dyDescent="0.3">
      <c r="A348" t="str">
        <f>'rockfish harvests'!A347</f>
        <v>SE</v>
      </c>
      <c r="B348">
        <f>'rockfish harvests'!B347</f>
        <v>2018</v>
      </c>
      <c r="C348" t="str">
        <f>'rockfish harvests'!C347</f>
        <v>SSEI</v>
      </c>
      <c r="D348">
        <f>'rockfish harvests'!D347</f>
        <v>42049</v>
      </c>
      <c r="E348">
        <v>25419</v>
      </c>
      <c r="F348">
        <f>IF([2]species_comp_Region1_forR!$G242&gt;49,[2]species_comp_Region1_forR!$AD242,[2]species_comp_Region1_forR!$AF242)</f>
        <v>0.74531250000000004</v>
      </c>
      <c r="G348">
        <f>IF([2]species_comp_Region1_forR!$G242&gt;49,[2]species_comp_Region1_forR!$AE242,[2]species_comp_Region1_forR!$AG242)</f>
        <v>2.9706099999999999E-4</v>
      </c>
      <c r="H348" s="7">
        <f t="shared" si="318"/>
        <v>18945.098437500001</v>
      </c>
      <c r="I348">
        <f t="shared" si="325"/>
        <v>191938.70527622101</v>
      </c>
      <c r="J348">
        <f t="shared" si="319"/>
        <v>438.10809770674291</v>
      </c>
      <c r="K348" s="6">
        <f t="shared" si="320"/>
        <v>858.69187150521611</v>
      </c>
      <c r="M348" s="2">
        <f>'rockfish harvests'!O347</f>
        <v>34725.8595505618</v>
      </c>
      <c r="N348">
        <f>'rockfish harvests'!P347</f>
        <v>18537755.684375577</v>
      </c>
      <c r="O348">
        <f>IF([2]species_comp_Region1_forR!$D264&gt;49,[2]species_comp_Region1_forR!$N264,[2]species_comp_Region1_forR!$P264)</f>
        <v>0.15570307799999999</v>
      </c>
      <c r="P348">
        <f>IF([2]species_comp_Region1_forR!$D264&gt;49,[2]species_comp_Region1_forR!$O264,[2]species_comp_Region1_forR!$Q264)</f>
        <v>7.9383799999999997E-5</v>
      </c>
      <c r="Q348" s="13">
        <f t="shared" si="315"/>
        <v>5406.9232182181686</v>
      </c>
      <c r="R348" s="2">
        <f t="shared" si="350"/>
        <v>546618.48189176293</v>
      </c>
      <c r="S348">
        <f t="shared" si="321"/>
        <v>739.33651464793957</v>
      </c>
      <c r="T348" s="6">
        <f t="shared" si="322"/>
        <v>1449.0995687099614</v>
      </c>
      <c r="V348" s="13">
        <f t="shared" si="316"/>
        <v>24352.02165571817</v>
      </c>
      <c r="W348">
        <f t="shared" si="317"/>
        <v>738557.18716798397</v>
      </c>
      <c r="X348">
        <f t="shared" si="323"/>
        <v>859.39349960770824</v>
      </c>
      <c r="Y348" s="6">
        <f t="shared" si="324"/>
        <v>1684.411259231108</v>
      </c>
      <c r="Z348" s="14">
        <f t="shared" si="314"/>
        <v>3.5290437556173553E-2</v>
      </c>
    </row>
    <row r="349" spans="1:26" x14ac:dyDescent="0.3">
      <c r="A349" t="str">
        <f>'rockfish harvests'!A348</f>
        <v>SE</v>
      </c>
      <c r="B349">
        <f>'rockfish harvests'!B348</f>
        <v>2019</v>
      </c>
      <c r="C349" t="str">
        <f>'rockfish harvests'!C348</f>
        <v>SSEI</v>
      </c>
      <c r="D349">
        <f>'rockfish harvests'!D348</f>
        <v>35867</v>
      </c>
      <c r="E349">
        <v>21016</v>
      </c>
      <c r="F349">
        <v>0.78003120124804992</v>
      </c>
      <c r="G349">
        <v>2.6809769738683466E-4</v>
      </c>
      <c r="H349" s="7">
        <f>E349*F349</f>
        <v>16393.135725429016</v>
      </c>
      <c r="I349">
        <f>(E349^2)*G349</f>
        <v>118411.31483324857</v>
      </c>
      <c r="J349">
        <f>SQRT(I349)</f>
        <v>344.1094518220163</v>
      </c>
      <c r="K349" s="6">
        <f>(1.96*J349)</f>
        <v>674.45452557115198</v>
      </c>
      <c r="M349" s="2">
        <f>'rockfish harvests'!O348</f>
        <v>69950.34860446323</v>
      </c>
      <c r="N349">
        <f>'rockfish harvests'!P348</f>
        <v>111154603.32156514</v>
      </c>
      <c r="O349">
        <v>0.20973348783314022</v>
      </c>
      <c r="P349">
        <v>1.9227999062005363E-4</v>
      </c>
      <c r="Q349" s="13">
        <f>M349*O349</f>
        <v>14670.930587958106</v>
      </c>
      <c r="R349" s="2">
        <f t="shared" si="350"/>
        <v>5851692.4572542282</v>
      </c>
      <c r="S349">
        <f>SQRT(R349)</f>
        <v>2419.0271716651364</v>
      </c>
      <c r="T349" s="6">
        <f>(1.96*S349)</f>
        <v>4741.2932564636676</v>
      </c>
      <c r="V349" s="13">
        <f>Q349+H349</f>
        <v>31064.06631338712</v>
      </c>
      <c r="W349">
        <f>R349+I349</f>
        <v>5970103.7720874771</v>
      </c>
      <c r="X349">
        <f>SQRT(W349)</f>
        <v>2443.3795800258863</v>
      </c>
      <c r="Y349" s="6">
        <f>(1.96*X349)</f>
        <v>4789.0239768507372</v>
      </c>
      <c r="Z349" s="14">
        <f>X349/V349</f>
        <v>7.8656141001505239E-2</v>
      </c>
    </row>
    <row r="350" spans="1:26" x14ac:dyDescent="0.3">
      <c r="A350" t="str">
        <f>'rockfish harvests'!A349</f>
        <v>SE</v>
      </c>
      <c r="B350">
        <f>'rockfish harvests'!B349</f>
        <v>2020</v>
      </c>
      <c r="C350" t="str">
        <f>'rockfish harvests'!C349</f>
        <v>SSEI</v>
      </c>
      <c r="D350">
        <f>'rockfish harvests'!D349</f>
        <v>11107</v>
      </c>
      <c r="E350">
        <v>10782</v>
      </c>
      <c r="F350" t="s">
        <v>195</v>
      </c>
      <c r="G350" t="s">
        <v>306</v>
      </c>
      <c r="H350" s="7">
        <f t="shared" ref="H350:H351" si="367">E350*F350</f>
        <v>8121.5064935064911</v>
      </c>
      <c r="I350">
        <f t="shared" ref="I350:I351" si="368">(E350^2)*G350</f>
        <v>29159.534802859424</v>
      </c>
      <c r="J350">
        <f t="shared" ref="J350:J351" si="369">SQRT(I350)</f>
        <v>170.76163153021062</v>
      </c>
      <c r="K350" s="6">
        <f t="shared" ref="K350:K351" si="370">(1.96*J350)</f>
        <v>334.69279779921283</v>
      </c>
      <c r="M350" s="2">
        <f>'rockfish harvests'!O349</f>
        <v>15196.649154865238</v>
      </c>
      <c r="N350">
        <f>'rockfish harvests'!P349</f>
        <v>6640608.2621304234</v>
      </c>
      <c r="O350">
        <v>0.7312775330396476</v>
      </c>
      <c r="P350">
        <v>2.8898632751631575E-4</v>
      </c>
      <c r="Q350" s="13">
        <f t="shared" ref="Q350:Q351" si="371">M350*O350</f>
        <v>11112.968104438896</v>
      </c>
      <c r="R350" s="2">
        <f t="shared" si="350"/>
        <v>3619834.0433491301</v>
      </c>
      <c r="S350">
        <f t="shared" ref="S350:S351" si="372">SQRT(R350)</f>
        <v>1902.5861461045936</v>
      </c>
      <c r="T350" s="6">
        <f t="shared" ref="T350:T351" si="373">(1.96*S350)</f>
        <v>3729.0688463650035</v>
      </c>
      <c r="V350" s="13">
        <f t="shared" ref="V350:V351" si="374">Q350+H350</f>
        <v>19234.474597945387</v>
      </c>
      <c r="W350">
        <f t="shared" ref="W350:W351" si="375">R350+I350</f>
        <v>3648993.5781519897</v>
      </c>
      <c r="X350">
        <f t="shared" ref="X350:X351" si="376">SQRT(W350)</f>
        <v>1910.233906659598</v>
      </c>
      <c r="Y350" s="6">
        <f t="shared" ref="Y350:Y351" si="377">(1.96*X350)</f>
        <v>3744.0584570528122</v>
      </c>
      <c r="Z350" s="14">
        <f t="shared" ref="Z350:Z351" si="378">X350/V350</f>
        <v>9.9313027602201717E-2</v>
      </c>
    </row>
    <row r="351" spans="1:26" x14ac:dyDescent="0.3">
      <c r="A351" t="str">
        <f>'rockfish harvests'!A350</f>
        <v>SE</v>
      </c>
      <c r="B351">
        <f>'rockfish harvests'!B350</f>
        <v>2021</v>
      </c>
      <c r="C351" t="str">
        <f>'rockfish harvests'!C350</f>
        <v>SSEI</v>
      </c>
      <c r="D351">
        <f>'rockfish harvests'!D350</f>
        <v>28388</v>
      </c>
      <c r="E351">
        <v>27134</v>
      </c>
      <c r="F351" t="s">
        <v>196</v>
      </c>
      <c r="G351" t="s">
        <v>307</v>
      </c>
      <c r="H351" s="7">
        <f t="shared" si="367"/>
        <v>12331.355524734166</v>
      </c>
      <c r="I351">
        <f t="shared" si="368"/>
        <v>80875.796070334734</v>
      </c>
      <c r="J351">
        <f t="shared" si="369"/>
        <v>284.38670164115399</v>
      </c>
      <c r="K351" s="6">
        <f t="shared" si="370"/>
        <v>557.39793521666184</v>
      </c>
      <c r="M351" s="2">
        <f>'rockfish harvests'!O350</f>
        <v>14186.636497865038</v>
      </c>
      <c r="N351">
        <f>'rockfish harvests'!P350</f>
        <v>6428956.9149598647</v>
      </c>
      <c r="O351" s="51" t="s">
        <v>197</v>
      </c>
      <c r="P351" t="s">
        <v>198</v>
      </c>
      <c r="Q351" s="13">
        <f t="shared" si="371"/>
        <v>7498.6507203000983</v>
      </c>
      <c r="R351" s="2">
        <f t="shared" si="350"/>
        <v>1870210.2671125734</v>
      </c>
      <c r="S351">
        <f t="shared" si="372"/>
        <v>1367.5563122272417</v>
      </c>
      <c r="T351" s="6">
        <f t="shared" si="373"/>
        <v>2680.4103719653936</v>
      </c>
      <c r="V351" s="13">
        <f t="shared" si="374"/>
        <v>19830.006245034267</v>
      </c>
      <c r="W351">
        <f t="shared" si="375"/>
        <v>1951086.0631829081</v>
      </c>
      <c r="X351">
        <f t="shared" si="376"/>
        <v>1396.812823245444</v>
      </c>
      <c r="Y351" s="6">
        <f t="shared" si="377"/>
        <v>2737.7531335610702</v>
      </c>
      <c r="Z351" s="14">
        <f t="shared" si="378"/>
        <v>7.0439353673689684E-2</v>
      </c>
    </row>
    <row r="352" spans="1:26" s="51" customFormat="1" x14ac:dyDescent="0.3">
      <c r="A352" s="51" t="s">
        <v>151</v>
      </c>
      <c r="B352" s="51">
        <v>2022</v>
      </c>
      <c r="C352" s="51" t="s">
        <v>39</v>
      </c>
      <c r="D352">
        <f>'rockfish harvests'!D351</f>
        <v>33837</v>
      </c>
      <c r="E352" s="51">
        <v>29854</v>
      </c>
      <c r="F352" t="s">
        <v>194</v>
      </c>
      <c r="G352" t="s">
        <v>308</v>
      </c>
      <c r="H352" s="7">
        <f t="shared" ref="H352" si="379">E352*F352</f>
        <v>15817.142201834866</v>
      </c>
      <c r="I352">
        <f t="shared" ref="I352" si="380">(E352^2)*G352</f>
        <v>102267.607489872</v>
      </c>
      <c r="J352">
        <f t="shared" ref="J352" si="381">SQRT(I352)</f>
        <v>319.79306979650448</v>
      </c>
      <c r="K352" s="6">
        <f t="shared" ref="K352" si="382">(1.96*J352)</f>
        <v>626.79441680114883</v>
      </c>
      <c r="L352"/>
      <c r="M352" s="2">
        <f>'rockfish harvests'!O351</f>
        <v>25305.766593391003</v>
      </c>
      <c r="N352">
        <f>'rockfish harvests'!P351</f>
        <v>17493065.751002964</v>
      </c>
      <c r="O352" t="s">
        <v>199</v>
      </c>
      <c r="P352" t="s">
        <v>200</v>
      </c>
      <c r="Q352" s="13">
        <f t="shared" ref="Q352" si="383">M352*O352</f>
        <v>8704.4658140387546</v>
      </c>
      <c r="R352" s="2">
        <f t="shared" si="350"/>
        <v>2333399.821479701</v>
      </c>
      <c r="S352">
        <f t="shared" ref="S352" si="384">SQRT(R352)</f>
        <v>1527.5469948514517</v>
      </c>
      <c r="T352" s="6">
        <f t="shared" ref="T352" si="385">(1.96*S352)</f>
        <v>2993.9921099088451</v>
      </c>
      <c r="U352"/>
      <c r="V352" s="13">
        <f t="shared" ref="V352" si="386">Q352+H352</f>
        <v>24521.608015873622</v>
      </c>
      <c r="W352">
        <f t="shared" ref="W352" si="387">R352+I352</f>
        <v>2435667.4289695728</v>
      </c>
      <c r="X352">
        <f t="shared" ref="X352" si="388">SQRT(W352)</f>
        <v>1560.6624968165195</v>
      </c>
      <c r="Y352" s="6">
        <f t="shared" ref="Y352" si="389">(1.96*X352)</f>
        <v>3058.8984937603782</v>
      </c>
      <c r="Z352" s="14">
        <f t="shared" ref="Z352" si="390">X352/V352</f>
        <v>6.3644378288987113E-2</v>
      </c>
    </row>
    <row r="353" spans="1:26" x14ac:dyDescent="0.3">
      <c r="A353" t="str">
        <f>'rockfish harvests'!A352</f>
        <v>SE</v>
      </c>
      <c r="B353">
        <f>'rockfish harvests'!B352</f>
        <v>1998</v>
      </c>
      <c r="C353" t="str">
        <f>'rockfish harvests'!C352</f>
        <v>SSEO</v>
      </c>
      <c r="D353">
        <f>'rockfish harvests'!D352</f>
        <v>3185</v>
      </c>
      <c r="E353">
        <v>1462</v>
      </c>
      <c r="F353" s="32">
        <v>0.98349167199999998</v>
      </c>
      <c r="G353" s="32">
        <v>8.9143399999999998E-5</v>
      </c>
      <c r="H353" s="7">
        <f t="shared" si="318"/>
        <v>1437.8648244639999</v>
      </c>
      <c r="I353">
        <f t="shared" si="325"/>
        <v>190.53902546960001</v>
      </c>
      <c r="J353">
        <f t="shared" si="319"/>
        <v>13.803587413045928</v>
      </c>
      <c r="K353" s="6">
        <f t="shared" si="320"/>
        <v>27.055031329570021</v>
      </c>
      <c r="M353" s="2">
        <f>'rockfish harvests'!O352</f>
        <v>1543.4215757484271</v>
      </c>
      <c r="N353">
        <f>'rockfish harvests'!P352</f>
        <v>277633.92962977174</v>
      </c>
      <c r="O353" s="32">
        <v>0.61743827600000001</v>
      </c>
      <c r="P353" s="32">
        <v>5.442634E-3</v>
      </c>
      <c r="Q353" s="13">
        <f t="shared" si="315"/>
        <v>952.96755687131224</v>
      </c>
      <c r="R353" s="2">
        <f t="shared" si="350"/>
        <v>120318.62116346775</v>
      </c>
      <c r="S353">
        <f t="shared" si="321"/>
        <v>346.86974668233569</v>
      </c>
      <c r="T353" s="6">
        <f t="shared" si="322"/>
        <v>679.86470349737795</v>
      </c>
      <c r="V353" s="13">
        <f t="shared" si="316"/>
        <v>2390.8323813353122</v>
      </c>
      <c r="W353">
        <f t="shared" si="317"/>
        <v>120509.16018893734</v>
      </c>
      <c r="X353">
        <f t="shared" si="323"/>
        <v>347.14429303812176</v>
      </c>
      <c r="Y353" s="6">
        <f t="shared" si="324"/>
        <v>680.40281435471866</v>
      </c>
      <c r="Z353" s="14">
        <f t="shared" si="314"/>
        <v>0.1451980890622859</v>
      </c>
    </row>
    <row r="354" spans="1:26" x14ac:dyDescent="0.3">
      <c r="A354" t="str">
        <f>'rockfish harvests'!A353</f>
        <v>SE</v>
      </c>
      <c r="B354">
        <f>'rockfish harvests'!B353</f>
        <v>1999</v>
      </c>
      <c r="C354" t="str">
        <f>'rockfish harvests'!C353</f>
        <v>SSEO</v>
      </c>
      <c r="D354">
        <f>'rockfish harvests'!D353</f>
        <v>4616</v>
      </c>
      <c r="E354">
        <v>1568</v>
      </c>
      <c r="F354" s="32">
        <v>0.98349167199999998</v>
      </c>
      <c r="G354" s="32">
        <v>8.9143399999999998E-5</v>
      </c>
      <c r="H354" s="7">
        <f t="shared" si="318"/>
        <v>1542.114941696</v>
      </c>
      <c r="I354">
        <f t="shared" si="325"/>
        <v>219.17010268159999</v>
      </c>
      <c r="J354">
        <f t="shared" si="319"/>
        <v>14.804394708383048</v>
      </c>
      <c r="K354" s="6">
        <f t="shared" si="320"/>
        <v>29.016613628430775</v>
      </c>
      <c r="M354" s="2">
        <f>'rockfish harvests'!O353</f>
        <v>2236.8709556215817</v>
      </c>
      <c r="N354">
        <f>'rockfish harvests'!P353</f>
        <v>583156.69651387446</v>
      </c>
      <c r="O354" s="32">
        <v>0.61743827600000001</v>
      </c>
      <c r="P354" s="32">
        <v>5.442634E-3</v>
      </c>
      <c r="Q354" s="13">
        <f t="shared" si="315"/>
        <v>1381.1297464734619</v>
      </c>
      <c r="R354" s="2">
        <f t="shared" si="350"/>
        <v>252723.46841885481</v>
      </c>
      <c r="S354">
        <f t="shared" si="321"/>
        <v>502.7160912670837</v>
      </c>
      <c r="T354" s="6">
        <f t="shared" si="322"/>
        <v>985.32353888348405</v>
      </c>
      <c r="V354" s="13">
        <f t="shared" si="316"/>
        <v>2923.2446881694618</v>
      </c>
      <c r="W354">
        <f t="shared" si="317"/>
        <v>252942.6385215364</v>
      </c>
      <c r="X354">
        <f t="shared" si="323"/>
        <v>502.93402998955679</v>
      </c>
      <c r="Y354" s="6">
        <f t="shared" si="324"/>
        <v>985.75069877953126</v>
      </c>
      <c r="Z354" s="14">
        <f t="shared" ref="Z354:Z374" si="391">X354/V354</f>
        <v>0.17204650436036351</v>
      </c>
    </row>
    <row r="355" spans="1:26" x14ac:dyDescent="0.3">
      <c r="A355" t="str">
        <f>'rockfish harvests'!A354</f>
        <v>SE</v>
      </c>
      <c r="B355">
        <f>'rockfish harvests'!B354</f>
        <v>2000</v>
      </c>
      <c r="C355" t="str">
        <f>'rockfish harvests'!C354</f>
        <v>SSEO</v>
      </c>
      <c r="D355">
        <f>'rockfish harvests'!D354</f>
        <v>6910</v>
      </c>
      <c r="E355">
        <v>2150</v>
      </c>
      <c r="F355" s="32">
        <v>0.98349167199999998</v>
      </c>
      <c r="G355" s="32">
        <v>8.9143399999999998E-5</v>
      </c>
      <c r="H355" s="7">
        <f t="shared" si="318"/>
        <v>2114.5070947999998</v>
      </c>
      <c r="I355">
        <f t="shared" si="325"/>
        <v>412.06536649999998</v>
      </c>
      <c r="J355">
        <f t="shared" si="319"/>
        <v>20.299393254479305</v>
      </c>
      <c r="K355" s="6">
        <f t="shared" si="320"/>
        <v>39.78681077877944</v>
      </c>
      <c r="M355" s="2">
        <f>'rockfish harvests'!O354</f>
        <v>3348.5221627697429</v>
      </c>
      <c r="N355">
        <f>'rockfish harvests'!P354</f>
        <v>1306801.9129460659</v>
      </c>
      <c r="O355" s="32">
        <v>0.61743827600000001</v>
      </c>
      <c r="P355" s="32">
        <v>5.442634E-3</v>
      </c>
      <c r="Q355" s="13">
        <f t="shared" si="315"/>
        <v>2067.5057513283414</v>
      </c>
      <c r="R355" s="2">
        <f t="shared" si="350"/>
        <v>566330.65169348812</v>
      </c>
      <c r="S355">
        <f t="shared" si="321"/>
        <v>752.54943471740648</v>
      </c>
      <c r="T355" s="6">
        <f t="shared" si="322"/>
        <v>1474.9968920461167</v>
      </c>
      <c r="V355" s="13">
        <f t="shared" si="316"/>
        <v>4182.0128461283412</v>
      </c>
      <c r="W355">
        <f t="shared" si="317"/>
        <v>566742.71705998818</v>
      </c>
      <c r="X355">
        <f t="shared" si="323"/>
        <v>752.82316453466558</v>
      </c>
      <c r="Y355" s="6">
        <f t="shared" si="324"/>
        <v>1475.5334024879446</v>
      </c>
      <c r="Z355" s="14">
        <f t="shared" si="391"/>
        <v>0.18001455094324267</v>
      </c>
    </row>
    <row r="356" spans="1:26" x14ac:dyDescent="0.3">
      <c r="A356" t="str">
        <f>'rockfish harvests'!A355</f>
        <v>SE</v>
      </c>
      <c r="B356">
        <f>'rockfish harvests'!B355</f>
        <v>2001</v>
      </c>
      <c r="C356" t="str">
        <f>'rockfish harvests'!C355</f>
        <v>SSEO</v>
      </c>
      <c r="D356">
        <f>'rockfish harvests'!D355</f>
        <v>5756</v>
      </c>
      <c r="E356">
        <v>1879</v>
      </c>
      <c r="F356" s="32">
        <v>0.98349167199999998</v>
      </c>
      <c r="G356" s="32">
        <v>8.9143399999999998E-5</v>
      </c>
      <c r="H356" s="7">
        <f t="shared" si="318"/>
        <v>1847.980851688</v>
      </c>
      <c r="I356">
        <f t="shared" si="325"/>
        <v>314.7333429194</v>
      </c>
      <c r="J356">
        <f t="shared" si="319"/>
        <v>17.740725546589125</v>
      </c>
      <c r="K356" s="6">
        <f t="shared" si="320"/>
        <v>34.771822071314688</v>
      </c>
      <c r="M356" s="2">
        <f>'rockfish harvests'!O355</f>
        <v>2789.304423864347</v>
      </c>
      <c r="N356">
        <f>'rockfish harvests'!P355</f>
        <v>906766.02050430153</v>
      </c>
      <c r="O356" s="32">
        <v>0.61743827600000001</v>
      </c>
      <c r="P356" s="32">
        <v>5.442634E-3</v>
      </c>
      <c r="Q356" s="13">
        <f t="shared" si="315"/>
        <v>1722.2233147099757</v>
      </c>
      <c r="R356" s="2">
        <f t="shared" si="350"/>
        <v>392966.51331647241</v>
      </c>
      <c r="S356">
        <f t="shared" si="321"/>
        <v>626.87041190063553</v>
      </c>
      <c r="T356" s="6">
        <f t="shared" si="322"/>
        <v>1228.6660073252456</v>
      </c>
      <c r="V356" s="13">
        <f t="shared" si="316"/>
        <v>3570.2041663979758</v>
      </c>
      <c r="W356">
        <f t="shared" si="317"/>
        <v>393281.24665939179</v>
      </c>
      <c r="X356">
        <f t="shared" si="323"/>
        <v>627.12139706710036</v>
      </c>
      <c r="Y356" s="6">
        <f t="shared" si="324"/>
        <v>1229.1579382515167</v>
      </c>
      <c r="Z356" s="14">
        <f t="shared" si="391"/>
        <v>0.17565421131078088</v>
      </c>
    </row>
    <row r="357" spans="1:26" x14ac:dyDescent="0.3">
      <c r="A357" t="str">
        <f>'rockfish harvests'!A356</f>
        <v>SE</v>
      </c>
      <c r="B357">
        <f>'rockfish harvests'!B356</f>
        <v>2002</v>
      </c>
      <c r="C357" t="str">
        <f>'rockfish harvests'!C356</f>
        <v>SSEO</v>
      </c>
      <c r="D357">
        <f>'rockfish harvests'!D356</f>
        <v>7617</v>
      </c>
      <c r="E357">
        <v>3492</v>
      </c>
      <c r="F357" s="32">
        <v>0.98349167199999998</v>
      </c>
      <c r="G357" s="32">
        <v>8.9143399999999998E-5</v>
      </c>
      <c r="H357" s="7">
        <f t="shared" si="318"/>
        <v>3434.3529186239998</v>
      </c>
      <c r="I357">
        <f t="shared" si="325"/>
        <v>1087.0203247776001</v>
      </c>
      <c r="J357">
        <f t="shared" si="319"/>
        <v>32.969991276577552</v>
      </c>
      <c r="K357" s="6">
        <f t="shared" si="320"/>
        <v>64.621182902092002</v>
      </c>
      <c r="M357" s="2">
        <f>'rockfish harvests'!O356</f>
        <v>3691.1278312325794</v>
      </c>
      <c r="N357">
        <f>'rockfish harvests'!P356</f>
        <v>1587894.256982432</v>
      </c>
      <c r="O357" s="32">
        <v>0.61743827600000001</v>
      </c>
      <c r="P357" s="32">
        <v>5.442634E-3</v>
      </c>
      <c r="Q357" s="13">
        <f t="shared" si="315"/>
        <v>2279.043604611863</v>
      </c>
      <c r="R357" s="2">
        <f t="shared" si="350"/>
        <v>688148.05095431651</v>
      </c>
      <c r="S357">
        <f t="shared" si="321"/>
        <v>829.54689496996889</v>
      </c>
      <c r="T357" s="6">
        <f t="shared" si="322"/>
        <v>1625.9119141411391</v>
      </c>
      <c r="V357" s="13">
        <f t="shared" si="316"/>
        <v>5713.3965232358623</v>
      </c>
      <c r="W357">
        <f t="shared" si="317"/>
        <v>689235.07127909409</v>
      </c>
      <c r="X357">
        <f t="shared" si="323"/>
        <v>830.20182562982484</v>
      </c>
      <c r="Y357" s="6">
        <f t="shared" si="324"/>
        <v>1627.1955782344567</v>
      </c>
      <c r="Z357" s="14">
        <f t="shared" si="391"/>
        <v>0.14530793062471153</v>
      </c>
    </row>
    <row r="358" spans="1:26" x14ac:dyDescent="0.3">
      <c r="A358" t="str">
        <f>'rockfish harvests'!A357</f>
        <v>SE</v>
      </c>
      <c r="B358">
        <f>'rockfish harvests'!B357</f>
        <v>2003</v>
      </c>
      <c r="C358" t="str">
        <f>'rockfish harvests'!C357</f>
        <v>SSEO</v>
      </c>
      <c r="D358">
        <f>'rockfish harvests'!D357</f>
        <v>6896</v>
      </c>
      <c r="E358">
        <v>2806</v>
      </c>
      <c r="F358" s="32">
        <v>0.98349167199999998</v>
      </c>
      <c r="G358" s="32">
        <v>8.9143399999999998E-5</v>
      </c>
      <c r="H358" s="7">
        <f t="shared" si="318"/>
        <v>2759.6776316320002</v>
      </c>
      <c r="I358">
        <f t="shared" si="325"/>
        <v>701.88268340239995</v>
      </c>
      <c r="J358">
        <f t="shared" si="319"/>
        <v>26.49306859165997</v>
      </c>
      <c r="K358" s="6">
        <f t="shared" si="320"/>
        <v>51.926414439653541</v>
      </c>
      <c r="M358" s="2">
        <f>'rockfish harvests'!O357</f>
        <v>3341.7378921071122</v>
      </c>
      <c r="N358">
        <f>'rockfish harvests'!P357</f>
        <v>1301511.9872539048</v>
      </c>
      <c r="O358" s="32">
        <v>0.61743827600000001</v>
      </c>
      <c r="P358" s="32">
        <v>5.442634E-3</v>
      </c>
      <c r="Q358" s="13">
        <f t="shared" si="315"/>
        <v>2063.3168829464894</v>
      </c>
      <c r="R358" s="2">
        <f t="shared" si="350"/>
        <v>564038.14887804759</v>
      </c>
      <c r="S358">
        <f t="shared" si="321"/>
        <v>751.02473253418736</v>
      </c>
      <c r="T358" s="6">
        <f t="shared" si="322"/>
        <v>1472.0084757670072</v>
      </c>
      <c r="V358" s="13">
        <f t="shared" si="316"/>
        <v>4822.9945145784895</v>
      </c>
      <c r="W358">
        <f t="shared" si="317"/>
        <v>564740.03156144999</v>
      </c>
      <c r="X358">
        <f t="shared" si="323"/>
        <v>751.49187058906364</v>
      </c>
      <c r="Y358" s="6">
        <f t="shared" si="324"/>
        <v>1472.9240663545647</v>
      </c>
      <c r="Z358" s="14">
        <f t="shared" si="391"/>
        <v>0.15581437389520669</v>
      </c>
    </row>
    <row r="359" spans="1:26" x14ac:dyDescent="0.3">
      <c r="A359" t="str">
        <f>'rockfish harvests'!A358</f>
        <v>SE</v>
      </c>
      <c r="B359">
        <f>'rockfish harvests'!B358</f>
        <v>2004</v>
      </c>
      <c r="C359" t="str">
        <f>'rockfish harvests'!C358</f>
        <v>SSEO</v>
      </c>
      <c r="D359">
        <f>'rockfish harvests'!D358</f>
        <v>10061</v>
      </c>
      <c r="E359">
        <v>4143</v>
      </c>
      <c r="F359" s="32">
        <v>0.98349167199999998</v>
      </c>
      <c r="G359" s="32">
        <v>8.9143399999999998E-5</v>
      </c>
      <c r="H359" s="7">
        <f t="shared" si="318"/>
        <v>4074.605997096</v>
      </c>
      <c r="I359">
        <f t="shared" si="325"/>
        <v>1530.0973429865999</v>
      </c>
      <c r="J359">
        <f t="shared" si="319"/>
        <v>39.116458722468728</v>
      </c>
      <c r="K359" s="6">
        <f t="shared" si="320"/>
        <v>76.66825909603871</v>
      </c>
      <c r="M359" s="2">
        <f>'rockfish harvests'!O358</f>
        <v>4875.4676526232088</v>
      </c>
      <c r="N359">
        <f>'rockfish harvests'!P358</f>
        <v>2770358.4485732173</v>
      </c>
      <c r="O359" s="32">
        <v>0.61743827600000001</v>
      </c>
      <c r="P359" s="32">
        <v>5.442634E-3</v>
      </c>
      <c r="Q359" s="13">
        <f t="shared" si="315"/>
        <v>3010.3003421294411</v>
      </c>
      <c r="R359" s="2">
        <f t="shared" si="350"/>
        <v>1200594.2829299972</v>
      </c>
      <c r="S359">
        <f t="shared" si="321"/>
        <v>1095.7163332404957</v>
      </c>
      <c r="T359" s="6">
        <f t="shared" si="322"/>
        <v>2147.6040131513714</v>
      </c>
      <c r="V359" s="13">
        <f t="shared" si="316"/>
        <v>7084.9063392254411</v>
      </c>
      <c r="W359">
        <f t="shared" si="317"/>
        <v>1202124.3802729838</v>
      </c>
      <c r="X359">
        <f t="shared" si="323"/>
        <v>1096.4143287430093</v>
      </c>
      <c r="Y359" s="6">
        <f t="shared" si="324"/>
        <v>2148.9720843362979</v>
      </c>
      <c r="Z359" s="14">
        <f t="shared" si="391"/>
        <v>0.15475353889616486</v>
      </c>
    </row>
    <row r="360" spans="1:26" x14ac:dyDescent="0.3">
      <c r="A360" t="str">
        <f>'rockfish harvests'!A359</f>
        <v>SE</v>
      </c>
      <c r="B360">
        <f>'rockfish harvests'!B359</f>
        <v>2005</v>
      </c>
      <c r="C360" t="str">
        <f>'rockfish harvests'!C359</f>
        <v>SSEO</v>
      </c>
      <c r="D360">
        <f>'rockfish harvests'!D359</f>
        <v>12666</v>
      </c>
      <c r="E360">
        <v>5423</v>
      </c>
      <c r="F360" s="32">
        <v>0.98349167199999998</v>
      </c>
      <c r="G360" s="32">
        <v>8.9143399999999998E-5</v>
      </c>
      <c r="H360" s="7">
        <f t="shared" si="318"/>
        <v>5333.4753372559999</v>
      </c>
      <c r="I360">
        <f t="shared" si="325"/>
        <v>2621.6119214186001</v>
      </c>
      <c r="J360">
        <f t="shared" si="319"/>
        <v>51.201678892577341</v>
      </c>
      <c r="K360" s="6">
        <f t="shared" si="320"/>
        <v>100.35529062945159</v>
      </c>
      <c r="M360" s="2">
        <f>'rockfish harvests'!O359</f>
        <v>6137.826586634088</v>
      </c>
      <c r="N360">
        <f>'rockfish harvests'!P359</f>
        <v>4390688.5733686173</v>
      </c>
      <c r="O360" s="32">
        <v>0.61743827600000001</v>
      </c>
      <c r="P360" s="32">
        <v>5.442634E-3</v>
      </c>
      <c r="Q360" s="13">
        <f t="shared" ref="Q360:Q373" si="392">M360*O360</f>
        <v>3789.729066038316</v>
      </c>
      <c r="R360" s="2">
        <f t="shared" si="350"/>
        <v>1902799.1132437424</v>
      </c>
      <c r="S360">
        <f t="shared" si="321"/>
        <v>1379.4198466180419</v>
      </c>
      <c r="T360" s="6">
        <f t="shared" si="322"/>
        <v>2703.6628993713621</v>
      </c>
      <c r="V360" s="13">
        <f t="shared" ref="V360:V373" si="393">Q360+H360</f>
        <v>9123.2044032943159</v>
      </c>
      <c r="W360">
        <f t="shared" ref="W360:W373" si="394">R360+I360</f>
        <v>1905420.7251651611</v>
      </c>
      <c r="X360">
        <f t="shared" si="323"/>
        <v>1380.3697784163348</v>
      </c>
      <c r="Y360" s="6">
        <f t="shared" si="324"/>
        <v>2705.5247656960164</v>
      </c>
      <c r="Z360" s="14">
        <f t="shared" si="391"/>
        <v>0.15130317346807381</v>
      </c>
    </row>
    <row r="361" spans="1:26" x14ac:dyDescent="0.3">
      <c r="A361" t="str">
        <f>'rockfish harvests'!A360</f>
        <v>SE</v>
      </c>
      <c r="B361">
        <f>'rockfish harvests'!B360</f>
        <v>2006</v>
      </c>
      <c r="C361" t="str">
        <f>'rockfish harvests'!C360</f>
        <v>SSEO</v>
      </c>
      <c r="D361">
        <f>'rockfish harvests'!D360</f>
        <v>12007</v>
      </c>
      <c r="E361">
        <v>4774</v>
      </c>
      <c r="F361">
        <f>IF([2]species_comp_Region1_forR!$G274&gt;49,[2]species_comp_Region1_forR!$AD274,[2]species_comp_Region1_forR!$AF274)</f>
        <v>0.98476190500000005</v>
      </c>
      <c r="G361">
        <f>IF([2]species_comp_Region1_forR!$G274&gt;49,[2]species_comp_Region1_forR!$AE274,[2]species_comp_Region1_forR!$AG274)</f>
        <v>2.8637200000000001E-5</v>
      </c>
      <c r="H361" s="7">
        <f t="shared" ref="H361:H373" si="395">E361*F361</f>
        <v>4701.2533344700005</v>
      </c>
      <c r="I361">
        <f t="shared" si="325"/>
        <v>652.67260162720004</v>
      </c>
      <c r="J361">
        <f t="shared" ref="J361:J373" si="396">SQRT(I361)</f>
        <v>25.547457831009332</v>
      </c>
      <c r="K361" s="6">
        <f t="shared" ref="K361:K373" si="397">(1.96*J361)</f>
        <v>50.073017348778293</v>
      </c>
      <c r="M361" s="2">
        <f>'rockfish harvests'!O360</f>
        <v>5818.4812747288415</v>
      </c>
      <c r="N361">
        <f>'rockfish harvests'!P360</f>
        <v>3945687.5188521035</v>
      </c>
      <c r="O361">
        <f>IF([2]species_comp_Region1_forR!$D296&gt;49,[2]species_comp_Region1_forR!$N296,[2]species_comp_Region1_forR!$P296)</f>
        <v>0.40441176499999998</v>
      </c>
      <c r="P361">
        <f>IF([2]species_comp_Region1_forR!$D296&gt;49,[2]species_comp_Region1_forR!$O296,[2]species_comp_Region1_forR!$Q296)</f>
        <v>1.7841700000000001E-3</v>
      </c>
      <c r="Q361" s="13">
        <f t="shared" si="392"/>
        <v>2353.0622819325404</v>
      </c>
      <c r="R361" s="2">
        <f t="shared" si="350"/>
        <v>712755.11828905705</v>
      </c>
      <c r="S361">
        <f t="shared" ref="S361:S373" si="398">SQRT(R361)</f>
        <v>844.24825631389785</v>
      </c>
      <c r="T361" s="6">
        <f t="shared" ref="T361:T373" si="399">(1.96*S361)</f>
        <v>1654.7265823752398</v>
      </c>
      <c r="V361" s="13">
        <f t="shared" si="393"/>
        <v>7054.3156164025404</v>
      </c>
      <c r="W361">
        <f t="shared" si="394"/>
        <v>713407.79089068423</v>
      </c>
      <c r="X361">
        <f t="shared" ref="X361:X373" si="400">SQRT(W361)</f>
        <v>844.63470855197761</v>
      </c>
      <c r="Y361" s="6">
        <f t="shared" ref="Y361:Y373" si="401">(1.96*X361)</f>
        <v>1655.4840287618761</v>
      </c>
      <c r="Z361" s="14">
        <f t="shared" si="391"/>
        <v>0.11973304775137243</v>
      </c>
    </row>
    <row r="362" spans="1:26" x14ac:dyDescent="0.3">
      <c r="A362" t="str">
        <f>'rockfish harvests'!A361</f>
        <v>SE</v>
      </c>
      <c r="B362">
        <f>'rockfish harvests'!B361</f>
        <v>2007</v>
      </c>
      <c r="C362" t="str">
        <f>'rockfish harvests'!C361</f>
        <v>SSEO</v>
      </c>
      <c r="D362">
        <f>'rockfish harvests'!D361</f>
        <v>12018</v>
      </c>
      <c r="E362">
        <v>5924</v>
      </c>
      <c r="F362">
        <f>IF([2]species_comp_Region1_forR!$G275&gt;49,[2]species_comp_Region1_forR!$AD275,[2]species_comp_Region1_forR!$AF275)</f>
        <v>0.98068181799999998</v>
      </c>
      <c r="G362">
        <f>IF([2]species_comp_Region1_forR!$G275&gt;49,[2]species_comp_Region1_forR!$AE275,[2]species_comp_Region1_forR!$AG275)</f>
        <v>2.1552900000000002E-5</v>
      </c>
      <c r="H362" s="7">
        <f t="shared" si="395"/>
        <v>5809.5590898319997</v>
      </c>
      <c r="I362">
        <f t="shared" ref="I362:I373" si="402">(E362^2)*G362</f>
        <v>756.37264475040001</v>
      </c>
      <c r="J362">
        <f t="shared" si="396"/>
        <v>27.502229814151434</v>
      </c>
      <c r="K362" s="6">
        <f t="shared" si="397"/>
        <v>53.904370435736809</v>
      </c>
      <c r="M362" s="2">
        <f>'rockfish harvests'!O361</f>
        <v>5823.8117731066231</v>
      </c>
      <c r="N362">
        <f>'rockfish harvests'!P361</f>
        <v>3952920.3736786586</v>
      </c>
      <c r="O362">
        <f>IF([2]species_comp_Region1_forR!$D297&gt;49,[2]species_comp_Region1_forR!$N297,[2]species_comp_Region1_forR!$P297)</f>
        <v>0.62533692699999999</v>
      </c>
      <c r="P362">
        <f>IF([2]species_comp_Region1_forR!$D297&gt;49,[2]species_comp_Region1_forR!$O297,[2]species_comp_Region1_forR!$Q297)</f>
        <v>6.3321799999999995E-4</v>
      </c>
      <c r="Q362" s="13">
        <f t="shared" si="392"/>
        <v>3641.8445576209169</v>
      </c>
      <c r="R362" s="2">
        <f t="shared" si="350"/>
        <v>1569754.5548973035</v>
      </c>
      <c r="S362">
        <f t="shared" si="398"/>
        <v>1252.8984615272313</v>
      </c>
      <c r="T362" s="6">
        <f t="shared" si="399"/>
        <v>2455.6809845933735</v>
      </c>
      <c r="V362" s="13">
        <f t="shared" si="393"/>
        <v>9451.4036474529166</v>
      </c>
      <c r="W362">
        <f t="shared" si="394"/>
        <v>1570510.9275420539</v>
      </c>
      <c r="X362">
        <f t="shared" si="400"/>
        <v>1253.2002743145463</v>
      </c>
      <c r="Y362" s="6">
        <f t="shared" si="401"/>
        <v>2456.2725376565108</v>
      </c>
      <c r="Z362" s="14">
        <f t="shared" si="391"/>
        <v>0.13259409089487723</v>
      </c>
    </row>
    <row r="363" spans="1:26" x14ac:dyDescent="0.3">
      <c r="A363" t="str">
        <f>'rockfish harvests'!A362</f>
        <v>SE</v>
      </c>
      <c r="B363">
        <f>'rockfish harvests'!B362</f>
        <v>2008</v>
      </c>
      <c r="C363" t="str">
        <f>'rockfish harvests'!C362</f>
        <v>SSEO</v>
      </c>
      <c r="D363">
        <f>'rockfish harvests'!D362</f>
        <v>17754</v>
      </c>
      <c r="E363">
        <v>10801</v>
      </c>
      <c r="F363">
        <f>IF([2]species_comp_Region1_forR!$G276&gt;49,[2]species_comp_Region1_forR!$AD276,[2]species_comp_Region1_forR!$AF276)</f>
        <v>0.98483080499999998</v>
      </c>
      <c r="G363">
        <f>IF([2]species_comp_Region1_forR!$G276&gt;49,[2]species_comp_Region1_forR!$AE276,[2]species_comp_Region1_forR!$AG276)</f>
        <v>8.7210100000000007E-6</v>
      </c>
      <c r="H363" s="7">
        <f t="shared" si="395"/>
        <v>10637.157524804999</v>
      </c>
      <c r="I363">
        <f t="shared" si="402"/>
        <v>1017.4069889370101</v>
      </c>
      <c r="J363">
        <f t="shared" si="396"/>
        <v>31.89681784970109</v>
      </c>
      <c r="K363" s="6">
        <f t="shared" si="397"/>
        <v>62.517762985414137</v>
      </c>
      <c r="M363" s="2">
        <f>'rockfish harvests'!O362</f>
        <v>8603.4243817386414</v>
      </c>
      <c r="N363">
        <f>'rockfish harvests'!P362</f>
        <v>8626727.8588684946</v>
      </c>
      <c r="O363">
        <f>IF([2]species_comp_Region1_forR!$D298&gt;49,[2]species_comp_Region1_forR!$N298,[2]species_comp_Region1_forR!$P298)</f>
        <v>0.64849624100000003</v>
      </c>
      <c r="P363">
        <f>IF([2]species_comp_Region1_forR!$D298&gt;49,[2]species_comp_Region1_forR!$O298,[2]species_comp_Region1_forR!$Q298)</f>
        <v>4.2928200000000001E-4</v>
      </c>
      <c r="Q363" s="13">
        <f t="shared" si="392"/>
        <v>5579.2883712852581</v>
      </c>
      <c r="R363" s="2">
        <f t="shared" si="350"/>
        <v>3663426.0375395399</v>
      </c>
      <c r="S363">
        <f t="shared" si="398"/>
        <v>1914.0078467810783</v>
      </c>
      <c r="T363" s="6">
        <f t="shared" si="399"/>
        <v>3751.4553796909136</v>
      </c>
      <c r="V363" s="13">
        <f t="shared" si="393"/>
        <v>16216.445896090258</v>
      </c>
      <c r="W363">
        <f t="shared" si="394"/>
        <v>3664443.4445284768</v>
      </c>
      <c r="X363">
        <f t="shared" si="400"/>
        <v>1914.2736075411156</v>
      </c>
      <c r="Y363" s="6">
        <f t="shared" si="401"/>
        <v>3751.9762707805862</v>
      </c>
      <c r="Z363" s="14">
        <f t="shared" si="391"/>
        <v>0.11804520052095027</v>
      </c>
    </row>
    <row r="364" spans="1:26" x14ac:dyDescent="0.3">
      <c r="A364" t="str">
        <f>'rockfish harvests'!A363</f>
        <v>SE</v>
      </c>
      <c r="B364">
        <f>'rockfish harvests'!B363</f>
        <v>2009</v>
      </c>
      <c r="C364" t="str">
        <f>'rockfish harvests'!C363</f>
        <v>SSEO</v>
      </c>
      <c r="D364">
        <f>'rockfish harvests'!D363</f>
        <v>9645</v>
      </c>
      <c r="E364">
        <v>5953</v>
      </c>
      <c r="F364">
        <f>IF([2]species_comp_Region1_forR!$G277&gt;49,[2]species_comp_Region1_forR!$AD277,[2]species_comp_Region1_forR!$AF277)</f>
        <v>0.97634691200000001</v>
      </c>
      <c r="G364">
        <f>IF([2]species_comp_Region1_forR!$G277&gt;49,[2]species_comp_Region1_forR!$AE277,[2]species_comp_Region1_forR!$AG277)</f>
        <v>3.0386300000000001E-5</v>
      </c>
      <c r="H364" s="7">
        <f t="shared" si="395"/>
        <v>5812.1931671359998</v>
      </c>
      <c r="I364">
        <f t="shared" si="402"/>
        <v>1076.8360501367001</v>
      </c>
      <c r="J364">
        <f t="shared" si="396"/>
        <v>32.815180178336675</v>
      </c>
      <c r="K364" s="6">
        <f t="shared" si="397"/>
        <v>64.317753149539882</v>
      </c>
      <c r="M364" s="2">
        <f>'rockfish harvests'!O363</f>
        <v>4673.8778957907616</v>
      </c>
      <c r="N364">
        <f>'rockfish harvests'!P363</f>
        <v>2545998.4255660125</v>
      </c>
      <c r="O364">
        <f>IF([2]species_comp_Region1_forR!$D299&gt;49,[2]species_comp_Region1_forR!$N299,[2]species_comp_Region1_forR!$P299)</f>
        <v>0.64373088700000003</v>
      </c>
      <c r="P364">
        <f>IF([2]species_comp_Region1_forR!$D299&gt;49,[2]species_comp_Region1_forR!$O299,[2]species_comp_Region1_forR!$Q299)</f>
        <v>3.51212E-4</v>
      </c>
      <c r="Q364" s="13">
        <f t="shared" si="392"/>
        <v>3008.7195635870808</v>
      </c>
      <c r="R364" s="2">
        <f t="shared" si="350"/>
        <v>1063601.3582968777</v>
      </c>
      <c r="S364">
        <f t="shared" si="398"/>
        <v>1031.3105052780552</v>
      </c>
      <c r="T364" s="6">
        <f t="shared" si="399"/>
        <v>2021.3685903449882</v>
      </c>
      <c r="V364" s="13">
        <f t="shared" si="393"/>
        <v>8820.912730723081</v>
      </c>
      <c r="W364">
        <f t="shared" si="394"/>
        <v>1064678.1943470144</v>
      </c>
      <c r="X364">
        <f t="shared" si="400"/>
        <v>1031.8324448993715</v>
      </c>
      <c r="Y364" s="6">
        <f t="shared" si="401"/>
        <v>2022.391592002768</v>
      </c>
      <c r="Z364" s="14">
        <f t="shared" si="391"/>
        <v>0.11697570040632162</v>
      </c>
    </row>
    <row r="365" spans="1:26" x14ac:dyDescent="0.3">
      <c r="A365" t="str">
        <f>'rockfish harvests'!A364</f>
        <v>SE</v>
      </c>
      <c r="B365">
        <f>'rockfish harvests'!B364</f>
        <v>2010</v>
      </c>
      <c r="C365" t="str">
        <f>'rockfish harvests'!C364</f>
        <v>SSEO</v>
      </c>
      <c r="D365">
        <f>'rockfish harvests'!D364</f>
        <v>12415</v>
      </c>
      <c r="E365">
        <v>7422</v>
      </c>
      <c r="F365">
        <f>IF([2]species_comp_Region1_forR!$G278&gt;49,[2]species_comp_Region1_forR!$AD278,[2]species_comp_Region1_forR!$AF278)</f>
        <v>0.98746642799999995</v>
      </c>
      <c r="G365">
        <f>IF([2]species_comp_Region1_forR!$G278&gt;49,[2]species_comp_Region1_forR!$AE278,[2]species_comp_Region1_forR!$AG278)</f>
        <v>1.1090000000000001E-5</v>
      </c>
      <c r="H365" s="7">
        <f t="shared" si="395"/>
        <v>7328.9758286159995</v>
      </c>
      <c r="I365">
        <f t="shared" si="402"/>
        <v>610.90467156</v>
      </c>
      <c r="J365">
        <f t="shared" si="396"/>
        <v>24.716485825456662</v>
      </c>
      <c r="K365" s="6">
        <f t="shared" si="397"/>
        <v>48.444312217895053</v>
      </c>
      <c r="M365" s="2">
        <f>'rockfish harvests'!O364</f>
        <v>6016.1943054683579</v>
      </c>
      <c r="N365">
        <f>'rockfish harvests'!P364</f>
        <v>4218393.7471152442</v>
      </c>
      <c r="O365">
        <f>IF([2]species_comp_Region1_forR!$D300&gt;49,[2]species_comp_Region1_forR!$N300,[2]species_comp_Region1_forR!$P300)</f>
        <v>0.54278416299999999</v>
      </c>
      <c r="P365">
        <f>IF([2]species_comp_Region1_forR!$D300&gt;49,[2]species_comp_Region1_forR!$O300,[2]species_comp_Region1_forR!$Q300)</f>
        <v>3.1735200000000002E-4</v>
      </c>
      <c r="Q365" s="13">
        <f t="shared" si="392"/>
        <v>3265.494990539009</v>
      </c>
      <c r="R365" s="2">
        <f t="shared" si="350"/>
        <v>1255625.729722131</v>
      </c>
      <c r="S365">
        <f t="shared" si="398"/>
        <v>1120.5470671605592</v>
      </c>
      <c r="T365" s="6">
        <f t="shared" si="399"/>
        <v>2196.2722516346962</v>
      </c>
      <c r="V365" s="13">
        <f t="shared" si="393"/>
        <v>10594.470819155009</v>
      </c>
      <c r="W365">
        <f t="shared" si="394"/>
        <v>1256236.6343936911</v>
      </c>
      <c r="X365">
        <f t="shared" si="400"/>
        <v>1120.8196261636799</v>
      </c>
      <c r="Y365" s="6">
        <f t="shared" si="401"/>
        <v>2196.8064672808127</v>
      </c>
      <c r="Z365" s="14">
        <f t="shared" si="391"/>
        <v>0.10579288435409311</v>
      </c>
    </row>
    <row r="366" spans="1:26" x14ac:dyDescent="0.3">
      <c r="A366" t="str">
        <f>'rockfish harvests'!A365</f>
        <v>SE</v>
      </c>
      <c r="B366">
        <f>'rockfish harvests'!B365</f>
        <v>2011</v>
      </c>
      <c r="C366" t="str">
        <f>'rockfish harvests'!C365</f>
        <v>SSEO</v>
      </c>
      <c r="D366">
        <f>'rockfish harvests'!D365</f>
        <v>11926</v>
      </c>
      <c r="E366">
        <v>8143</v>
      </c>
      <c r="F366">
        <f>IF([2]species_comp_Region1_forR!$G279&gt;49,[2]species_comp_Region1_forR!$AD279,[2]species_comp_Region1_forR!$AF279)</f>
        <v>0.99284692399999996</v>
      </c>
      <c r="G366">
        <f>IF([2]species_comp_Region1_forR!$G279&gt;49,[2]species_comp_Region1_forR!$AE279,[2]species_comp_Region1_forR!$AG279)</f>
        <v>5.0836900000000003E-6</v>
      </c>
      <c r="H366" s="7">
        <f t="shared" si="395"/>
        <v>8084.7525021319998</v>
      </c>
      <c r="I366">
        <f t="shared" si="402"/>
        <v>337.09159909681</v>
      </c>
      <c r="J366">
        <f t="shared" si="396"/>
        <v>18.360054441553544</v>
      </c>
      <c r="K366" s="6">
        <f t="shared" si="397"/>
        <v>35.985706705444947</v>
      </c>
      <c r="M366" s="2">
        <f>'rockfish harvests'!O365</f>
        <v>5499.8326454033777</v>
      </c>
      <c r="N366">
        <f>'rockfish harvests'!P365</f>
        <v>3434887.6393615259</v>
      </c>
      <c r="O366">
        <f>IF([2]species_comp_Region1_forR!$D301&gt;49,[2]species_comp_Region1_forR!$N301,[2]species_comp_Region1_forR!$P301)</f>
        <v>0.60861056800000002</v>
      </c>
      <c r="P366">
        <f>IF([2]species_comp_Region1_forR!$D301&gt;49,[2]species_comp_Region1_forR!$O301,[2]species_comp_Region1_forR!$Q301)</f>
        <v>4.6706599999999998E-4</v>
      </c>
      <c r="Q366" s="13">
        <f t="shared" si="392"/>
        <v>3347.2562702238924</v>
      </c>
      <c r="R366" s="2">
        <f t="shared" si="350"/>
        <v>1288038.0254322095</v>
      </c>
      <c r="S366">
        <f t="shared" si="398"/>
        <v>1134.9176293600383</v>
      </c>
      <c r="T366" s="6">
        <f t="shared" si="399"/>
        <v>2224.4385535456749</v>
      </c>
      <c r="V366" s="13">
        <f t="shared" si="393"/>
        <v>11432.008772355892</v>
      </c>
      <c r="W366">
        <f t="shared" si="394"/>
        <v>1288375.1170313063</v>
      </c>
      <c r="X366">
        <f t="shared" si="400"/>
        <v>1135.0661289243487</v>
      </c>
      <c r="Y366" s="6">
        <f t="shared" si="401"/>
        <v>2224.7296126917236</v>
      </c>
      <c r="Z366" s="14">
        <f t="shared" si="391"/>
        <v>9.9288423541896556E-2</v>
      </c>
    </row>
    <row r="367" spans="1:26" x14ac:dyDescent="0.3">
      <c r="A367" t="str">
        <f>'rockfish harvests'!A366</f>
        <v>SE</v>
      </c>
      <c r="B367">
        <f>'rockfish harvests'!B366</f>
        <v>2012</v>
      </c>
      <c r="C367" t="str">
        <f>'rockfish harvests'!C366</f>
        <v>SSEO</v>
      </c>
      <c r="D367">
        <f>'rockfish harvests'!D366</f>
        <v>14290</v>
      </c>
      <c r="E367">
        <v>9606</v>
      </c>
      <c r="F367">
        <f>IF([2]species_comp_Region1_forR!$G280&gt;49,[2]species_comp_Region1_forR!$AD280,[2]species_comp_Region1_forR!$AF280)</f>
        <v>0.96571028699999995</v>
      </c>
      <c r="G367">
        <f>IF([2]species_comp_Region1_forR!$G280&gt;49,[2]species_comp_Region1_forR!$AE280,[2]species_comp_Region1_forR!$AG280)</f>
        <v>2.3189000000000001E-5</v>
      </c>
      <c r="H367" s="7">
        <f t="shared" si="395"/>
        <v>9276.6130169219996</v>
      </c>
      <c r="I367">
        <f t="shared" si="402"/>
        <v>2139.7704476040003</v>
      </c>
      <c r="J367">
        <f t="shared" si="396"/>
        <v>46.257652854462904</v>
      </c>
      <c r="K367" s="6">
        <f t="shared" si="397"/>
        <v>90.664999594747286</v>
      </c>
      <c r="M367" s="2">
        <f>'rockfish harvests'!O366</f>
        <v>7211.4840486137473</v>
      </c>
      <c r="N367">
        <f>'rockfish harvests'!P366</f>
        <v>3512142.9566568048</v>
      </c>
      <c r="O367">
        <f>IF([2]species_comp_Region1_forR!$D302&gt;49,[2]species_comp_Region1_forR!$N302,[2]species_comp_Region1_forR!$P302)</f>
        <v>0.66176470600000004</v>
      </c>
      <c r="P367">
        <f>IF([2]species_comp_Region1_forR!$D302&gt;49,[2]species_comp_Region1_forR!$O302,[2]species_comp_Region1_forR!$Q302)</f>
        <v>3.66337E-4</v>
      </c>
      <c r="Q367" s="13">
        <f t="shared" si="392"/>
        <v>4772.3056212545662</v>
      </c>
      <c r="R367" s="2">
        <f t="shared" si="350"/>
        <v>1558419.804626235</v>
      </c>
      <c r="S367">
        <f t="shared" si="398"/>
        <v>1248.3668549854385</v>
      </c>
      <c r="T367" s="6">
        <f t="shared" si="399"/>
        <v>2446.7990357714593</v>
      </c>
      <c r="V367" s="13">
        <f t="shared" si="393"/>
        <v>14048.918638176565</v>
      </c>
      <c r="W367">
        <f t="shared" si="394"/>
        <v>1560559.5750738389</v>
      </c>
      <c r="X367">
        <f t="shared" si="400"/>
        <v>1249.2235889038595</v>
      </c>
      <c r="Y367" s="6">
        <f t="shared" si="401"/>
        <v>2448.4782342515646</v>
      </c>
      <c r="Z367" s="14">
        <f t="shared" si="391"/>
        <v>8.8919554670152084E-2</v>
      </c>
    </row>
    <row r="368" spans="1:26" x14ac:dyDescent="0.3">
      <c r="A368" t="str">
        <f>'rockfish harvests'!A367</f>
        <v>SE</v>
      </c>
      <c r="B368">
        <f>'rockfish harvests'!B367</f>
        <v>2013</v>
      </c>
      <c r="C368" t="str">
        <f>'rockfish harvests'!C367</f>
        <v>SSEO</v>
      </c>
      <c r="D368">
        <f>'rockfish harvests'!D367</f>
        <v>15619</v>
      </c>
      <c r="E368">
        <v>11144</v>
      </c>
      <c r="F368">
        <f>IF([2]species_comp_Region1_forR!$G281&gt;49,[2]species_comp_Region1_forR!$AD281,[2]species_comp_Region1_forR!$AF281)</f>
        <v>0.98641087100000002</v>
      </c>
      <c r="G368">
        <f>IF([2]species_comp_Region1_forR!$G281&gt;49,[2]species_comp_Region1_forR!$AE281,[2]species_comp_Region1_forR!$AG281)</f>
        <v>5.3596399999999997E-6</v>
      </c>
      <c r="H368" s="7">
        <f t="shared" si="395"/>
        <v>10992.562746424001</v>
      </c>
      <c r="I368">
        <f t="shared" si="402"/>
        <v>665.60691701503993</v>
      </c>
      <c r="J368">
        <f t="shared" si="396"/>
        <v>25.799358848914054</v>
      </c>
      <c r="K368" s="6">
        <f t="shared" si="397"/>
        <v>50.566743343871543</v>
      </c>
      <c r="M368" s="2">
        <f>'rockfish harvests'!O367</f>
        <v>7064.6801916454569</v>
      </c>
      <c r="N368">
        <f>'rockfish harvests'!P367</f>
        <v>3429125.8906986257</v>
      </c>
      <c r="O368">
        <f>IF([2]species_comp_Region1_forR!$D303&gt;49,[2]species_comp_Region1_forR!$N303,[2]species_comp_Region1_forR!$P303)</f>
        <v>0.675789474</v>
      </c>
      <c r="P368">
        <f>IF([2]species_comp_Region1_forR!$D303&gt;49,[2]species_comp_Region1_forR!$O303,[2]species_comp_Region1_forR!$Q303)</f>
        <v>4.6223199999999997E-4</v>
      </c>
      <c r="Q368" s="13">
        <f t="shared" si="392"/>
        <v>4774.2365106903026</v>
      </c>
      <c r="R368" s="2">
        <f t="shared" si="350"/>
        <v>1590707.263997911</v>
      </c>
      <c r="S368">
        <f t="shared" si="398"/>
        <v>1261.232438529041</v>
      </c>
      <c r="T368" s="6">
        <f t="shared" si="399"/>
        <v>2472.0155795169203</v>
      </c>
      <c r="V368" s="13">
        <f t="shared" si="393"/>
        <v>15766.799257114304</v>
      </c>
      <c r="W368">
        <f t="shared" si="394"/>
        <v>1591372.8709149261</v>
      </c>
      <c r="X368">
        <f t="shared" si="400"/>
        <v>1261.4962825608825</v>
      </c>
      <c r="Y368" s="6">
        <f t="shared" si="401"/>
        <v>2472.5327138193297</v>
      </c>
      <c r="Z368" s="14">
        <f t="shared" si="391"/>
        <v>8.0009662201519394E-2</v>
      </c>
    </row>
    <row r="369" spans="1:26" x14ac:dyDescent="0.3">
      <c r="A369" t="str">
        <f>'rockfish harvests'!A368</f>
        <v>SE</v>
      </c>
      <c r="B369">
        <f>'rockfish harvests'!B368</f>
        <v>2014</v>
      </c>
      <c r="C369" t="str">
        <f>'rockfish harvests'!C368</f>
        <v>SSEO</v>
      </c>
      <c r="D369">
        <f>'rockfish harvests'!D368</f>
        <v>18453</v>
      </c>
      <c r="E369">
        <v>13323</v>
      </c>
      <c r="F369">
        <f>IF([2]species_comp_Region1_forR!$G282&gt;49,[2]species_comp_Region1_forR!$AD282,[2]species_comp_Region1_forR!$AF282)</f>
        <v>0.96467589200000003</v>
      </c>
      <c r="G369">
        <f>IF([2]species_comp_Region1_forR!$G282&gt;49,[2]species_comp_Region1_forR!$AE282,[2]species_comp_Region1_forR!$AG282)</f>
        <v>1.2414E-5</v>
      </c>
      <c r="H369" s="7">
        <f t="shared" si="395"/>
        <v>12852.376909116001</v>
      </c>
      <c r="I369">
        <f t="shared" si="402"/>
        <v>2203.513912206</v>
      </c>
      <c r="J369">
        <f t="shared" si="396"/>
        <v>46.941601082685708</v>
      </c>
      <c r="K369" s="6">
        <f t="shared" si="397"/>
        <v>92.005538122063982</v>
      </c>
      <c r="M369" s="2">
        <f>'rockfish harvests'!O368</f>
        <v>5969.0572591587515</v>
      </c>
      <c r="N369">
        <f>'rockfish harvests'!P368</f>
        <v>5648205.4842977012</v>
      </c>
      <c r="O369">
        <f>IF([2]species_comp_Region1_forR!$D304&gt;49,[2]species_comp_Region1_forR!$N304,[2]species_comp_Region1_forR!$P304)</f>
        <v>0.601941748</v>
      </c>
      <c r="P369">
        <f>IF([2]species_comp_Region1_forR!$D304&gt;49,[2]species_comp_Region1_forR!$O304,[2]species_comp_Region1_forR!$Q304)</f>
        <v>3.8834299999999998E-4</v>
      </c>
      <c r="Q369" s="13">
        <f t="shared" si="392"/>
        <v>3593.0247604901078</v>
      </c>
      <c r="R369" s="2">
        <f t="shared" si="350"/>
        <v>2062566.104422308</v>
      </c>
      <c r="S369">
        <f t="shared" si="398"/>
        <v>1436.1636760558692</v>
      </c>
      <c r="T369" s="6">
        <f t="shared" si="399"/>
        <v>2814.8808050695038</v>
      </c>
      <c r="V369" s="13">
        <f t="shared" si="393"/>
        <v>16445.401669606108</v>
      </c>
      <c r="W369">
        <f t="shared" si="394"/>
        <v>2064769.6183345141</v>
      </c>
      <c r="X369">
        <f t="shared" si="400"/>
        <v>1436.9306240506235</v>
      </c>
      <c r="Y369" s="6">
        <f t="shared" si="401"/>
        <v>2816.3840231392219</v>
      </c>
      <c r="Z369" s="14">
        <f t="shared" si="391"/>
        <v>8.7375830211937913E-2</v>
      </c>
    </row>
    <row r="370" spans="1:26" x14ac:dyDescent="0.3">
      <c r="A370" t="str">
        <f>'rockfish harvests'!A369</f>
        <v>SE</v>
      </c>
      <c r="B370">
        <f>'rockfish harvests'!B369</f>
        <v>2015</v>
      </c>
      <c r="C370" t="str">
        <f>'rockfish harvests'!C369</f>
        <v>SSEO</v>
      </c>
      <c r="D370">
        <f>'rockfish harvests'!D369</f>
        <v>17669</v>
      </c>
      <c r="E370">
        <v>12749</v>
      </c>
      <c r="F370">
        <f>IF([2]species_comp_Region1_forR!$G283&gt;49,[2]species_comp_Region1_forR!$AD283,[2]species_comp_Region1_forR!$AF283)</f>
        <v>0.98942172100000003</v>
      </c>
      <c r="G370">
        <f>IF([2]species_comp_Region1_forR!$G283&gt;49,[2]species_comp_Region1_forR!$AE283,[2]species_comp_Region1_forR!$AG283)</f>
        <v>3.6918399999999998E-6</v>
      </c>
      <c r="H370" s="7">
        <f t="shared" si="395"/>
        <v>12614.137521029001</v>
      </c>
      <c r="I370">
        <f t="shared" si="402"/>
        <v>600.06060177183997</v>
      </c>
      <c r="J370">
        <f t="shared" si="396"/>
        <v>24.496134425085113</v>
      </c>
      <c r="K370" s="6">
        <f t="shared" si="397"/>
        <v>48.01242347316682</v>
      </c>
      <c r="M370" s="2">
        <f>'rockfish harvests'!O369</f>
        <v>15546.524335519505</v>
      </c>
      <c r="N370">
        <f>'rockfish harvests'!P369</f>
        <v>23591989.047447968</v>
      </c>
      <c r="O370">
        <f>IF([2]species_comp_Region1_forR!$D305&gt;49,[2]species_comp_Region1_forR!$N305,[2]species_comp_Region1_forR!$P305)</f>
        <v>0.64264705899999996</v>
      </c>
      <c r="P370">
        <f>IF([2]species_comp_Region1_forR!$D305&gt;49,[2]species_comp_Region1_forR!$O305,[2]species_comp_Region1_forR!$Q305)</f>
        <v>3.3822099999999999E-4</v>
      </c>
      <c r="Q370" s="13">
        <f t="shared" si="392"/>
        <v>9990.9281418935389</v>
      </c>
      <c r="R370" s="2">
        <f t="shared" si="350"/>
        <v>9833104.6705118679</v>
      </c>
      <c r="S370">
        <f t="shared" si="398"/>
        <v>3135.778160283643</v>
      </c>
      <c r="T370" s="6">
        <f t="shared" si="399"/>
        <v>6146.1251941559403</v>
      </c>
      <c r="V370" s="13">
        <f t="shared" si="393"/>
        <v>22605.065662922541</v>
      </c>
      <c r="W370">
        <f t="shared" si="394"/>
        <v>9833704.7311136406</v>
      </c>
      <c r="X370">
        <f t="shared" si="400"/>
        <v>3135.8738385199172</v>
      </c>
      <c r="Y370" s="6">
        <f t="shared" si="401"/>
        <v>6146.3127234990379</v>
      </c>
      <c r="Z370" s="14">
        <f t="shared" si="391"/>
        <v>0.13872438528959749</v>
      </c>
    </row>
    <row r="371" spans="1:26" x14ac:dyDescent="0.3">
      <c r="A371" t="str">
        <f>'rockfish harvests'!A370</f>
        <v>SE</v>
      </c>
      <c r="B371">
        <f>'rockfish harvests'!B370</f>
        <v>2016</v>
      </c>
      <c r="C371" t="str">
        <f>'rockfish harvests'!C370</f>
        <v>SSEO</v>
      </c>
      <c r="D371">
        <f>'rockfish harvests'!D370</f>
        <v>17707</v>
      </c>
      <c r="E371">
        <v>13558</v>
      </c>
      <c r="F371">
        <f>IF([2]species_comp_Region1_forR!$G284&gt;49,[2]species_comp_Region1_forR!$AD284,[2]species_comp_Region1_forR!$AF284)</f>
        <v>0.99331783799999995</v>
      </c>
      <c r="G371">
        <f>IF([2]species_comp_Region1_forR!$G284&gt;49,[2]species_comp_Region1_forR!$AE284,[2]species_comp_Region1_forR!$AG284)</f>
        <v>1.92895E-6</v>
      </c>
      <c r="H371" s="7">
        <f t="shared" si="395"/>
        <v>13467.403247603999</v>
      </c>
      <c r="I371">
        <f t="shared" si="402"/>
        <v>354.5783621878</v>
      </c>
      <c r="J371">
        <f t="shared" si="396"/>
        <v>18.83025125131898</v>
      </c>
      <c r="K371" s="6">
        <f t="shared" si="397"/>
        <v>36.907292452585203</v>
      </c>
      <c r="M371" s="2">
        <f>'rockfish harvests'!O370</f>
        <v>9530.7617028217246</v>
      </c>
      <c r="N371">
        <f>'rockfish harvests'!P370</f>
        <v>11849070.145310419</v>
      </c>
      <c r="O371">
        <f>IF([2]species_comp_Region1_forR!$D306&gt;49,[2]species_comp_Region1_forR!$N306,[2]species_comp_Region1_forR!$P306)</f>
        <v>0.62983425400000004</v>
      </c>
      <c r="P371">
        <f>IF([2]species_comp_Region1_forR!$D306&gt;49,[2]species_comp_Region1_forR!$O306,[2]species_comp_Region1_forR!$Q306)</f>
        <v>6.4582599999999995E-4</v>
      </c>
      <c r="Q371" s="13">
        <f t="shared" si="392"/>
        <v>6002.8001871484912</v>
      </c>
      <c r="R371" s="2">
        <f t="shared" si="350"/>
        <v>4766738.0195047157</v>
      </c>
      <c r="S371">
        <f t="shared" si="398"/>
        <v>2183.2860599345922</v>
      </c>
      <c r="T371" s="6">
        <f t="shared" si="399"/>
        <v>4279.2406774718011</v>
      </c>
      <c r="V371" s="13">
        <f t="shared" si="393"/>
        <v>19470.20343475249</v>
      </c>
      <c r="W371">
        <f t="shared" si="394"/>
        <v>4767092.5978669031</v>
      </c>
      <c r="X371">
        <f t="shared" si="400"/>
        <v>2183.3672613344056</v>
      </c>
      <c r="Y371" s="6">
        <f t="shared" si="401"/>
        <v>4279.3998322154348</v>
      </c>
      <c r="Z371" s="14">
        <f t="shared" si="391"/>
        <v>0.1121389033582104</v>
      </c>
    </row>
    <row r="372" spans="1:26" x14ac:dyDescent="0.3">
      <c r="A372" t="str">
        <f>'rockfish harvests'!A371</f>
        <v>SE</v>
      </c>
      <c r="B372">
        <f>'rockfish harvests'!B371</f>
        <v>2017</v>
      </c>
      <c r="C372" t="str">
        <f>'rockfish harvests'!C371</f>
        <v>SSEO</v>
      </c>
      <c r="D372">
        <f>'rockfish harvests'!D371</f>
        <v>20760</v>
      </c>
      <c r="E372">
        <v>16390</v>
      </c>
      <c r="F372">
        <f>IF([2]species_comp_Region1_forR!$G285&gt;49,[2]species_comp_Region1_forR!$AD285,[2]species_comp_Region1_forR!$AF285)</f>
        <v>0.98767658599999997</v>
      </c>
      <c r="G372">
        <f>IF([2]species_comp_Region1_forR!$G285&gt;49,[2]species_comp_Region1_forR!$AE285,[2]species_comp_Region1_forR!$AG285)</f>
        <v>3.65952E-6</v>
      </c>
      <c r="H372" s="7">
        <f t="shared" si="395"/>
        <v>16188.019244539999</v>
      </c>
      <c r="I372">
        <f t="shared" si="402"/>
        <v>983.06454259199995</v>
      </c>
      <c r="J372">
        <f t="shared" si="396"/>
        <v>31.353860090776703</v>
      </c>
      <c r="K372" s="6">
        <f t="shared" si="397"/>
        <v>61.453565777922336</v>
      </c>
      <c r="M372" s="2">
        <f>'rockfish harvests'!O371</f>
        <v>7420.2213327054378</v>
      </c>
      <c r="N372">
        <f>'rockfish harvests'!P371</f>
        <v>9465736.8938175309</v>
      </c>
      <c r="O372">
        <f>IF([2]species_comp_Region1_forR!$D307&gt;49,[2]species_comp_Region1_forR!$N307,[2]species_comp_Region1_forR!$P307)</f>
        <v>0.66756756799999994</v>
      </c>
      <c r="P372">
        <f>IF([2]species_comp_Region1_forR!$D307&gt;49,[2]species_comp_Region1_forR!$O307,[2]species_comp_Region1_forR!$Q307)</f>
        <v>6.0141199999999995E-4</v>
      </c>
      <c r="Q372" s="13">
        <f t="shared" si="392"/>
        <v>4953.4991090958874</v>
      </c>
      <c r="R372" s="2">
        <f t="shared" si="350"/>
        <v>4257178.4804339074</v>
      </c>
      <c r="S372">
        <f t="shared" si="398"/>
        <v>2063.2931154913272</v>
      </c>
      <c r="T372" s="6">
        <f t="shared" si="399"/>
        <v>4044.0545063630011</v>
      </c>
      <c r="V372" s="13">
        <f t="shared" si="393"/>
        <v>21141.518353635885</v>
      </c>
      <c r="W372">
        <f t="shared" si="394"/>
        <v>4258161.5449764989</v>
      </c>
      <c r="X372">
        <f t="shared" si="400"/>
        <v>2063.5313288090633</v>
      </c>
      <c r="Y372" s="6">
        <f t="shared" si="401"/>
        <v>4044.5214044657641</v>
      </c>
      <c r="Z372" s="14">
        <f t="shared" si="391"/>
        <v>9.7605635238312033E-2</v>
      </c>
    </row>
    <row r="373" spans="1:26" x14ac:dyDescent="0.3">
      <c r="A373" t="str">
        <f>'rockfish harvests'!A372</f>
        <v>SE</v>
      </c>
      <c r="B373">
        <f>'rockfish harvests'!B372</f>
        <v>2018</v>
      </c>
      <c r="C373" t="str">
        <f>'rockfish harvests'!C372</f>
        <v>SSEO</v>
      </c>
      <c r="D373">
        <f>'rockfish harvests'!D372</f>
        <v>26949</v>
      </c>
      <c r="E373">
        <v>22414</v>
      </c>
      <c r="F373">
        <f>IF([2]species_comp_Region1_forR!$G286&gt;49,[2]species_comp_Region1_forR!$AD286,[2]species_comp_Region1_forR!$AF286)</f>
        <v>0.99505222599999998</v>
      </c>
      <c r="G373">
        <f>IF([2]species_comp_Region1_forR!$G286&gt;49,[2]species_comp_Region1_forR!$AE286,[2]species_comp_Region1_forR!$AG286)</f>
        <v>1.3536700000000001E-6</v>
      </c>
      <c r="H373" s="7">
        <f t="shared" si="395"/>
        <v>22303.100593563999</v>
      </c>
      <c r="I373">
        <f t="shared" si="402"/>
        <v>680.06674634332001</v>
      </c>
      <c r="J373">
        <f t="shared" si="396"/>
        <v>26.078089392118436</v>
      </c>
      <c r="K373" s="6">
        <f t="shared" si="397"/>
        <v>51.113055208552133</v>
      </c>
      <c r="M373" s="2">
        <f>'rockfish harvests'!O372</f>
        <v>12867.635899450121</v>
      </c>
      <c r="N373">
        <f>'rockfish harvests'!P372</f>
        <v>12734528.822682161</v>
      </c>
      <c r="O373">
        <f>IF([2]species_comp_Region1_forR!$D308&gt;49,[2]species_comp_Region1_forR!$N308,[2]species_comp_Region1_forR!$P308)</f>
        <v>0.70486656199999997</v>
      </c>
      <c r="P373">
        <f>IF([2]species_comp_Region1_forR!$D308&gt;49,[2]species_comp_Region1_forR!$O308,[2]species_comp_Region1_forR!$Q308)</f>
        <v>3.27091E-4</v>
      </c>
      <c r="Q373" s="13">
        <f t="shared" si="392"/>
        <v>9069.9662775131837</v>
      </c>
      <c r="R373" s="2">
        <f t="shared" si="350"/>
        <v>6385307.2307889396</v>
      </c>
      <c r="S373">
        <f t="shared" si="398"/>
        <v>2526.9165460673489</v>
      </c>
      <c r="T373" s="6">
        <f t="shared" si="399"/>
        <v>4952.7564302920036</v>
      </c>
      <c r="V373" s="13">
        <f t="shared" si="393"/>
        <v>31373.066871077182</v>
      </c>
      <c r="W373">
        <f t="shared" si="394"/>
        <v>6385987.2975352826</v>
      </c>
      <c r="X373">
        <f t="shared" si="400"/>
        <v>2527.0511070287603</v>
      </c>
      <c r="Y373" s="6">
        <f t="shared" si="401"/>
        <v>4953.0201697763705</v>
      </c>
      <c r="Z373" s="14">
        <f t="shared" si="391"/>
        <v>8.0548424462717982E-2</v>
      </c>
    </row>
    <row r="374" spans="1:26" x14ac:dyDescent="0.3">
      <c r="A374" t="str">
        <f>'rockfish harvests'!A373</f>
        <v>SE</v>
      </c>
      <c r="B374">
        <f>'rockfish harvests'!B373</f>
        <v>2019</v>
      </c>
      <c r="C374" t="str">
        <f>'rockfish harvests'!C373</f>
        <v>SSEO</v>
      </c>
      <c r="D374">
        <f>'rockfish harvests'!D373</f>
        <v>22912</v>
      </c>
      <c r="E374">
        <v>19342</v>
      </c>
      <c r="F374">
        <v>0.98103975535168197</v>
      </c>
      <c r="G374">
        <v>5.6900439801755743E-6</v>
      </c>
      <c r="H374" s="7">
        <f>E374*F374</f>
        <v>18975.270948012232</v>
      </c>
      <c r="I374">
        <f>(E374^2)*G374</f>
        <v>2128.7192187138412</v>
      </c>
      <c r="J374">
        <f>SQRT(I374)</f>
        <v>46.13804524157738</v>
      </c>
      <c r="K374" s="6">
        <f>(1.96*J374)</f>
        <v>90.430568673491663</v>
      </c>
      <c r="M374" s="2">
        <f>'rockfish harvests'!O373</f>
        <v>16359.985999299963</v>
      </c>
      <c r="N374">
        <f>'rockfish harvests'!P373</f>
        <v>28189042.115738388</v>
      </c>
      <c r="O374">
        <v>0.57831325301204817</v>
      </c>
      <c r="P374">
        <v>4.9067813763112864E-4</v>
      </c>
      <c r="Q374" s="13">
        <f>M374*O374</f>
        <v>9461.1967224867258</v>
      </c>
      <c r="R374" s="2">
        <f t="shared" si="350"/>
        <v>9572879.8710008692</v>
      </c>
      <c r="S374">
        <f>SQRT(R374)</f>
        <v>3094.0070896817397</v>
      </c>
      <c r="T374" s="6">
        <f>(1.96*S374)</f>
        <v>6064.2538957762099</v>
      </c>
      <c r="V374" s="13">
        <f>Q374+H374</f>
        <v>28436.467670498958</v>
      </c>
      <c r="W374">
        <f>R374+I374</f>
        <v>9575008.5902195834</v>
      </c>
      <c r="X374">
        <f>SQRT(W374)</f>
        <v>3094.3510774021074</v>
      </c>
      <c r="Y374" s="6">
        <f>(1.96*X374)</f>
        <v>6064.92811170813</v>
      </c>
      <c r="Z374" s="14">
        <f t="shared" si="391"/>
        <v>0.10881629579514553</v>
      </c>
    </row>
    <row r="375" spans="1:26" x14ac:dyDescent="0.3">
      <c r="A375" t="str">
        <f>'rockfish harvests'!A374</f>
        <v>SE</v>
      </c>
      <c r="B375">
        <f>'rockfish harvests'!B374</f>
        <v>2020</v>
      </c>
      <c r="C375" t="str">
        <f>'rockfish harvests'!C374</f>
        <v>SSEO</v>
      </c>
      <c r="D375">
        <f>'rockfish harvests'!D374</f>
        <v>12619</v>
      </c>
      <c r="E375">
        <v>12449</v>
      </c>
      <c r="F375" t="s">
        <v>317</v>
      </c>
      <c r="G375" t="s">
        <v>318</v>
      </c>
      <c r="H375" s="7">
        <f t="shared" ref="H375:H376" si="403">E375*F375</f>
        <v>12355.865336658349</v>
      </c>
      <c r="I375">
        <f t="shared" ref="I375:I376" si="404">(E375^2)*G375</f>
        <v>935.57671416616631</v>
      </c>
      <c r="J375">
        <f t="shared" ref="J375:J376" si="405">SQRT(I375)</f>
        <v>30.587198534128071</v>
      </c>
      <c r="K375" s="6">
        <f t="shared" ref="K375:K376" si="406">(1.96*J375)</f>
        <v>59.95090912689102</v>
      </c>
      <c r="M375" s="2">
        <f>'rockfish harvests'!O374</f>
        <v>2769.6225355790575</v>
      </c>
      <c r="N375">
        <f>'rockfish harvests'!P374</f>
        <v>1279455.8924929332</v>
      </c>
      <c r="O375">
        <v>0.95959595959595956</v>
      </c>
      <c r="P375">
        <v>1.9680991839121374E-4</v>
      </c>
      <c r="Q375" s="13">
        <f t="shared" ref="Q375:Q376" si="407">M375*O375</f>
        <v>2657.7185947475805</v>
      </c>
      <c r="R375" s="2">
        <f t="shared" si="350"/>
        <v>1179915.712690505</v>
      </c>
      <c r="S375">
        <f t="shared" ref="S375:S376" si="408">SQRT(R375)</f>
        <v>1086.2392520483252</v>
      </c>
      <c r="T375" s="6">
        <f t="shared" ref="T375:T376" si="409">(1.96*S375)</f>
        <v>2129.0289340147174</v>
      </c>
      <c r="V375" s="13">
        <f t="shared" ref="V375:V376" si="410">Q375+H375</f>
        <v>15013.58393140593</v>
      </c>
      <c r="W375">
        <f t="shared" ref="W375:W376" si="411">R375+I375</f>
        <v>1180851.2894046712</v>
      </c>
      <c r="X375">
        <f t="shared" ref="X375:X376" si="412">SQRT(W375)</f>
        <v>1086.6698161836791</v>
      </c>
      <c r="Y375" s="6">
        <f t="shared" ref="Y375:Y376" si="413">(1.96*X375)</f>
        <v>2129.8728397200111</v>
      </c>
      <c r="Z375" s="14">
        <f t="shared" ref="Z375:Z376" si="414">X375/V375</f>
        <v>7.2379108222823854E-2</v>
      </c>
    </row>
    <row r="376" spans="1:26" x14ac:dyDescent="0.3">
      <c r="A376" t="str">
        <f>'rockfish harvests'!A375</f>
        <v>SE</v>
      </c>
      <c r="B376">
        <f>'rockfish harvests'!B375</f>
        <v>2021</v>
      </c>
      <c r="C376" t="str">
        <f>'rockfish harvests'!C375</f>
        <v>SSEO</v>
      </c>
      <c r="D376">
        <f>'rockfish harvests'!D375</f>
        <v>29399</v>
      </c>
      <c r="E376">
        <v>29038</v>
      </c>
      <c r="F376" t="s">
        <v>319</v>
      </c>
      <c r="G376" t="s">
        <v>320</v>
      </c>
      <c r="H376" s="7">
        <f t="shared" si="403"/>
        <v>28499.784642541934</v>
      </c>
      <c r="I376">
        <f t="shared" si="404"/>
        <v>4424.292408094575</v>
      </c>
      <c r="J376">
        <f t="shared" si="405"/>
        <v>66.515354679160922</v>
      </c>
      <c r="K376" s="6">
        <f t="shared" si="406"/>
        <v>130.37009517115541</v>
      </c>
      <c r="M376" s="2">
        <f>'rockfish harvests'!O375</f>
        <v>1670.0870000715477</v>
      </c>
      <c r="N376">
        <f>'rockfish harvests'!P375</f>
        <v>492653.23167840909</v>
      </c>
      <c r="O376">
        <v>0.94152046783625731</v>
      </c>
      <c r="P376">
        <v>3.2388044989207333E-4</v>
      </c>
      <c r="Q376" s="13">
        <f t="shared" si="407"/>
        <v>1572.4210936346151</v>
      </c>
      <c r="R376" s="2">
        <f t="shared" si="350"/>
        <v>437780.69866977679</v>
      </c>
      <c r="S376">
        <f t="shared" si="408"/>
        <v>661.64998199182082</v>
      </c>
      <c r="T376" s="6">
        <f t="shared" si="409"/>
        <v>1296.8339647039688</v>
      </c>
      <c r="V376" s="13">
        <f t="shared" si="410"/>
        <v>30072.205736176547</v>
      </c>
      <c r="W376">
        <f t="shared" si="411"/>
        <v>442204.99107787135</v>
      </c>
      <c r="X376">
        <f t="shared" si="412"/>
        <v>664.98495552747011</v>
      </c>
      <c r="Y376" s="6">
        <f t="shared" si="413"/>
        <v>1303.3705128338413</v>
      </c>
      <c r="Z376" s="14">
        <f t="shared" si="414"/>
        <v>2.2112942474568808E-2</v>
      </c>
    </row>
    <row r="377" spans="1:26" s="51" customFormat="1" x14ac:dyDescent="0.3">
      <c r="A377" s="51" t="s">
        <v>151</v>
      </c>
      <c r="B377" s="51">
        <v>2022</v>
      </c>
      <c r="C377" s="51" t="s">
        <v>40</v>
      </c>
      <c r="D377">
        <f>'rockfish harvests'!D376</f>
        <v>38456</v>
      </c>
      <c r="E377" s="51">
        <v>37538</v>
      </c>
      <c r="F377" t="s">
        <v>201</v>
      </c>
      <c r="G377" t="s">
        <v>321</v>
      </c>
      <c r="H377" s="7">
        <f t="shared" ref="H377" si="415">E377*F377</f>
        <v>37419.295548528353</v>
      </c>
      <c r="I377">
        <f t="shared" ref="I377" si="416">(E377^2)*G377</f>
        <v>1045.630167736361</v>
      </c>
      <c r="J377">
        <f t="shared" ref="J377" si="417">SQRT(I377)</f>
        <v>32.336205215460289</v>
      </c>
      <c r="K377" s="6">
        <f t="shared" ref="K377" si="418">(1.96*J377)</f>
        <v>63.378962222302164</v>
      </c>
      <c r="L377"/>
      <c r="M377" s="2">
        <f>'rockfish harvests'!O376</f>
        <v>6059.5121025154294</v>
      </c>
      <c r="N377">
        <f>'rockfish harvests'!P376</f>
        <v>7024339.3858510992</v>
      </c>
      <c r="O377" t="s">
        <v>202</v>
      </c>
      <c r="P377" t="s">
        <v>203</v>
      </c>
      <c r="Q377" s="13">
        <f t="shared" ref="Q377" si="419">M377*O377</f>
        <v>5492.3656495706382</v>
      </c>
      <c r="R377" s="2">
        <f t="shared" si="350"/>
        <v>5789343.9410088575</v>
      </c>
      <c r="S377">
        <f t="shared" ref="S377" si="420">SQRT(R377)</f>
        <v>2406.1055548352106</v>
      </c>
      <c r="T377" s="6">
        <f t="shared" ref="T377" si="421">(1.96*S377)</f>
        <v>4715.9668874770123</v>
      </c>
      <c r="U377"/>
      <c r="V377" s="13">
        <f t="shared" ref="V377" si="422">Q377+H377</f>
        <v>42911.661198098991</v>
      </c>
      <c r="W377">
        <f t="shared" ref="W377" si="423">R377+I377</f>
        <v>5790389.5711765941</v>
      </c>
      <c r="X377">
        <f t="shared" ref="X377" si="424">SQRT(W377)</f>
        <v>2406.3228318695301</v>
      </c>
      <c r="Y377" s="6">
        <f t="shared" ref="Y377" si="425">(1.96*X377)</f>
        <v>4716.3927504642788</v>
      </c>
      <c r="Z377" s="14">
        <f t="shared" ref="Z377" si="426">X377/V377</f>
        <v>5.6076198513054336E-2</v>
      </c>
    </row>
  </sheetData>
  <mergeCells count="6">
    <mergeCell ref="V1:Y1"/>
    <mergeCell ref="D1:K1"/>
    <mergeCell ref="A1:A2"/>
    <mergeCell ref="B1:B2"/>
    <mergeCell ref="C1:C2"/>
    <mergeCell ref="M1:R1"/>
  </mergeCells>
  <conditionalFormatting sqref="F78:F102">
    <cfRule type="cellIs" dxfId="1" priority="2" operator="equal">
      <formula>0.44819</formula>
    </cfRule>
  </conditionalFormatting>
  <conditionalFormatting sqref="F78:G102">
    <cfRule type="cellIs" dxfId="0" priority="1" operator="equal">
      <formula>0.448187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8172C-E3B2-4725-B72E-06327F54019F}">
  <dimension ref="A1:AN90"/>
  <sheetViews>
    <sheetView topLeftCell="A58" zoomScale="77" zoomScaleNormal="77" workbookViewId="0">
      <selection activeCell="Z86" sqref="Z86:Z87"/>
    </sheetView>
  </sheetViews>
  <sheetFormatPr defaultRowHeight="14.4" x14ac:dyDescent="0.3"/>
  <sheetData>
    <row r="1" spans="1:32" x14ac:dyDescent="0.3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</row>
    <row r="2" spans="1:32" x14ac:dyDescent="0.3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</row>
    <row r="3" spans="1:32" x14ac:dyDescent="0.3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</row>
    <row r="4" spans="1:32" x14ac:dyDescent="0.3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</row>
    <row r="5" spans="1:32" x14ac:dyDescent="0.3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</row>
    <row r="6" spans="1:32" x14ac:dyDescent="0.3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</row>
    <row r="7" spans="1:32" x14ac:dyDescent="0.3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</row>
    <row r="8" spans="1:32" x14ac:dyDescent="0.3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</row>
    <row r="9" spans="1:32" x14ac:dyDescent="0.3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</row>
    <row r="10" spans="1:32" x14ac:dyDescent="0.3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</row>
    <row r="11" spans="1:32" x14ac:dyDescent="0.3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</row>
    <row r="12" spans="1:32" x14ac:dyDescent="0.3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</row>
    <row r="13" spans="1:32" x14ac:dyDescent="0.3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</row>
    <row r="14" spans="1:32" x14ac:dyDescent="0.3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</row>
    <row r="15" spans="1:32" x14ac:dyDescent="0.3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</row>
    <row r="16" spans="1:32" x14ac:dyDescent="0.3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</row>
    <row r="17" spans="1:32" x14ac:dyDescent="0.3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</row>
    <row r="18" spans="1:32" x14ac:dyDescent="0.3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</row>
    <row r="19" spans="1:32" x14ac:dyDescent="0.3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</row>
    <row r="20" spans="1:32" x14ac:dyDescent="0.3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</row>
    <row r="21" spans="1:32" x14ac:dyDescent="0.3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</row>
    <row r="22" spans="1:32" x14ac:dyDescent="0.3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</row>
    <row r="23" spans="1:32" x14ac:dyDescent="0.3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</row>
    <row r="24" spans="1:32" x14ac:dyDescent="0.3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</row>
    <row r="25" spans="1:32" x14ac:dyDescent="0.3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</row>
    <row r="26" spans="1:32" x14ac:dyDescent="0.3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</row>
    <row r="27" spans="1:32" x14ac:dyDescent="0.3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</row>
    <row r="28" spans="1:32" x14ac:dyDescent="0.3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</row>
    <row r="29" spans="1:32" x14ac:dyDescent="0.3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</row>
    <row r="30" spans="1:32" x14ac:dyDescent="0.3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</row>
    <row r="31" spans="1:32" x14ac:dyDescent="0.3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</row>
    <row r="32" spans="1:32" x14ac:dyDescent="0.3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</row>
    <row r="33" spans="1:40" x14ac:dyDescent="0.3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</row>
    <row r="34" spans="1:40" x14ac:dyDescent="0.3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</row>
    <row r="36" spans="1:40" x14ac:dyDescent="0.3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3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3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3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3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3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3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0" x14ac:dyDescent="0.3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</row>
    <row r="50" spans="1:40" x14ac:dyDescent="0.3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</row>
    <row r="51" spans="1:40" x14ac:dyDescent="0.3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</row>
    <row r="52" spans="1:40" x14ac:dyDescent="0.3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</row>
    <row r="53" spans="1:40" x14ac:dyDescent="0.3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</row>
    <row r="54" spans="1:40" x14ac:dyDescent="0.3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</row>
    <row r="56" spans="1:40" x14ac:dyDescent="0.3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</row>
    <row r="57" spans="1:40" x14ac:dyDescent="0.3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</row>
    <row r="58" spans="1:40" x14ac:dyDescent="0.3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</row>
    <row r="59" spans="1:40" x14ac:dyDescent="0.3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</row>
    <row r="60" spans="1:40" x14ac:dyDescent="0.3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</row>
    <row r="61" spans="1:40" x14ac:dyDescent="0.3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</row>
    <row r="62" spans="1:40" x14ac:dyDescent="0.3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</row>
    <row r="63" spans="1:40" x14ac:dyDescent="0.3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</row>
    <row r="64" spans="1:40" x14ac:dyDescent="0.3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</row>
    <row r="65" spans="1:32" x14ac:dyDescent="0.3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</row>
    <row r="66" spans="1:32" x14ac:dyDescent="0.3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</row>
    <row r="67" spans="1:32" x14ac:dyDescent="0.3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</row>
    <row r="68" spans="1:32" x14ac:dyDescent="0.3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</row>
    <row r="69" spans="1:32" x14ac:dyDescent="0.3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</row>
    <row r="70" spans="1:32" x14ac:dyDescent="0.3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</row>
    <row r="71" spans="1:32" x14ac:dyDescent="0.3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</row>
    <row r="72" spans="1:32" x14ac:dyDescent="0.3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</row>
    <row r="73" spans="1:32" x14ac:dyDescent="0.3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3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5" spans="1:32" x14ac:dyDescent="0.3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</row>
    <row r="76" spans="1:32" x14ac:dyDescent="0.3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</row>
    <row r="77" spans="1:32" x14ac:dyDescent="0.3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</row>
    <row r="78" spans="1:32" x14ac:dyDescent="0.3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</row>
    <row r="79" spans="1:32" x14ac:dyDescent="0.3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</row>
    <row r="80" spans="1:32" x14ac:dyDescent="0.3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</row>
    <row r="81" spans="1:32" x14ac:dyDescent="0.3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</row>
    <row r="82" spans="1:32" x14ac:dyDescent="0.3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</row>
    <row r="83" spans="1:32" x14ac:dyDescent="0.3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</row>
    <row r="84" spans="1:32" x14ac:dyDescent="0.3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</row>
    <row r="85" spans="1:32" x14ac:dyDescent="0.3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</row>
    <row r="86" spans="1:32" x14ac:dyDescent="0.3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</row>
    <row r="87" spans="1:32" x14ac:dyDescent="0.3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</row>
    <row r="88" spans="1:32" x14ac:dyDescent="0.3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</row>
    <row r="89" spans="1:32" x14ac:dyDescent="0.3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</row>
    <row r="90" spans="1:32" x14ac:dyDescent="0.3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47F83-1005-4FCE-8C54-E1222D7E9FB7}">
  <sheetPr>
    <tabColor theme="9"/>
  </sheetPr>
  <dimension ref="A1:AG377"/>
  <sheetViews>
    <sheetView zoomScale="80" zoomScaleNormal="80" workbookViewId="0">
      <pane ySplit="2" topLeftCell="A353" activePane="bottomLeft" state="frozen"/>
      <selection pane="bottomLeft" activeCell="U128" sqref="U128:U377"/>
    </sheetView>
  </sheetViews>
  <sheetFormatPr defaultRowHeight="14.4" x14ac:dyDescent="0.3"/>
  <cols>
    <col min="3" max="3" width="14.88671875" customWidth="1"/>
    <col min="4" max="4" width="14" customWidth="1"/>
    <col min="8" max="8" width="12" bestFit="1" customWidth="1"/>
    <col min="9" max="9" width="9.5546875" style="13" bestFit="1" customWidth="1"/>
    <col min="10" max="10" width="11.5546875" customWidth="1"/>
    <col min="11" max="11" width="9.109375" hidden="1" customWidth="1"/>
    <col min="12" max="12" width="12.88671875" customWidth="1"/>
    <col min="13" max="13" width="1.6640625" customWidth="1"/>
    <col min="17" max="17" width="12.33203125" bestFit="1" customWidth="1"/>
    <col min="20" max="20" width="10.5546875" style="13" bestFit="1" customWidth="1"/>
    <col min="21" max="21" width="11.5546875" bestFit="1" customWidth="1"/>
    <col min="22" max="22" width="0.109375" style="4" customWidth="1"/>
    <col min="23" max="23" width="9.109375" style="4"/>
    <col min="24" max="24" width="14.5546875" customWidth="1"/>
    <col min="25" max="25" width="10.5546875" style="13" bestFit="1" customWidth="1"/>
    <col min="26" max="27" width="11.88671875" bestFit="1" customWidth="1"/>
    <col min="28" max="28" width="8.5546875" bestFit="1" customWidth="1"/>
  </cols>
  <sheetData>
    <row r="1" spans="1:33" x14ac:dyDescent="0.3">
      <c r="A1" s="110" t="str">
        <f>'rockfish harvests'!A1</f>
        <v>Region</v>
      </c>
      <c r="B1" s="110" t="str">
        <f>'rockfish harvests'!B1</f>
        <v>year</v>
      </c>
      <c r="C1" s="110" t="str">
        <f>'rockfish harvests'!C1</f>
        <v>RptArea</v>
      </c>
      <c r="D1" s="109" t="s">
        <v>16</v>
      </c>
      <c r="E1" s="109"/>
      <c r="F1" s="109"/>
      <c r="G1" s="109"/>
      <c r="H1" s="109"/>
      <c r="I1" s="109"/>
      <c r="J1" s="109"/>
      <c r="K1" s="109"/>
      <c r="L1" s="109"/>
      <c r="N1" s="109" t="s">
        <v>17</v>
      </c>
      <c r="O1" s="109"/>
      <c r="P1" s="109"/>
      <c r="Q1" s="109"/>
      <c r="R1" s="109"/>
      <c r="S1" s="109"/>
      <c r="T1" s="109"/>
      <c r="U1" s="109"/>
      <c r="V1" s="9"/>
      <c r="W1" s="9"/>
      <c r="Y1" s="109" t="s">
        <v>29</v>
      </c>
      <c r="Z1" s="109"/>
      <c r="AA1" s="109"/>
      <c r="AB1" s="109"/>
    </row>
    <row r="2" spans="1:33" s="3" customFormat="1" ht="101.25" customHeight="1" x14ac:dyDescent="0.35">
      <c r="A2" s="110"/>
      <c r="B2" s="110"/>
      <c r="C2" s="110"/>
      <c r="D2" s="3" t="s">
        <v>14</v>
      </c>
      <c r="E2" s="3" t="s">
        <v>78</v>
      </c>
      <c r="F2" s="3" t="s">
        <v>79</v>
      </c>
      <c r="G2" s="3" t="s">
        <v>117</v>
      </c>
      <c r="H2" s="3" t="s">
        <v>118</v>
      </c>
      <c r="I2" s="8" t="s">
        <v>77</v>
      </c>
      <c r="J2" s="3" t="s">
        <v>120</v>
      </c>
      <c r="K2" s="3" t="s">
        <v>18</v>
      </c>
      <c r="L2" s="3" t="s">
        <v>24</v>
      </c>
      <c r="N2" s="3" t="s">
        <v>5</v>
      </c>
      <c r="O2" s="3" t="s">
        <v>8</v>
      </c>
      <c r="P2" s="3" t="s">
        <v>124</v>
      </c>
      <c r="Q2" s="3" t="s">
        <v>125</v>
      </c>
      <c r="R2" s="3" t="s">
        <v>128</v>
      </c>
      <c r="S2" s="3" t="s">
        <v>129</v>
      </c>
      <c r="T2" s="15" t="s">
        <v>121</v>
      </c>
      <c r="U2" s="3" t="s">
        <v>122</v>
      </c>
      <c r="V2" s="3" t="s">
        <v>25</v>
      </c>
      <c r="W2" s="3" t="s">
        <v>26</v>
      </c>
      <c r="Y2" s="12" t="s">
        <v>131</v>
      </c>
      <c r="Z2" s="3" t="s">
        <v>132</v>
      </c>
      <c r="AA2" s="3" t="s">
        <v>27</v>
      </c>
      <c r="AB2" s="3" t="s">
        <v>28</v>
      </c>
    </row>
    <row r="3" spans="1:33" x14ac:dyDescent="0.3">
      <c r="A3" t="str">
        <f>'rockfish harvests'!A2</f>
        <v>SC</v>
      </c>
      <c r="B3">
        <f>'rockfish harvests'!B2</f>
        <v>1998</v>
      </c>
      <c r="C3" t="str">
        <f>'rockfish harvests'!C2</f>
        <v>AFOGNAK</v>
      </c>
      <c r="D3">
        <f>'rockfish harvests'!D2</f>
        <v>416</v>
      </c>
      <c r="E3">
        <v>87</v>
      </c>
      <c r="F3" t="s">
        <v>159</v>
      </c>
      <c r="G3" s="38">
        <v>0.7337452100887365</v>
      </c>
      <c r="H3" s="39">
        <v>1.9214600651849493E-2</v>
      </c>
      <c r="I3" s="13">
        <f t="shared" ref="I3:I10" si="0">E3*G3</f>
        <v>63.835833277720077</v>
      </c>
      <c r="J3">
        <f>(E3^2)*H3</f>
        <v>145.4353123338488</v>
      </c>
      <c r="K3">
        <f>SQRT(J3)</f>
        <v>12.059656393689201</v>
      </c>
      <c r="L3" s="6">
        <f>(1.96*K3)</f>
        <v>23.636926531630834</v>
      </c>
      <c r="N3" s="2">
        <f>'rockfish harvests'!O2</f>
        <v>113.5015960846614</v>
      </c>
      <c r="O3">
        <f>'rockfish harvests'!P2</f>
        <v>3943.5752117924521</v>
      </c>
      <c r="R3" s="38">
        <v>0.12347413795074771</v>
      </c>
      <c r="S3" s="39">
        <v>1.095027420221434E-3</v>
      </c>
      <c r="T3" s="13">
        <f t="shared" ref="T3:T22" si="1">R3*N3</f>
        <v>14.014511732587529</v>
      </c>
      <c r="U3" s="14">
        <f>(N3^2)*S3+(R3^2)*O3+(S3*O3)</f>
        <v>78.548343112697964</v>
      </c>
      <c r="V3">
        <f>SQRT(U3)</f>
        <v>8.8627503131193972</v>
      </c>
      <c r="W3" s="6">
        <f>(1.96*V3)</f>
        <v>17.370990613714017</v>
      </c>
      <c r="Y3" s="13">
        <f t="shared" ref="Y3:Y53" si="2">T3+I3</f>
        <v>77.850345010307606</v>
      </c>
      <c r="Z3">
        <f t="shared" ref="Z3:Z53" si="3">U3+J3</f>
        <v>223.98365544654678</v>
      </c>
      <c r="AA3">
        <f>SQRT(Z3)</f>
        <v>14.966083503928033</v>
      </c>
      <c r="AB3" s="6">
        <f>(1.96*AA3)</f>
        <v>29.333523667698945</v>
      </c>
      <c r="AC3" s="14">
        <f>AA3/Y3</f>
        <v>0.19224171070720986</v>
      </c>
      <c r="AF3" s="32"/>
      <c r="AG3" t="s">
        <v>84</v>
      </c>
    </row>
    <row r="4" spans="1:33" x14ac:dyDescent="0.3">
      <c r="A4" t="str">
        <f>'rockfish harvests'!A3</f>
        <v>SC</v>
      </c>
      <c r="B4">
        <f>'rockfish harvests'!B3</f>
        <v>1999</v>
      </c>
      <c r="C4" t="str">
        <f>'rockfish harvests'!C3</f>
        <v>AFOGNAK</v>
      </c>
      <c r="D4">
        <f>'rockfish harvests'!D3</f>
        <v>506</v>
      </c>
      <c r="E4">
        <v>87</v>
      </c>
      <c r="F4" t="s">
        <v>159</v>
      </c>
      <c r="G4" s="38">
        <v>0.7337452100887365</v>
      </c>
      <c r="H4" s="39">
        <v>1.9214600651849493E-2</v>
      </c>
      <c r="I4" s="13">
        <f t="shared" si="0"/>
        <v>63.835833277720077</v>
      </c>
      <c r="J4">
        <f t="shared" ref="J4:J54" si="4">(E4^2)*H4</f>
        <v>145.4353123338488</v>
      </c>
      <c r="K4">
        <f t="shared" ref="K4:K54" si="5">SQRT(J4)</f>
        <v>12.059656393689201</v>
      </c>
      <c r="L4" s="6">
        <f t="shared" ref="L4:L54" si="6">(1.96*K4)</f>
        <v>23.636926531630834</v>
      </c>
      <c r="N4" s="2">
        <f>'rockfish harvests'!O3</f>
        <v>138.05722985297768</v>
      </c>
      <c r="O4">
        <f>'rockfish harvests'!P3</f>
        <v>5834.5115045216135</v>
      </c>
      <c r="R4" s="38">
        <v>0.12347413795074771</v>
      </c>
      <c r="S4" s="39">
        <v>1.095027420221434E-3</v>
      </c>
      <c r="T4" s="13">
        <f t="shared" si="1"/>
        <v>17.046497443964654</v>
      </c>
      <c r="U4" s="14">
        <f t="shared" ref="U4:U67" si="7">(N4^2)*S4+(R4^2)*O4+(S4*O4)</f>
        <v>116.21211386604764</v>
      </c>
      <c r="V4">
        <f t="shared" ref="V4:V54" si="8">SQRT(U4)</f>
        <v>10.780172255861576</v>
      </c>
      <c r="W4" s="6">
        <f t="shared" ref="W4:W54" si="9">(1.96*V4)</f>
        <v>21.129137621488688</v>
      </c>
      <c r="Y4" s="13">
        <f t="shared" si="2"/>
        <v>80.882330721684724</v>
      </c>
      <c r="Z4">
        <f t="shared" si="3"/>
        <v>261.64742619989647</v>
      </c>
      <c r="AA4">
        <f t="shared" ref="AA4:AA54" si="10">SQRT(Z4)</f>
        <v>16.175519348691605</v>
      </c>
      <c r="AB4" s="6">
        <f t="shared" ref="AB4:AB54" si="11">(1.96*AA4)</f>
        <v>31.704017923435543</v>
      </c>
      <c r="AC4" s="14">
        <f t="shared" ref="AC4:AC73" si="12">AA4/Y4</f>
        <v>0.19998829415971459</v>
      </c>
      <c r="AG4" s="38" t="s">
        <v>93</v>
      </c>
    </row>
    <row r="5" spans="1:33" x14ac:dyDescent="0.3">
      <c r="A5" t="str">
        <f>'rockfish harvests'!A4</f>
        <v>SC</v>
      </c>
      <c r="B5">
        <f>'rockfish harvests'!B4</f>
        <v>2000</v>
      </c>
      <c r="C5" t="str">
        <f>'rockfish harvests'!C4</f>
        <v>AFOGNAK</v>
      </c>
      <c r="D5">
        <f>'rockfish harvests'!D4</f>
        <v>1412</v>
      </c>
      <c r="E5">
        <v>188</v>
      </c>
      <c r="F5" t="s">
        <v>159</v>
      </c>
      <c r="G5" s="38">
        <v>0.7337452100887365</v>
      </c>
      <c r="H5" s="39">
        <v>1.9214600651849493E-2</v>
      </c>
      <c r="I5" s="13">
        <f t="shared" si="0"/>
        <v>137.94409949668247</v>
      </c>
      <c r="J5">
        <f t="shared" si="4"/>
        <v>679.12084543896844</v>
      </c>
      <c r="K5">
        <f t="shared" si="5"/>
        <v>26.059947149581259</v>
      </c>
      <c r="L5" s="6">
        <f t="shared" si="6"/>
        <v>51.077496413179269</v>
      </c>
      <c r="N5" s="2">
        <f>'rockfish harvests'!O4</f>
        <v>385.25060978736042</v>
      </c>
      <c r="O5">
        <f>'rockfish harvests'!P4</f>
        <v>45433.151217293431</v>
      </c>
      <c r="R5" s="38">
        <v>0.12347413795074771</v>
      </c>
      <c r="S5" s="39">
        <v>1.095027420221434E-3</v>
      </c>
      <c r="T5" s="13">
        <f t="shared" si="1"/>
        <v>47.568486938494217</v>
      </c>
      <c r="U5" s="14">
        <f t="shared" si="7"/>
        <v>904.93994886558642</v>
      </c>
      <c r="V5">
        <f t="shared" si="8"/>
        <v>30.082219812799494</v>
      </c>
      <c r="W5" s="6">
        <f t="shared" si="9"/>
        <v>58.961150833087004</v>
      </c>
      <c r="Y5" s="13">
        <f t="shared" si="2"/>
        <v>185.51258643517667</v>
      </c>
      <c r="Z5">
        <f t="shared" si="3"/>
        <v>1584.0607943045547</v>
      </c>
      <c r="AA5">
        <f t="shared" si="10"/>
        <v>39.800261234124513</v>
      </c>
      <c r="AB5" s="6">
        <f t="shared" si="11"/>
        <v>78.008512018884048</v>
      </c>
      <c r="AC5" s="14">
        <f t="shared" si="12"/>
        <v>0.21454210735200896</v>
      </c>
    </row>
    <row r="6" spans="1:33" x14ac:dyDescent="0.3">
      <c r="A6" t="str">
        <f>'rockfish harvests'!A5</f>
        <v>SC</v>
      </c>
      <c r="B6">
        <f>'rockfish harvests'!B5</f>
        <v>2001</v>
      </c>
      <c r="C6" t="str">
        <f>'rockfish harvests'!C5</f>
        <v>AFOGNAK</v>
      </c>
      <c r="D6">
        <f>'rockfish harvests'!D5</f>
        <v>535</v>
      </c>
      <c r="E6">
        <v>58</v>
      </c>
      <c r="F6" t="s">
        <v>159</v>
      </c>
      <c r="G6" s="38">
        <v>0.7337452100887365</v>
      </c>
      <c r="H6" s="39">
        <v>1.9214600651849493E-2</v>
      </c>
      <c r="I6" s="13">
        <f t="shared" si="0"/>
        <v>42.557222185146713</v>
      </c>
      <c r="J6">
        <f t="shared" si="4"/>
        <v>64.637916592821696</v>
      </c>
      <c r="K6">
        <f t="shared" si="5"/>
        <v>8.0397709291261332</v>
      </c>
      <c r="L6" s="6">
        <f t="shared" si="6"/>
        <v>15.757951021087221</v>
      </c>
      <c r="N6" s="2">
        <f>'rockfish harvests'!O5</f>
        <v>145.96960073387947</v>
      </c>
      <c r="O6">
        <f>'rockfish harvests'!P5</f>
        <v>6522.4540899783578</v>
      </c>
      <c r="R6" s="38">
        <v>0.12347413795074771</v>
      </c>
      <c r="S6" s="39">
        <v>1.095027420221434E-3</v>
      </c>
      <c r="T6" s="13">
        <f t="shared" si="1"/>
        <v>18.023470617630601</v>
      </c>
      <c r="U6" s="14">
        <f t="shared" si="7"/>
        <v>129.91459127352982</v>
      </c>
      <c r="V6">
        <f t="shared" si="8"/>
        <v>11.398008215189609</v>
      </c>
      <c r="W6" s="6">
        <f t="shared" si="9"/>
        <v>22.340096101771632</v>
      </c>
      <c r="Y6" s="13">
        <f t="shared" si="2"/>
        <v>60.580692802777314</v>
      </c>
      <c r="Z6">
        <f t="shared" si="3"/>
        <v>194.5525078663515</v>
      </c>
      <c r="AA6">
        <f t="shared" si="10"/>
        <v>13.948208052160375</v>
      </c>
      <c r="AB6" s="6">
        <f t="shared" si="11"/>
        <v>27.338487782234335</v>
      </c>
      <c r="AC6" s="14">
        <f t="shared" si="12"/>
        <v>0.23024180488607621</v>
      </c>
    </row>
    <row r="7" spans="1:33" x14ac:dyDescent="0.3">
      <c r="A7" t="str">
        <f>'rockfish harvests'!A6</f>
        <v>SC</v>
      </c>
      <c r="B7">
        <f>'rockfish harvests'!B6</f>
        <v>2002</v>
      </c>
      <c r="C7" t="str">
        <f>'rockfish harvests'!C6</f>
        <v>AFOGNAK</v>
      </c>
      <c r="D7">
        <f>'rockfish harvests'!D6</f>
        <v>345</v>
      </c>
      <c r="E7">
        <v>54</v>
      </c>
      <c r="F7" t="s">
        <v>159</v>
      </c>
      <c r="G7" s="38">
        <v>0.7337452100887365</v>
      </c>
      <c r="H7" s="39">
        <v>1.9214600651849493E-2</v>
      </c>
      <c r="I7" s="13">
        <f t="shared" si="0"/>
        <v>39.622241344791775</v>
      </c>
      <c r="J7">
        <f t="shared" si="4"/>
        <v>56.029775500793122</v>
      </c>
      <c r="K7">
        <f t="shared" si="5"/>
        <v>7.4853039684967451</v>
      </c>
      <c r="L7" s="6">
        <f t="shared" si="6"/>
        <v>14.671195778253621</v>
      </c>
      <c r="N7" s="2">
        <f>'rockfish harvests'!O6</f>
        <v>94.129929445212042</v>
      </c>
      <c r="O7">
        <f>'rockfish harvests'!P6</f>
        <v>2712.3245630524034</v>
      </c>
      <c r="R7" s="38">
        <v>0.12347413795074771</v>
      </c>
      <c r="S7" s="39">
        <v>1.095027420221434E-3</v>
      </c>
      <c r="T7" s="13">
        <f t="shared" si="1"/>
        <v>11.622611893612261</v>
      </c>
      <c r="U7" s="14">
        <f t="shared" si="7"/>
        <v>54.024226487315545</v>
      </c>
      <c r="V7">
        <f t="shared" si="8"/>
        <v>7.3501174471783477</v>
      </c>
      <c r="W7" s="6">
        <f t="shared" si="9"/>
        <v>14.406230196469561</v>
      </c>
      <c r="Y7" s="13">
        <f t="shared" si="2"/>
        <v>51.244853238404033</v>
      </c>
      <c r="Z7">
        <f t="shared" si="3"/>
        <v>110.05400198810867</v>
      </c>
      <c r="AA7">
        <f t="shared" si="10"/>
        <v>10.49066260958328</v>
      </c>
      <c r="AB7" s="6">
        <f t="shared" si="11"/>
        <v>20.56169871478323</v>
      </c>
      <c r="AC7" s="14">
        <f t="shared" si="12"/>
        <v>0.20471641436415208</v>
      </c>
    </row>
    <row r="8" spans="1:33" x14ac:dyDescent="0.3">
      <c r="A8" t="str">
        <f>'rockfish harvests'!A7</f>
        <v>SC</v>
      </c>
      <c r="B8">
        <f>'rockfish harvests'!B7</f>
        <v>2003</v>
      </c>
      <c r="C8" t="str">
        <f>'rockfish harvests'!C7</f>
        <v>AFOGNAK</v>
      </c>
      <c r="D8">
        <f>'rockfish harvests'!D7</f>
        <v>567</v>
      </c>
      <c r="E8">
        <v>83</v>
      </c>
      <c r="F8" t="s">
        <v>159</v>
      </c>
      <c r="G8" s="38">
        <v>0.7337452100887365</v>
      </c>
      <c r="H8" s="39">
        <v>1.9214600651849493E-2</v>
      </c>
      <c r="I8" s="13">
        <f t="shared" si="0"/>
        <v>60.900852437365131</v>
      </c>
      <c r="J8">
        <f t="shared" si="4"/>
        <v>132.36938389059117</v>
      </c>
      <c r="K8">
        <f t="shared" si="5"/>
        <v>11.505189433059812</v>
      </c>
      <c r="L8" s="6">
        <f t="shared" si="6"/>
        <v>22.55017128879723</v>
      </c>
      <c r="N8" s="2">
        <f>'rockfish harvests'!O7</f>
        <v>154.70049274039195</v>
      </c>
      <c r="O8">
        <f>'rockfish harvests'!P7</f>
        <v>7326.0450447481962</v>
      </c>
      <c r="R8" s="38">
        <v>0.12347413795074771</v>
      </c>
      <c r="S8" s="39">
        <v>1.095027420221434E-3</v>
      </c>
      <c r="T8" s="13">
        <f t="shared" si="1"/>
        <v>19.1015099816758</v>
      </c>
      <c r="U8" s="14">
        <f t="shared" si="7"/>
        <v>145.9205591193496</v>
      </c>
      <c r="V8">
        <f t="shared" si="8"/>
        <v>12.079758239275719</v>
      </c>
      <c r="W8" s="6">
        <f t="shared" si="9"/>
        <v>23.676326148980408</v>
      </c>
      <c r="Y8" s="13">
        <f t="shared" si="2"/>
        <v>80.002362419040935</v>
      </c>
      <c r="Z8">
        <f t="shared" si="3"/>
        <v>278.28994300994077</v>
      </c>
      <c r="AA8">
        <f t="shared" si="10"/>
        <v>16.682024547696265</v>
      </c>
      <c r="AB8" s="6">
        <f t="shared" si="11"/>
        <v>32.69676811348468</v>
      </c>
      <c r="AC8" s="14">
        <f t="shared" si="12"/>
        <v>0.20851914922609668</v>
      </c>
    </row>
    <row r="9" spans="1:33" x14ac:dyDescent="0.3">
      <c r="A9" t="str">
        <f>'rockfish harvests'!A8</f>
        <v>SC</v>
      </c>
      <c r="B9">
        <f>'rockfish harvests'!B8</f>
        <v>2004</v>
      </c>
      <c r="C9" t="str">
        <f>'rockfish harvests'!C8</f>
        <v>AFOGNAK</v>
      </c>
      <c r="D9">
        <f>'rockfish harvests'!D8</f>
        <v>468</v>
      </c>
      <c r="E9">
        <v>130</v>
      </c>
      <c r="F9" t="s">
        <v>159</v>
      </c>
      <c r="G9" s="38">
        <v>0.7337452100887365</v>
      </c>
      <c r="H9" s="39">
        <v>1.9214600651849493E-2</v>
      </c>
      <c r="I9" s="13">
        <f t="shared" si="0"/>
        <v>95.386877311535741</v>
      </c>
      <c r="J9">
        <f t="shared" si="4"/>
        <v>324.72675101625646</v>
      </c>
      <c r="K9">
        <f t="shared" si="5"/>
        <v>18.020176220455127</v>
      </c>
      <c r="L9" s="6">
        <f t="shared" si="6"/>
        <v>35.319545392092046</v>
      </c>
      <c r="N9" s="2">
        <f>'rockfish harvests'!O8</f>
        <v>127.68929559524418</v>
      </c>
      <c r="O9">
        <f>'rockfish harvests'!P8</f>
        <v>4991.087377424823</v>
      </c>
      <c r="R9" s="38">
        <v>0.12347413795074771</v>
      </c>
      <c r="S9" s="39">
        <v>1.095027420221434E-3</v>
      </c>
      <c r="T9" s="13">
        <f t="shared" si="1"/>
        <v>15.766325699160982</v>
      </c>
      <c r="U9" s="14">
        <f t="shared" si="7"/>
        <v>99.412746752008402</v>
      </c>
      <c r="V9">
        <f t="shared" si="8"/>
        <v>9.970594102259323</v>
      </c>
      <c r="W9" s="6">
        <f t="shared" si="9"/>
        <v>19.542364440428273</v>
      </c>
      <c r="Y9" s="13">
        <f t="shared" si="2"/>
        <v>111.15320301069673</v>
      </c>
      <c r="Z9">
        <f t="shared" si="3"/>
        <v>424.13949776826485</v>
      </c>
      <c r="AA9">
        <f t="shared" si="10"/>
        <v>20.594647308664086</v>
      </c>
      <c r="AB9" s="6">
        <f t="shared" si="11"/>
        <v>40.365508724981609</v>
      </c>
      <c r="AC9" s="14">
        <f t="shared" si="12"/>
        <v>0.1852816360737907</v>
      </c>
    </row>
    <row r="10" spans="1:33" x14ac:dyDescent="0.3">
      <c r="A10" t="str">
        <f>'rockfish harvests'!A9</f>
        <v>SC</v>
      </c>
      <c r="B10">
        <f>'rockfish harvests'!B9</f>
        <v>2005</v>
      </c>
      <c r="C10" t="str">
        <f>'rockfish harvests'!C9</f>
        <v>AFOGNAK</v>
      </c>
      <c r="D10">
        <f>'rockfish harvests'!D9</f>
        <v>1385</v>
      </c>
      <c r="E10">
        <v>206</v>
      </c>
      <c r="F10" t="s">
        <v>159</v>
      </c>
      <c r="G10" s="38">
        <v>0.7337452100887365</v>
      </c>
      <c r="H10" s="39">
        <v>1.9214600651849493E-2</v>
      </c>
      <c r="I10" s="13">
        <f t="shared" si="0"/>
        <v>151.15151327827971</v>
      </c>
      <c r="J10">
        <f t="shared" si="4"/>
        <v>815.39079326188505</v>
      </c>
      <c r="K10">
        <f t="shared" si="5"/>
        <v>28.55504847241351</v>
      </c>
      <c r="L10" s="6">
        <f t="shared" si="6"/>
        <v>55.96789500593048</v>
      </c>
      <c r="N10" s="2">
        <f>'rockfish harvests'!O9</f>
        <v>377.8839196568656</v>
      </c>
      <c r="O10">
        <f>'rockfish harvests'!P9</f>
        <v>43712.235118346529</v>
      </c>
      <c r="R10" s="38">
        <v>0.12347413795074771</v>
      </c>
      <c r="S10" s="39">
        <v>1.095027420221434E-3</v>
      </c>
      <c r="T10" s="13">
        <f t="shared" si="1"/>
        <v>46.658891225081092</v>
      </c>
      <c r="U10" s="14">
        <f t="shared" si="7"/>
        <v>870.66264947389902</v>
      </c>
      <c r="V10">
        <f t="shared" si="8"/>
        <v>29.506993229976839</v>
      </c>
      <c r="W10" s="6">
        <f t="shared" si="9"/>
        <v>57.833706730754606</v>
      </c>
      <c r="Y10" s="13">
        <f t="shared" si="2"/>
        <v>197.81040450336081</v>
      </c>
      <c r="Z10">
        <f t="shared" si="3"/>
        <v>1686.0534427357841</v>
      </c>
      <c r="AA10">
        <f t="shared" si="10"/>
        <v>41.061581103700625</v>
      </c>
      <c r="AB10" s="6">
        <f t="shared" si="11"/>
        <v>80.480698963253218</v>
      </c>
      <c r="AC10" s="14">
        <f t="shared" si="12"/>
        <v>0.20758049207165433</v>
      </c>
    </row>
    <row r="11" spans="1:33" x14ac:dyDescent="0.3">
      <c r="A11" t="str">
        <f>'rockfish harvests'!A10</f>
        <v>SC</v>
      </c>
      <c r="B11">
        <f>'rockfish harvests'!B10</f>
        <v>2006</v>
      </c>
      <c r="C11" t="str">
        <f>'rockfish harvests'!C10</f>
        <v>AFOGNAK</v>
      </c>
      <c r="D11">
        <f>'rockfish harvests'!D10</f>
        <v>925</v>
      </c>
      <c r="E11">
        <v>159</v>
      </c>
      <c r="F11">
        <v>133</v>
      </c>
      <c r="I11" s="13">
        <f>F11</f>
        <v>133</v>
      </c>
      <c r="J11">
        <f t="shared" si="4"/>
        <v>0</v>
      </c>
      <c r="K11">
        <f t="shared" si="5"/>
        <v>0</v>
      </c>
      <c r="L11" s="6">
        <f t="shared" si="6"/>
        <v>0</v>
      </c>
      <c r="N11" s="2">
        <f>'rockfish harvests'!O10</f>
        <v>252.37734706324954</v>
      </c>
      <c r="O11">
        <f>'rockfish harvests'!P10</f>
        <v>19497.859309067106</v>
      </c>
      <c r="R11" s="38">
        <v>0.12347413795074771</v>
      </c>
      <c r="S11" s="39">
        <v>1.095027420221434E-3</v>
      </c>
      <c r="T11" s="13">
        <f t="shared" si="1"/>
        <v>31.162075366931408</v>
      </c>
      <c r="U11" s="14">
        <f t="shared" si="7"/>
        <v>388.35941010887916</v>
      </c>
      <c r="V11">
        <f t="shared" si="8"/>
        <v>19.706836633739044</v>
      </c>
      <c r="W11" s="6">
        <f t="shared" si="9"/>
        <v>38.625399802128527</v>
      </c>
      <c r="Y11" s="13">
        <f t="shared" si="2"/>
        <v>164.16207536693142</v>
      </c>
      <c r="Z11">
        <f t="shared" si="3"/>
        <v>388.35941010887916</v>
      </c>
      <c r="AA11">
        <f t="shared" si="10"/>
        <v>19.706836633739044</v>
      </c>
      <c r="AB11" s="6">
        <f t="shared" si="11"/>
        <v>38.625399802128527</v>
      </c>
      <c r="AC11" s="14">
        <f t="shared" si="12"/>
        <v>0.12004500180501959</v>
      </c>
    </row>
    <row r="12" spans="1:33" x14ac:dyDescent="0.3">
      <c r="A12" t="str">
        <f>'rockfish harvests'!A11</f>
        <v>SC</v>
      </c>
      <c r="B12">
        <f>'rockfish harvests'!B11</f>
        <v>2007</v>
      </c>
      <c r="C12" t="str">
        <f>'rockfish harvests'!C11</f>
        <v>AFOGNAK</v>
      </c>
      <c r="D12">
        <f>'rockfish harvests'!D11</f>
        <v>2488</v>
      </c>
      <c r="E12">
        <v>304</v>
      </c>
      <c r="F12">
        <v>217</v>
      </c>
      <c r="I12" s="13">
        <f t="shared" ref="I12:I22" si="13">F12</f>
        <v>217</v>
      </c>
      <c r="J12">
        <f t="shared" si="4"/>
        <v>0</v>
      </c>
      <c r="K12">
        <f t="shared" si="5"/>
        <v>0</v>
      </c>
      <c r="L12" s="6">
        <f t="shared" si="6"/>
        <v>0</v>
      </c>
      <c r="N12" s="2">
        <f>'rockfish harvests'!O11</f>
        <v>678.82685350634074</v>
      </c>
      <c r="O12">
        <f>'rockfish harvests'!P11</f>
        <v>141060.11022920778</v>
      </c>
      <c r="R12" s="38">
        <v>0.12347413795074771</v>
      </c>
      <c r="S12" s="39">
        <v>1.095027420221434E-3</v>
      </c>
      <c r="T12" s="13">
        <f t="shared" si="1"/>
        <v>83.817560554513932</v>
      </c>
      <c r="U12" s="14">
        <f t="shared" si="7"/>
        <v>2809.6428602822721</v>
      </c>
      <c r="V12">
        <f t="shared" si="8"/>
        <v>53.006064372694865</v>
      </c>
      <c r="W12" s="6">
        <f t="shared" si="9"/>
        <v>103.89188617048194</v>
      </c>
      <c r="Y12" s="13">
        <f t="shared" si="2"/>
        <v>300.81756055451393</v>
      </c>
      <c r="Z12">
        <f t="shared" si="3"/>
        <v>2809.6428602822721</v>
      </c>
      <c r="AA12">
        <f t="shared" si="10"/>
        <v>53.006064372694865</v>
      </c>
      <c r="AB12" s="6">
        <f t="shared" si="11"/>
        <v>103.89188617048194</v>
      </c>
      <c r="AC12" s="14">
        <f t="shared" si="12"/>
        <v>0.1762066824655642</v>
      </c>
    </row>
    <row r="13" spans="1:33" x14ac:dyDescent="0.3">
      <c r="A13" t="str">
        <f>'rockfish harvests'!A12</f>
        <v>SC</v>
      </c>
      <c r="B13">
        <f>'rockfish harvests'!B12</f>
        <v>2008</v>
      </c>
      <c r="C13" t="str">
        <f>'rockfish harvests'!C12</f>
        <v>AFOGNAK</v>
      </c>
      <c r="D13">
        <f>'rockfish harvests'!D12</f>
        <v>2670</v>
      </c>
      <c r="E13">
        <v>601</v>
      </c>
      <c r="F13">
        <v>509</v>
      </c>
      <c r="I13" s="13">
        <f t="shared" si="13"/>
        <v>509</v>
      </c>
      <c r="J13">
        <f t="shared" si="4"/>
        <v>0</v>
      </c>
      <c r="K13">
        <f t="shared" si="5"/>
        <v>0</v>
      </c>
      <c r="L13" s="6">
        <f t="shared" si="6"/>
        <v>0</v>
      </c>
      <c r="N13" s="2">
        <f>'rockfish harvests'!O12</f>
        <v>728.48380179337983</v>
      </c>
      <c r="O13">
        <f>'rockfish harvests'!P12</f>
        <v>162452.3467972634</v>
      </c>
      <c r="R13" s="38">
        <v>0.12347413795074771</v>
      </c>
      <c r="S13" s="39">
        <v>1.095027420221434E-3</v>
      </c>
      <c r="T13" s="13">
        <f t="shared" si="1"/>
        <v>89.948909437520939</v>
      </c>
      <c r="U13" s="14">
        <f t="shared" si="7"/>
        <v>3235.7345784954732</v>
      </c>
      <c r="V13">
        <f t="shared" si="8"/>
        <v>56.883517634684594</v>
      </c>
      <c r="W13" s="6">
        <f t="shared" si="9"/>
        <v>111.4916945639818</v>
      </c>
      <c r="Y13" s="13">
        <f t="shared" si="2"/>
        <v>598.94890943752091</v>
      </c>
      <c r="Z13">
        <f t="shared" si="3"/>
        <v>3235.7345784954732</v>
      </c>
      <c r="AA13">
        <f t="shared" si="10"/>
        <v>56.883517634684594</v>
      </c>
      <c r="AB13" s="6">
        <f t="shared" si="11"/>
        <v>111.4916945639818</v>
      </c>
      <c r="AC13" s="14">
        <f t="shared" si="12"/>
        <v>9.4972236760735559E-2</v>
      </c>
    </row>
    <row r="14" spans="1:33" x14ac:dyDescent="0.3">
      <c r="A14" t="str">
        <f>'rockfish harvests'!A13</f>
        <v>SC</v>
      </c>
      <c r="B14">
        <f>'rockfish harvests'!B13</f>
        <v>2009</v>
      </c>
      <c r="C14" t="str">
        <f>'rockfish harvests'!C13</f>
        <v>AFOGNAK</v>
      </c>
      <c r="D14">
        <f>'rockfish harvests'!D13</f>
        <v>3763</v>
      </c>
      <c r="E14">
        <v>557</v>
      </c>
      <c r="F14">
        <v>466</v>
      </c>
      <c r="I14" s="13">
        <f t="shared" si="13"/>
        <v>466</v>
      </c>
      <c r="J14">
        <f t="shared" si="4"/>
        <v>0</v>
      </c>
      <c r="K14">
        <f t="shared" si="5"/>
        <v>0</v>
      </c>
      <c r="L14" s="6">
        <f t="shared" si="6"/>
        <v>0</v>
      </c>
      <c r="N14" s="2">
        <f>'rockfish harvests'!O13</f>
        <v>1026.6983318908196</v>
      </c>
      <c r="O14">
        <f>'rockfish harvests'!P13</f>
        <v>322679.89242321515</v>
      </c>
      <c r="R14" s="38">
        <v>0.12347413795074771</v>
      </c>
      <c r="S14" s="39">
        <v>1.095027420221434E-3</v>
      </c>
      <c r="T14" s="13">
        <f t="shared" si="1"/>
        <v>126.77069146568962</v>
      </c>
      <c r="U14" s="14">
        <f t="shared" si="7"/>
        <v>6427.1554476342308</v>
      </c>
      <c r="V14">
        <f t="shared" si="8"/>
        <v>80.169541894875707</v>
      </c>
      <c r="W14" s="6">
        <f t="shared" si="9"/>
        <v>157.13230211395637</v>
      </c>
      <c r="Y14" s="13">
        <f t="shared" si="2"/>
        <v>592.77069146568965</v>
      </c>
      <c r="Z14">
        <f t="shared" si="3"/>
        <v>6427.1554476342308</v>
      </c>
      <c r="AA14">
        <f t="shared" si="10"/>
        <v>80.169541894875707</v>
      </c>
      <c r="AB14" s="6">
        <f t="shared" si="11"/>
        <v>157.13230211395637</v>
      </c>
      <c r="AC14" s="14">
        <f t="shared" si="12"/>
        <v>0.13524545502856736</v>
      </c>
    </row>
    <row r="15" spans="1:33" x14ac:dyDescent="0.3">
      <c r="A15" t="str">
        <f>'rockfish harvests'!A14</f>
        <v>SC</v>
      </c>
      <c r="B15">
        <f>'rockfish harvests'!B14</f>
        <v>2010</v>
      </c>
      <c r="C15" t="str">
        <f>'rockfish harvests'!C14</f>
        <v>AFOGNAK</v>
      </c>
      <c r="D15">
        <f>'rockfish harvests'!D14</f>
        <v>3032</v>
      </c>
      <c r="E15">
        <v>1061</v>
      </c>
      <c r="F15">
        <v>348</v>
      </c>
      <c r="I15" s="13">
        <f t="shared" si="13"/>
        <v>348</v>
      </c>
      <c r="J15">
        <f t="shared" si="4"/>
        <v>0</v>
      </c>
      <c r="K15">
        <f t="shared" si="5"/>
        <v>0</v>
      </c>
      <c r="L15" s="6">
        <f t="shared" si="6"/>
        <v>0</v>
      </c>
      <c r="N15" s="2">
        <f>'rockfish harvests'!O14</f>
        <v>827.25201761705193</v>
      </c>
      <c r="O15">
        <f>'rockfish harvests'!P14</f>
        <v>209489.30732140518</v>
      </c>
      <c r="R15" s="38">
        <v>0.12347413795074771</v>
      </c>
      <c r="S15" s="39">
        <v>1.095027420221434E-3</v>
      </c>
      <c r="T15" s="13">
        <f t="shared" si="1"/>
        <v>102.14422974328225</v>
      </c>
      <c r="U15" s="14">
        <f t="shared" si="7"/>
        <v>4172.6192873709506</v>
      </c>
      <c r="V15">
        <f t="shared" si="8"/>
        <v>64.595814782158683</v>
      </c>
      <c r="W15" s="6">
        <f t="shared" si="9"/>
        <v>126.60779697303101</v>
      </c>
      <c r="Y15" s="13">
        <f t="shared" si="2"/>
        <v>450.14422974328227</v>
      </c>
      <c r="Z15">
        <f t="shared" si="3"/>
        <v>4172.6192873709506</v>
      </c>
      <c r="AA15">
        <f t="shared" si="10"/>
        <v>64.595814782158683</v>
      </c>
      <c r="AB15" s="6">
        <f t="shared" si="11"/>
        <v>126.60779697303101</v>
      </c>
      <c r="AC15" s="14">
        <f t="shared" si="12"/>
        <v>0.14350026172499811</v>
      </c>
    </row>
    <row r="16" spans="1:33" x14ac:dyDescent="0.3">
      <c r="A16" t="str">
        <f>'rockfish harvests'!A15</f>
        <v>SC</v>
      </c>
      <c r="B16">
        <f>'rockfish harvests'!B15</f>
        <v>2011</v>
      </c>
      <c r="C16" t="str">
        <f>'rockfish harvests'!C15</f>
        <v>AFOGNAK</v>
      </c>
      <c r="D16">
        <f>'rockfish harvests'!D15</f>
        <v>3052</v>
      </c>
      <c r="E16">
        <v>487</v>
      </c>
      <c r="F16">
        <v>385</v>
      </c>
      <c r="I16" s="13">
        <f t="shared" si="13"/>
        <v>385</v>
      </c>
      <c r="J16">
        <f t="shared" si="4"/>
        <v>0</v>
      </c>
      <c r="K16">
        <f t="shared" si="5"/>
        <v>0</v>
      </c>
      <c r="L16" s="6">
        <f t="shared" si="6"/>
        <v>0</v>
      </c>
      <c r="N16" s="2">
        <f>'rockfish harvests'!O15</f>
        <v>852.74081958488568</v>
      </c>
      <c r="O16">
        <f>'rockfish harvests'!P15</f>
        <v>200039.3867927817</v>
      </c>
      <c r="R16" s="38">
        <v>0.12347413795074771</v>
      </c>
      <c r="S16" s="39">
        <v>1.095027420221434E-3</v>
      </c>
      <c r="T16" s="13">
        <f t="shared" si="1"/>
        <v>105.29143759365785</v>
      </c>
      <c r="U16" s="14">
        <f t="shared" si="7"/>
        <v>4065.0893483106233</v>
      </c>
      <c r="V16">
        <f t="shared" si="8"/>
        <v>63.758053203580673</v>
      </c>
      <c r="W16" s="6">
        <f t="shared" si="9"/>
        <v>124.96578427901811</v>
      </c>
      <c r="Y16" s="13">
        <f t="shared" si="2"/>
        <v>490.29143759365786</v>
      </c>
      <c r="Z16">
        <f t="shared" si="3"/>
        <v>4065.0893483106233</v>
      </c>
      <c r="AA16">
        <f t="shared" si="10"/>
        <v>63.758053203580673</v>
      </c>
      <c r="AB16" s="6">
        <f t="shared" si="11"/>
        <v>124.96578427901811</v>
      </c>
      <c r="AC16" s="14">
        <f t="shared" si="12"/>
        <v>0.13004113128408712</v>
      </c>
    </row>
    <row r="17" spans="1:29" x14ac:dyDescent="0.3">
      <c r="A17" t="str">
        <f>'rockfish harvests'!A16</f>
        <v>SC</v>
      </c>
      <c r="B17">
        <f>'rockfish harvests'!B16</f>
        <v>2012</v>
      </c>
      <c r="C17" t="str">
        <f>'rockfish harvests'!C16</f>
        <v>AFOGNAK</v>
      </c>
      <c r="D17">
        <f>'rockfish harvests'!D16</f>
        <v>3025</v>
      </c>
      <c r="E17">
        <v>564</v>
      </c>
      <c r="F17">
        <v>411</v>
      </c>
      <c r="I17" s="13">
        <f t="shared" si="13"/>
        <v>411</v>
      </c>
      <c r="J17">
        <f t="shared" si="4"/>
        <v>0</v>
      </c>
      <c r="K17">
        <f t="shared" si="5"/>
        <v>0</v>
      </c>
      <c r="L17" s="6">
        <f t="shared" si="6"/>
        <v>0</v>
      </c>
      <c r="N17" s="2">
        <f>'rockfish harvests'!O16</f>
        <v>1110.7541899441339</v>
      </c>
      <c r="O17">
        <f>'rockfish harvests'!P16</f>
        <v>261396.56419933448</v>
      </c>
      <c r="R17" s="38">
        <v>0.12347413795074771</v>
      </c>
      <c r="S17" s="39">
        <v>1.095027420221434E-3</v>
      </c>
      <c r="T17" s="13">
        <f t="shared" si="1"/>
        <v>137.14941607853302</v>
      </c>
      <c r="U17" s="14">
        <f t="shared" si="7"/>
        <v>5622.4698580952609</v>
      </c>
      <c r="V17">
        <f t="shared" si="8"/>
        <v>74.983130490099313</v>
      </c>
      <c r="W17" s="6">
        <f t="shared" si="9"/>
        <v>146.96693576059465</v>
      </c>
      <c r="Y17" s="13">
        <f t="shared" si="2"/>
        <v>548.14941607853302</v>
      </c>
      <c r="Z17">
        <f t="shared" si="3"/>
        <v>5622.4698580952609</v>
      </c>
      <c r="AA17">
        <f t="shared" si="10"/>
        <v>74.983130490099313</v>
      </c>
      <c r="AB17" s="6">
        <f t="shared" si="11"/>
        <v>146.96693576059465</v>
      </c>
      <c r="AC17" s="14">
        <f t="shared" si="12"/>
        <v>0.1367932324484252</v>
      </c>
    </row>
    <row r="18" spans="1:29" x14ac:dyDescent="0.3">
      <c r="A18" t="str">
        <f>'rockfish harvests'!A17</f>
        <v>SC</v>
      </c>
      <c r="B18">
        <f>'rockfish harvests'!B17</f>
        <v>2013</v>
      </c>
      <c r="C18" t="str">
        <f>'rockfish harvests'!C17</f>
        <v>AFOGNAK</v>
      </c>
      <c r="D18">
        <f>'rockfish harvests'!D17</f>
        <v>2487</v>
      </c>
      <c r="E18">
        <v>473</v>
      </c>
      <c r="F18">
        <v>382</v>
      </c>
      <c r="I18" s="13">
        <f t="shared" si="13"/>
        <v>382</v>
      </c>
      <c r="J18">
        <f t="shared" si="4"/>
        <v>0</v>
      </c>
      <c r="K18">
        <f t="shared" si="5"/>
        <v>0</v>
      </c>
      <c r="L18" s="6">
        <f t="shared" si="6"/>
        <v>0</v>
      </c>
      <c r="N18" s="2">
        <f>'rockfish harvests'!O17</f>
        <v>731.12895692786697</v>
      </c>
      <c r="O18">
        <f>'rockfish harvests'!P17</f>
        <v>125971.00775365347</v>
      </c>
      <c r="R18" s="38">
        <v>0.12347413795074771</v>
      </c>
      <c r="S18" s="39">
        <v>1.095027420221434E-3</v>
      </c>
      <c r="T18" s="13">
        <f t="shared" si="1"/>
        <v>90.275517687497725</v>
      </c>
      <c r="U18" s="14">
        <f t="shared" si="7"/>
        <v>2643.8248179455463</v>
      </c>
      <c r="V18">
        <f t="shared" si="8"/>
        <v>51.418137052459869</v>
      </c>
      <c r="W18" s="6">
        <f t="shared" si="9"/>
        <v>100.77954862282134</v>
      </c>
      <c r="Y18" s="13">
        <f t="shared" si="2"/>
        <v>472.27551768749771</v>
      </c>
      <c r="Z18">
        <f t="shared" si="3"/>
        <v>2643.8248179455463</v>
      </c>
      <c r="AA18">
        <f t="shared" si="10"/>
        <v>51.418137052459869</v>
      </c>
      <c r="AB18" s="6">
        <f t="shared" si="11"/>
        <v>100.77954862282134</v>
      </c>
      <c r="AC18" s="14">
        <f t="shared" si="12"/>
        <v>0.10887317916505464</v>
      </c>
    </row>
    <row r="19" spans="1:29" x14ac:dyDescent="0.3">
      <c r="A19" t="str">
        <f>'rockfish harvests'!A18</f>
        <v>SC</v>
      </c>
      <c r="B19">
        <f>'rockfish harvests'!B18</f>
        <v>2014</v>
      </c>
      <c r="C19" t="str">
        <f>'rockfish harvests'!C18</f>
        <v>AFOGNAK</v>
      </c>
      <c r="D19">
        <f>'rockfish harvests'!D18</f>
        <v>2843</v>
      </c>
      <c r="E19">
        <v>580</v>
      </c>
      <c r="F19">
        <v>434</v>
      </c>
      <c r="I19" s="13">
        <f t="shared" si="13"/>
        <v>434</v>
      </c>
      <c r="J19">
        <f t="shared" si="4"/>
        <v>0</v>
      </c>
      <c r="K19">
        <f t="shared" si="5"/>
        <v>0</v>
      </c>
      <c r="L19" s="6">
        <f t="shared" si="6"/>
        <v>0</v>
      </c>
      <c r="N19" s="2">
        <f>'rockfish harvests'!O18</f>
        <v>1234.1607301869994</v>
      </c>
      <c r="O19">
        <f>'rockfish harvests'!P18</f>
        <v>268862.96198516607</v>
      </c>
      <c r="R19" s="38">
        <v>0.12347413795074771</v>
      </c>
      <c r="S19" s="39">
        <v>1.095027420221434E-3</v>
      </c>
      <c r="T19" s="13">
        <f t="shared" si="1"/>
        <v>152.38693225250509</v>
      </c>
      <c r="U19" s="14">
        <f t="shared" si="7"/>
        <v>6061.3541110461456</v>
      </c>
      <c r="V19">
        <f t="shared" si="8"/>
        <v>77.854698708852155</v>
      </c>
      <c r="W19" s="6">
        <f t="shared" si="9"/>
        <v>152.59520946935021</v>
      </c>
      <c r="Y19" s="13">
        <f t="shared" si="2"/>
        <v>586.38693225250506</v>
      </c>
      <c r="Z19">
        <f t="shared" si="3"/>
        <v>6061.3541110461456</v>
      </c>
      <c r="AA19">
        <f t="shared" si="10"/>
        <v>77.854698708852155</v>
      </c>
      <c r="AB19" s="6">
        <f t="shared" si="11"/>
        <v>152.59520946935021</v>
      </c>
      <c r="AC19" s="14">
        <f t="shared" si="12"/>
        <v>0.13277018027974574</v>
      </c>
    </row>
    <row r="20" spans="1:29" x14ac:dyDescent="0.3">
      <c r="A20" t="str">
        <f>'rockfish harvests'!A19</f>
        <v>SC</v>
      </c>
      <c r="B20">
        <f>'rockfish harvests'!B19</f>
        <v>2015</v>
      </c>
      <c r="C20" t="str">
        <f>'rockfish harvests'!C19</f>
        <v>AFOGNAK</v>
      </c>
      <c r="D20">
        <f>'rockfish harvests'!D19</f>
        <v>3919</v>
      </c>
      <c r="E20">
        <v>630</v>
      </c>
      <c r="F20">
        <v>421</v>
      </c>
      <c r="I20" s="13">
        <f t="shared" si="13"/>
        <v>421</v>
      </c>
      <c r="J20">
        <f t="shared" si="4"/>
        <v>0</v>
      </c>
      <c r="K20">
        <f t="shared" si="5"/>
        <v>0</v>
      </c>
      <c r="L20" s="6">
        <f t="shared" si="6"/>
        <v>0</v>
      </c>
      <c r="N20" s="2">
        <f>'rockfish harvests'!O19</f>
        <v>1736.4958972529439</v>
      </c>
      <c r="O20">
        <f>'rockfish harvests'!P19</f>
        <v>1075446.4405794584</v>
      </c>
      <c r="R20" s="38">
        <v>0.12347413795074771</v>
      </c>
      <c r="S20" s="39">
        <v>1.095027420221434E-3</v>
      </c>
      <c r="T20" s="13">
        <f t="shared" si="1"/>
        <v>214.41233396831743</v>
      </c>
      <c r="U20" s="14">
        <f t="shared" si="7"/>
        <v>20875.717556309897</v>
      </c>
      <c r="V20">
        <f t="shared" si="8"/>
        <v>144.48431595266629</v>
      </c>
      <c r="W20" s="6">
        <f t="shared" si="9"/>
        <v>283.18925926722591</v>
      </c>
      <c r="Y20" s="13">
        <f t="shared" si="2"/>
        <v>635.4123339683174</v>
      </c>
      <c r="Z20">
        <f t="shared" si="3"/>
        <v>20875.717556309897</v>
      </c>
      <c r="AA20">
        <f t="shared" si="10"/>
        <v>144.48431595266629</v>
      </c>
      <c r="AB20" s="6">
        <f t="shared" si="11"/>
        <v>283.18925926722591</v>
      </c>
      <c r="AC20" s="14">
        <f t="shared" si="12"/>
        <v>0.22738670345022055</v>
      </c>
    </row>
    <row r="21" spans="1:29" x14ac:dyDescent="0.3">
      <c r="A21" t="str">
        <f>'rockfish harvests'!A20</f>
        <v>SC</v>
      </c>
      <c r="B21">
        <f>'rockfish harvests'!B20</f>
        <v>2016</v>
      </c>
      <c r="C21" t="str">
        <f>'rockfish harvests'!C20</f>
        <v>AFOGNAK</v>
      </c>
      <c r="D21">
        <f>'rockfish harvests'!D20</f>
        <v>5287</v>
      </c>
      <c r="E21">
        <v>760</v>
      </c>
      <c r="F21">
        <v>544</v>
      </c>
      <c r="I21" s="13">
        <f t="shared" si="13"/>
        <v>544</v>
      </c>
      <c r="J21">
        <f t="shared" si="4"/>
        <v>0</v>
      </c>
      <c r="K21">
        <f t="shared" si="5"/>
        <v>0</v>
      </c>
      <c r="L21" s="6">
        <f t="shared" si="6"/>
        <v>0</v>
      </c>
      <c r="N21" s="2">
        <f>'rockfish harvests'!O20</f>
        <v>467.58654422040308</v>
      </c>
      <c r="O21">
        <f>'rockfish harvests'!P20</f>
        <v>63684.114088437818</v>
      </c>
      <c r="R21" s="38">
        <v>0.12347413795074771</v>
      </c>
      <c r="S21" s="39">
        <v>1.095027420221434E-3</v>
      </c>
      <c r="T21" s="13">
        <f t="shared" si="1"/>
        <v>57.734845464983444</v>
      </c>
      <c r="U21" s="14">
        <f t="shared" si="7"/>
        <v>1280.0688166085497</v>
      </c>
      <c r="V21">
        <f t="shared" si="8"/>
        <v>35.778049368412326</v>
      </c>
      <c r="W21" s="6">
        <f t="shared" si="9"/>
        <v>70.124976762088153</v>
      </c>
      <c r="Y21" s="13">
        <f t="shared" si="2"/>
        <v>601.73484546498344</v>
      </c>
      <c r="Z21">
        <f t="shared" si="3"/>
        <v>1280.0688166085497</v>
      </c>
      <c r="AA21">
        <f t="shared" si="10"/>
        <v>35.778049368412326</v>
      </c>
      <c r="AB21" s="6">
        <f t="shared" si="11"/>
        <v>70.124976762088153</v>
      </c>
      <c r="AC21" s="14">
        <f t="shared" si="12"/>
        <v>5.9458164402570478E-2</v>
      </c>
    </row>
    <row r="22" spans="1:29" x14ac:dyDescent="0.3">
      <c r="A22" t="str">
        <f>'rockfish harvests'!A21</f>
        <v>SC</v>
      </c>
      <c r="B22">
        <f>'rockfish harvests'!B21</f>
        <v>2017</v>
      </c>
      <c r="C22" t="str">
        <f>'rockfish harvests'!C21</f>
        <v>AFOGNAK</v>
      </c>
      <c r="D22">
        <f>'rockfish harvests'!D21</f>
        <v>4756</v>
      </c>
      <c r="E22">
        <v>539</v>
      </c>
      <c r="F22">
        <v>416</v>
      </c>
      <c r="I22" s="13">
        <f t="shared" si="13"/>
        <v>416</v>
      </c>
      <c r="J22">
        <f t="shared" si="4"/>
        <v>0</v>
      </c>
      <c r="K22">
        <f t="shared" si="5"/>
        <v>0</v>
      </c>
      <c r="L22" s="6">
        <f t="shared" si="6"/>
        <v>0</v>
      </c>
      <c r="N22" s="2">
        <f>'rockfish harvests'!O21</f>
        <v>537.74758244483019</v>
      </c>
      <c r="O22">
        <f>'rockfish harvests'!P21</f>
        <v>89663.784684390819</v>
      </c>
      <c r="R22" s="38">
        <v>0.12347413795074771</v>
      </c>
      <c r="S22" s="39">
        <v>1.095027420221434E-3</v>
      </c>
      <c r="T22" s="13">
        <f t="shared" si="1"/>
        <v>66.397919177474037</v>
      </c>
      <c r="U22" s="14">
        <f t="shared" si="7"/>
        <v>1781.8378326463107</v>
      </c>
      <c r="V22">
        <f t="shared" si="8"/>
        <v>42.211821006044154</v>
      </c>
      <c r="W22" s="6">
        <f t="shared" si="9"/>
        <v>82.735169171846536</v>
      </c>
      <c r="Y22" s="13">
        <f t="shared" si="2"/>
        <v>482.39791917747402</v>
      </c>
      <c r="Z22">
        <f t="shared" si="3"/>
        <v>1781.8378326463107</v>
      </c>
      <c r="AA22">
        <f t="shared" si="10"/>
        <v>42.211821006044154</v>
      </c>
      <c r="AB22" s="6">
        <f t="shared" si="11"/>
        <v>82.735169171846536</v>
      </c>
      <c r="AC22" s="14">
        <f t="shared" si="12"/>
        <v>8.7504152335521251E-2</v>
      </c>
    </row>
    <row r="23" spans="1:29" x14ac:dyDescent="0.3">
      <c r="A23" t="str">
        <f>'rockfish harvests'!A22</f>
        <v>SC</v>
      </c>
      <c r="B23">
        <f>'rockfish harvests'!B22</f>
        <v>2018</v>
      </c>
      <c r="C23" t="str">
        <f>'rockfish harvests'!C22</f>
        <v>AFOGNAK</v>
      </c>
      <c r="D23">
        <f>'rockfish harvests'!D22</f>
        <v>5694</v>
      </c>
      <c r="E23">
        <v>602</v>
      </c>
      <c r="F23">
        <v>449</v>
      </c>
      <c r="I23" s="13">
        <f>F23</f>
        <v>449</v>
      </c>
      <c r="J23">
        <f>(E23^2)*H23</f>
        <v>0</v>
      </c>
      <c r="K23">
        <f t="shared" si="5"/>
        <v>0</v>
      </c>
      <c r="L23" s="6">
        <f t="shared" si="6"/>
        <v>0</v>
      </c>
      <c r="N23" s="2">
        <f>'rockfish harvests'!O22</f>
        <v>1496.4016172506736</v>
      </c>
      <c r="O23">
        <f>'rockfish harvests'!P22</f>
        <v>412259.26032139536</v>
      </c>
      <c r="R23" s="38">
        <v>0.12347413795074771</v>
      </c>
      <c r="S23" s="39">
        <v>1.095027420221434E-3</v>
      </c>
      <c r="T23" s="13">
        <f>R23*N23</f>
        <v>184.76689971813164</v>
      </c>
      <c r="U23" s="14">
        <f t="shared" si="7"/>
        <v>9188.6881825198652</v>
      </c>
      <c r="V23">
        <f t="shared" si="8"/>
        <v>95.857645404630432</v>
      </c>
      <c r="W23" s="6">
        <f t="shared" si="9"/>
        <v>187.88098499307566</v>
      </c>
      <c r="Y23" s="13">
        <f>T23+I23</f>
        <v>633.76689971813164</v>
      </c>
      <c r="Z23" s="14">
        <f>U23+J23</f>
        <v>9188.6881825198652</v>
      </c>
      <c r="AA23">
        <f>SQRT(Z23)</f>
        <v>95.857645404630432</v>
      </c>
      <c r="AB23" s="6">
        <f>(1.96*AA23)</f>
        <v>187.88098499307566</v>
      </c>
      <c r="AC23" s="14">
        <f t="shared" si="12"/>
        <v>0.15125063402216682</v>
      </c>
    </row>
    <row r="24" spans="1:29" x14ac:dyDescent="0.3">
      <c r="A24" t="str">
        <f>'rockfish harvests'!A23</f>
        <v>SC</v>
      </c>
      <c r="B24">
        <f>'rockfish harvests'!B23</f>
        <v>2019</v>
      </c>
      <c r="C24" t="str">
        <f>'rockfish harvests'!C23</f>
        <v>AFOGNAK</v>
      </c>
      <c r="D24">
        <f>'rockfish harvests'!D23</f>
        <v>6782</v>
      </c>
      <c r="E24">
        <v>1020</v>
      </c>
      <c r="F24">
        <v>719</v>
      </c>
      <c r="I24" s="13">
        <f>F24</f>
        <v>719</v>
      </c>
      <c r="J24">
        <f>(E24^2)*H24</f>
        <v>0</v>
      </c>
      <c r="K24">
        <f>SQRT(J24)</f>
        <v>0</v>
      </c>
      <c r="L24" s="6">
        <f>(1.96*K24)</f>
        <v>0</v>
      </c>
      <c r="N24" s="2">
        <f>'rockfish harvests'!O23</f>
        <v>4435.3764258555148</v>
      </c>
      <c r="O24">
        <f>'rockfish harvests'!P23</f>
        <v>3560251.2769631236</v>
      </c>
      <c r="R24" s="38">
        <v>0.12222712270469756</v>
      </c>
      <c r="S24" s="38">
        <v>1.0289631320921915E-3</v>
      </c>
      <c r="T24" s="13">
        <f>R24*N24</f>
        <v>542.1232986445649</v>
      </c>
      <c r="U24" s="14">
        <f t="shared" si="7"/>
        <v>77093.975867223868</v>
      </c>
      <c r="V24">
        <f>SQRT(U24)</f>
        <v>277.65801963426856</v>
      </c>
      <c r="W24" s="6">
        <f>(1.96*V24)</f>
        <v>544.2097184831664</v>
      </c>
      <c r="Y24" s="13">
        <f>T24+I24</f>
        <v>1261.1232986445648</v>
      </c>
      <c r="Z24">
        <f>U24+J24</f>
        <v>77093.975867223868</v>
      </c>
      <c r="AA24">
        <f>SQRT(Z24)</f>
        <v>277.65801963426856</v>
      </c>
      <c r="AB24" s="6">
        <f>(1.96*AA24)</f>
        <v>544.2097184831664</v>
      </c>
      <c r="AC24" s="14">
        <f t="shared" si="12"/>
        <v>0.22016722705281155</v>
      </c>
    </row>
    <row r="25" spans="1:29" x14ac:dyDescent="0.3">
      <c r="A25" t="str">
        <f>'rockfish harvests'!A24</f>
        <v>SC</v>
      </c>
      <c r="B25">
        <f>'rockfish harvests'!B24</f>
        <v>2020</v>
      </c>
      <c r="C25" t="str">
        <f>'rockfish harvests'!C24</f>
        <v>AFOGNAK</v>
      </c>
      <c r="D25">
        <f>'rockfish harvests'!D24</f>
        <v>5835</v>
      </c>
      <c r="E25">
        <v>831</v>
      </c>
      <c r="F25">
        <v>605</v>
      </c>
      <c r="I25" s="13">
        <f t="shared" ref="I25" si="14">F25</f>
        <v>605</v>
      </c>
      <c r="J25">
        <f t="shared" ref="J25" si="15">(E25^2)*H25</f>
        <v>0</v>
      </c>
      <c r="K25">
        <f t="shared" ref="K25:K27" si="16">SQRT(J25)</f>
        <v>0</v>
      </c>
      <c r="L25" s="6">
        <f t="shared" ref="L25:L27" si="17">(1.96*K25)</f>
        <v>0</v>
      </c>
      <c r="N25" s="2">
        <f>'rockfish harvests'!O24</f>
        <v>1752.4199820520489</v>
      </c>
      <c r="O25">
        <f>'rockfish harvests'!P24</f>
        <v>564645.39156800637</v>
      </c>
      <c r="R25" s="38">
        <v>0.12099095862606961</v>
      </c>
      <c r="S25" s="38">
        <v>9.8619468272814498E-4</v>
      </c>
      <c r="T25" s="13">
        <f t="shared" ref="T25:T26" si="18">R25*N25</f>
        <v>212.0269735439571</v>
      </c>
      <c r="U25" s="14">
        <f t="shared" si="7"/>
        <v>11851.168054058344</v>
      </c>
      <c r="V25">
        <f t="shared" ref="V25:V26" si="19">SQRT(U25)</f>
        <v>108.86307020316093</v>
      </c>
      <c r="W25" s="6">
        <f t="shared" ref="W25:W26" si="20">(1.96*V25)</f>
        <v>213.37161759819543</v>
      </c>
      <c r="Y25" s="13">
        <f t="shared" ref="Y25:Y26" si="21">T25+I25</f>
        <v>817.02697354395707</v>
      </c>
      <c r="Z25">
        <f t="shared" ref="Z25:Z26" si="22">U25+J25</f>
        <v>11851.168054058344</v>
      </c>
      <c r="AA25">
        <f t="shared" ref="AA25:AA26" si="23">SQRT(Z25)</f>
        <v>108.86307020316093</v>
      </c>
      <c r="AB25" s="6">
        <f t="shared" ref="AB25:AB26" si="24">(1.96*AA25)</f>
        <v>213.37161759819543</v>
      </c>
      <c r="AC25" s="14">
        <f t="shared" ref="AC25:AC26" si="25">AA25/Y25</f>
        <v>0.13324293288745864</v>
      </c>
    </row>
    <row r="26" spans="1:29" x14ac:dyDescent="0.3">
      <c r="A26" t="str">
        <f>'rockfish harvests'!A25</f>
        <v>SC</v>
      </c>
      <c r="B26">
        <f>'rockfish harvests'!B25</f>
        <v>2021</v>
      </c>
      <c r="C26" t="str">
        <f>'rockfish harvests'!C25</f>
        <v>AFOGNAK</v>
      </c>
      <c r="D26">
        <f>'rockfish harvests'!D25</f>
        <v>9007</v>
      </c>
      <c r="E26">
        <v>1077</v>
      </c>
      <c r="F26">
        <v>817</v>
      </c>
      <c r="I26" s="13">
        <f>F26</f>
        <v>817</v>
      </c>
      <c r="J26">
        <f>(E26^2)*H26</f>
        <v>0</v>
      </c>
      <c r="K26">
        <f t="shared" si="16"/>
        <v>0</v>
      </c>
      <c r="L26" s="6">
        <f t="shared" si="17"/>
        <v>0</v>
      </c>
      <c r="N26" s="2">
        <f>'rockfish harvests'!O25</f>
        <v>1406.6827148896191</v>
      </c>
      <c r="O26">
        <f>'rockfish harvests'!P25</f>
        <v>336808.63980312884</v>
      </c>
      <c r="R26" s="38">
        <v>0.11909822544392649</v>
      </c>
      <c r="S26" s="38">
        <v>9.6796862042983537E-4</v>
      </c>
      <c r="T26" s="13">
        <f t="shared" si="18"/>
        <v>167.53341510599844</v>
      </c>
      <c r="U26" s="14">
        <f t="shared" si="7"/>
        <v>7018.818356200336</v>
      </c>
      <c r="V26">
        <f t="shared" si="19"/>
        <v>83.778388360008066</v>
      </c>
      <c r="W26" s="6">
        <f t="shared" si="20"/>
        <v>164.2056411856158</v>
      </c>
      <c r="Y26" s="13">
        <f t="shared" si="21"/>
        <v>984.53341510599842</v>
      </c>
      <c r="Z26">
        <f t="shared" si="22"/>
        <v>7018.818356200336</v>
      </c>
      <c r="AA26">
        <f t="shared" si="23"/>
        <v>83.778388360008066</v>
      </c>
      <c r="AB26" s="6">
        <f t="shared" si="24"/>
        <v>164.2056411856158</v>
      </c>
      <c r="AC26" s="14">
        <f t="shared" si="25"/>
        <v>8.5094509820154943E-2</v>
      </c>
    </row>
    <row r="27" spans="1:29" s="51" customFormat="1" x14ac:dyDescent="0.3">
      <c r="A27" s="51" t="s">
        <v>81</v>
      </c>
      <c r="B27" s="51">
        <v>2022</v>
      </c>
      <c r="C27" s="51" t="s">
        <v>45</v>
      </c>
      <c r="D27">
        <f>'rockfish harvests'!D26</f>
        <v>9241</v>
      </c>
      <c r="E27" s="51">
        <v>930</v>
      </c>
      <c r="F27" s="51">
        <v>671</v>
      </c>
      <c r="I27" s="71">
        <f>F27</f>
        <v>671</v>
      </c>
      <c r="J27" s="51">
        <f>(E27^2)*H27</f>
        <v>0</v>
      </c>
      <c r="K27" s="51">
        <f t="shared" si="16"/>
        <v>0</v>
      </c>
      <c r="L27" s="78">
        <f t="shared" si="17"/>
        <v>0</v>
      </c>
      <c r="N27" s="2">
        <f>'rockfish harvests'!O26</f>
        <v>3527.878214229373</v>
      </c>
      <c r="O27">
        <f>'rockfish harvests'!P26</f>
        <v>2029671.2150868119</v>
      </c>
      <c r="R27" s="88">
        <v>0.12347413795074771</v>
      </c>
      <c r="S27" s="89">
        <v>1.095027420221434E-3</v>
      </c>
      <c r="T27" s="13">
        <f t="shared" ref="T27" si="26">R27*N27</f>
        <v>435.60172129719513</v>
      </c>
      <c r="U27" s="14">
        <f t="shared" si="7"/>
        <v>46795.2632029534</v>
      </c>
      <c r="V27">
        <f t="shared" ref="V27" si="27">SQRT(U27)</f>
        <v>216.32212832475878</v>
      </c>
      <c r="W27" s="6">
        <f t="shared" ref="W27" si="28">(1.96*V27)</f>
        <v>423.99137151652718</v>
      </c>
      <c r="X27"/>
      <c r="Y27" s="13">
        <f t="shared" ref="Y27" si="29">T27+I27</f>
        <v>1106.6017212971951</v>
      </c>
      <c r="Z27">
        <f t="shared" ref="Z27" si="30">U27+J27</f>
        <v>46795.2632029534</v>
      </c>
      <c r="AA27">
        <f t="shared" ref="AA27" si="31">SQRT(Z27)</f>
        <v>216.32212832475878</v>
      </c>
      <c r="AB27" s="6">
        <f t="shared" ref="AB27" si="32">(1.96*AA27)</f>
        <v>423.99137151652718</v>
      </c>
      <c r="AC27" s="14">
        <f t="shared" ref="AC27" si="33">AA27/Y27</f>
        <v>0.19548327475144248</v>
      </c>
    </row>
    <row r="28" spans="1:29" x14ac:dyDescent="0.3">
      <c r="A28" t="str">
        <f>'rockfish harvests'!A27</f>
        <v>SC</v>
      </c>
      <c r="B28">
        <f>'rockfish harvests'!B27</f>
        <v>1998</v>
      </c>
      <c r="C28" t="str">
        <f>'rockfish harvests'!C27</f>
        <v>WKMA</v>
      </c>
      <c r="D28">
        <f>'rockfish harvests'!D27</f>
        <v>148</v>
      </c>
      <c r="E28">
        <v>31</v>
      </c>
      <c r="F28" t="s">
        <v>159</v>
      </c>
      <c r="G28" s="38">
        <v>0.74470782740778874</v>
      </c>
      <c r="H28" s="39">
        <v>4.4922308591158009E-3</v>
      </c>
      <c r="I28" s="13">
        <f t="shared" ref="I28:I35" si="34">E28*G28</f>
        <v>23.085942649641449</v>
      </c>
      <c r="J28">
        <f t="shared" si="4"/>
        <v>4.3170338556102843</v>
      </c>
      <c r="K28">
        <f t="shared" si="5"/>
        <v>2.0777473031170763</v>
      </c>
      <c r="L28" s="6">
        <f t="shared" si="6"/>
        <v>4.0723847141094698</v>
      </c>
      <c r="N28" s="2">
        <f>'rockfish harvests'!O27</f>
        <v>42.686604162511713</v>
      </c>
      <c r="O28">
        <f>'rockfish harvests'!P27</f>
        <v>681.09032990436276</v>
      </c>
      <c r="R28" s="38">
        <v>0.1616564144198088</v>
      </c>
      <c r="S28" s="39">
        <v>1.2779754648134906E-3</v>
      </c>
      <c r="T28" s="13">
        <f t="shared" ref="T28:T73" si="35">R28*N28</f>
        <v>6.9005633726693292</v>
      </c>
      <c r="U28" s="14">
        <f t="shared" si="7"/>
        <v>20.997869704802472</v>
      </c>
      <c r="V28">
        <f t="shared" si="8"/>
        <v>4.5823432547990635</v>
      </c>
      <c r="W28" s="6">
        <f t="shared" si="9"/>
        <v>8.9813927794061641</v>
      </c>
      <c r="Y28" s="13">
        <f>T28+I28</f>
        <v>29.986506022310778</v>
      </c>
      <c r="Z28">
        <f t="shared" si="3"/>
        <v>25.314903560412755</v>
      </c>
      <c r="AA28">
        <f t="shared" si="10"/>
        <v>5.0313918114586107</v>
      </c>
      <c r="AB28" s="6">
        <f t="shared" si="11"/>
        <v>9.8615279504588766</v>
      </c>
      <c r="AC28" s="14">
        <f>AA28/Y28</f>
        <v>0.16778853153865669</v>
      </c>
    </row>
    <row r="29" spans="1:29" x14ac:dyDescent="0.3">
      <c r="A29" t="str">
        <f>'rockfish harvests'!A28</f>
        <v>SC</v>
      </c>
      <c r="B29">
        <f>'rockfish harvests'!B28</f>
        <v>1999</v>
      </c>
      <c r="C29" t="str">
        <f>'rockfish harvests'!C28</f>
        <v>WKMA</v>
      </c>
      <c r="D29">
        <f>'rockfish harvests'!D28</f>
        <v>228</v>
      </c>
      <c r="E29">
        <v>5</v>
      </c>
      <c r="F29" t="s">
        <v>159</v>
      </c>
      <c r="G29" s="38">
        <v>0.74470782740778874</v>
      </c>
      <c r="H29" s="39">
        <v>4.4922308591158009E-3</v>
      </c>
      <c r="I29" s="13">
        <f t="shared" si="34"/>
        <v>3.7235391370389435</v>
      </c>
      <c r="J29">
        <f t="shared" si="4"/>
        <v>0.11230577147789503</v>
      </c>
      <c r="K29">
        <f t="shared" si="5"/>
        <v>0.33512053276081882</v>
      </c>
      <c r="L29" s="6">
        <f t="shared" si="6"/>
        <v>0.6568362442112049</v>
      </c>
      <c r="N29" s="2">
        <f>'rockfish harvests'!O28</f>
        <v>65.760444250355874</v>
      </c>
      <c r="O29">
        <f>'rockfish harvests'!P28</f>
        <v>1616.4079487649926</v>
      </c>
      <c r="R29" s="38">
        <v>0.1616564144198088</v>
      </c>
      <c r="S29" s="39">
        <v>1.2779754648134906E-3</v>
      </c>
      <c r="T29" s="13">
        <f t="shared" si="35"/>
        <v>10.630597628166262</v>
      </c>
      <c r="U29" s="14">
        <f t="shared" si="7"/>
        <v>49.833512542661239</v>
      </c>
      <c r="V29">
        <f t="shared" si="8"/>
        <v>7.0592855546904492</v>
      </c>
      <c r="W29" s="6">
        <f t="shared" si="9"/>
        <v>13.836199687193281</v>
      </c>
      <c r="Y29" s="13">
        <f t="shared" si="2"/>
        <v>14.354136765205205</v>
      </c>
      <c r="Z29">
        <f t="shared" si="3"/>
        <v>49.945818314139132</v>
      </c>
      <c r="AA29">
        <f t="shared" si="10"/>
        <v>7.0672355496430947</v>
      </c>
      <c r="AB29" s="6">
        <f t="shared" si="11"/>
        <v>13.851781677300465</v>
      </c>
      <c r="AC29" s="14">
        <f t="shared" si="12"/>
        <v>0.4923483498341924</v>
      </c>
    </row>
    <row r="30" spans="1:29" x14ac:dyDescent="0.3">
      <c r="A30" t="str">
        <f>'rockfish harvests'!A29</f>
        <v>SC</v>
      </c>
      <c r="B30">
        <f>'rockfish harvests'!B29</f>
        <v>2000</v>
      </c>
      <c r="C30" t="str">
        <f>'rockfish harvests'!C29</f>
        <v>WKMA</v>
      </c>
      <c r="D30">
        <f>'rockfish harvests'!D29</f>
        <v>386</v>
      </c>
      <c r="E30">
        <v>78</v>
      </c>
      <c r="F30" t="s">
        <v>159</v>
      </c>
      <c r="G30" s="38">
        <v>0.74470782740778874</v>
      </c>
      <c r="H30" s="39">
        <v>4.4922308591158009E-3</v>
      </c>
      <c r="I30" s="13">
        <f t="shared" si="34"/>
        <v>58.087210537807522</v>
      </c>
      <c r="J30">
        <f t="shared" si="4"/>
        <v>27.330732546860531</v>
      </c>
      <c r="K30">
        <f t="shared" si="5"/>
        <v>5.2278803110687733</v>
      </c>
      <c r="L30" s="6">
        <f t="shared" si="6"/>
        <v>10.246645409694795</v>
      </c>
      <c r="N30" s="2">
        <f>'rockfish harvests'!O29</f>
        <v>111.33127842384812</v>
      </c>
      <c r="O30">
        <f>'rockfish harvests'!P29</f>
        <v>4632.9316469334572</v>
      </c>
      <c r="R30" s="38">
        <v>0.1616564144198088</v>
      </c>
      <c r="S30" s="39">
        <v>1.2779754648134906E-3</v>
      </c>
      <c r="T30" s="13">
        <f t="shared" si="35"/>
        <v>17.99741528277271</v>
      </c>
      <c r="U30" s="14">
        <f t="shared" si="7"/>
        <v>142.83229522172888</v>
      </c>
      <c r="V30">
        <f t="shared" si="8"/>
        <v>11.951246596975936</v>
      </c>
      <c r="W30" s="6">
        <f t="shared" si="9"/>
        <v>23.424443330072837</v>
      </c>
      <c r="Y30" s="13">
        <f t="shared" si="2"/>
        <v>76.084625820580229</v>
      </c>
      <c r="Z30">
        <f t="shared" si="3"/>
        <v>170.16302776858942</v>
      </c>
      <c r="AA30">
        <f t="shared" si="10"/>
        <v>13.044655141803842</v>
      </c>
      <c r="AB30" s="6">
        <f t="shared" si="11"/>
        <v>25.567524077935531</v>
      </c>
      <c r="AC30" s="14">
        <f t="shared" si="12"/>
        <v>0.17144929085365071</v>
      </c>
    </row>
    <row r="31" spans="1:29" x14ac:dyDescent="0.3">
      <c r="A31" t="str">
        <f>'rockfish harvests'!A30</f>
        <v>SC</v>
      </c>
      <c r="B31">
        <f>'rockfish harvests'!B30</f>
        <v>2001</v>
      </c>
      <c r="C31" t="str">
        <f>'rockfish harvests'!C30</f>
        <v>WKMA</v>
      </c>
      <c r="D31">
        <f>'rockfish harvests'!D30</f>
        <v>1182</v>
      </c>
      <c r="E31">
        <v>24</v>
      </c>
      <c r="F31" t="s">
        <v>159</v>
      </c>
      <c r="G31" s="38">
        <v>0.74470782740778874</v>
      </c>
      <c r="H31" s="39">
        <v>4.4922308591158009E-3</v>
      </c>
      <c r="I31" s="13">
        <f t="shared" si="34"/>
        <v>17.872987857786931</v>
      </c>
      <c r="J31">
        <f t="shared" si="4"/>
        <v>2.5875249748507012</v>
      </c>
      <c r="K31">
        <f t="shared" si="5"/>
        <v>1.6085785572519302</v>
      </c>
      <c r="L31" s="6">
        <f t="shared" si="6"/>
        <v>3.1528139722137833</v>
      </c>
      <c r="N31" s="2">
        <f>'rockfish harvests'!O30</f>
        <v>340.91598729789757</v>
      </c>
      <c r="O31">
        <f>'rockfish harvests'!P30</f>
        <v>43442.642717188777</v>
      </c>
      <c r="R31" s="38">
        <v>0.1616564144198088</v>
      </c>
      <c r="S31" s="39">
        <v>1.2779754648134906E-3</v>
      </c>
      <c r="T31" s="13">
        <f t="shared" si="35"/>
        <v>55.111256124967198</v>
      </c>
      <c r="U31" s="14">
        <f t="shared" si="7"/>
        <v>1339.3274156981577</v>
      </c>
      <c r="V31">
        <f t="shared" si="8"/>
        <v>36.59682248089522</v>
      </c>
      <c r="W31" s="6">
        <f t="shared" si="9"/>
        <v>71.72977206255463</v>
      </c>
      <c r="Y31" s="13">
        <f t="shared" si="2"/>
        <v>72.984243982754123</v>
      </c>
      <c r="Z31">
        <f t="shared" si="3"/>
        <v>1341.9149406730085</v>
      </c>
      <c r="AA31">
        <f t="shared" si="10"/>
        <v>36.632157193823687</v>
      </c>
      <c r="AB31" s="6">
        <f t="shared" si="11"/>
        <v>71.799028099894429</v>
      </c>
      <c r="AC31" s="14">
        <f t="shared" si="12"/>
        <v>0.50191870456971122</v>
      </c>
    </row>
    <row r="32" spans="1:29" x14ac:dyDescent="0.3">
      <c r="A32" t="str">
        <f>'rockfish harvests'!A31</f>
        <v>SC</v>
      </c>
      <c r="B32">
        <f>'rockfish harvests'!B31</f>
        <v>2002</v>
      </c>
      <c r="C32" t="str">
        <f>'rockfish harvests'!C31</f>
        <v>WKMA</v>
      </c>
      <c r="D32">
        <f>'rockfish harvests'!D31</f>
        <v>880</v>
      </c>
      <c r="E32">
        <v>69</v>
      </c>
      <c r="F32" t="s">
        <v>159</v>
      </c>
      <c r="G32" s="38">
        <v>0.74470782740778874</v>
      </c>
      <c r="H32" s="39">
        <v>4.4922308591158009E-3</v>
      </c>
      <c r="I32" s="13">
        <f t="shared" si="34"/>
        <v>51.38484009113742</v>
      </c>
      <c r="J32">
        <f t="shared" si="4"/>
        <v>21.387511120250327</v>
      </c>
      <c r="K32">
        <f t="shared" si="5"/>
        <v>4.624663352099299</v>
      </c>
      <c r="L32" s="6">
        <f t="shared" si="6"/>
        <v>9.064340170114626</v>
      </c>
      <c r="N32" s="2">
        <f>'rockfish harvests'!O31</f>
        <v>253.8122409662858</v>
      </c>
      <c r="O32">
        <f>'rockfish harvests'!P31</f>
        <v>24079.453591943871</v>
      </c>
      <c r="R32" s="38">
        <v>0.1616564144198088</v>
      </c>
      <c r="S32" s="39">
        <v>1.2779754648134906E-3</v>
      </c>
      <c r="T32" s="13">
        <f t="shared" si="35"/>
        <v>41.030376810466272</v>
      </c>
      <c r="U32" s="14">
        <f t="shared" si="7"/>
        <v>742.36442199593841</v>
      </c>
      <c r="V32">
        <f t="shared" si="8"/>
        <v>27.246365298805241</v>
      </c>
      <c r="W32" s="6">
        <f t="shared" si="9"/>
        <v>53.40287598565827</v>
      </c>
      <c r="Y32" s="13">
        <f t="shared" si="2"/>
        <v>92.415216901603685</v>
      </c>
      <c r="Z32">
        <f t="shared" si="3"/>
        <v>763.75193311618875</v>
      </c>
      <c r="AA32">
        <f t="shared" si="10"/>
        <v>27.636062185416154</v>
      </c>
      <c r="AB32" s="6">
        <f t="shared" si="11"/>
        <v>54.166681883415663</v>
      </c>
      <c r="AC32" s="14">
        <f t="shared" si="12"/>
        <v>0.29904233428181876</v>
      </c>
    </row>
    <row r="33" spans="1:29" x14ac:dyDescent="0.3">
      <c r="A33" t="str">
        <f>'rockfish harvests'!A32</f>
        <v>SC</v>
      </c>
      <c r="B33">
        <f>'rockfish harvests'!B32</f>
        <v>2003</v>
      </c>
      <c r="C33" t="str">
        <f>'rockfish harvests'!C32</f>
        <v>WKMA</v>
      </c>
      <c r="D33">
        <f>'rockfish harvests'!D32</f>
        <v>1107</v>
      </c>
      <c r="E33">
        <v>149</v>
      </c>
      <c r="F33" t="s">
        <v>159</v>
      </c>
      <c r="G33" s="38">
        <v>0.74470782740778874</v>
      </c>
      <c r="H33" s="39">
        <v>4.4922308591158009E-3</v>
      </c>
      <c r="I33" s="13">
        <f t="shared" si="34"/>
        <v>110.96146628376052</v>
      </c>
      <c r="J33">
        <f t="shared" si="4"/>
        <v>99.732017303229895</v>
      </c>
      <c r="K33">
        <f t="shared" si="5"/>
        <v>9.9865918762723993</v>
      </c>
      <c r="L33" s="6">
        <f t="shared" si="6"/>
        <v>19.573720077493903</v>
      </c>
      <c r="N33" s="2">
        <f>'rockfish harvests'!O32</f>
        <v>319.28426221554378</v>
      </c>
      <c r="O33">
        <f>'rockfish harvests'!P32</f>
        <v>38104.522630157575</v>
      </c>
      <c r="R33" s="38">
        <v>0.1616564144198088</v>
      </c>
      <c r="S33" s="39">
        <v>1.2779754648134906E-3</v>
      </c>
      <c r="T33" s="13">
        <f t="shared" si="35"/>
        <v>51.614349010438843</v>
      </c>
      <c r="U33" s="14">
        <f t="shared" si="7"/>
        <v>1174.7543111705845</v>
      </c>
      <c r="V33">
        <f t="shared" si="8"/>
        <v>34.274689074747045</v>
      </c>
      <c r="W33" s="6">
        <f t="shared" si="9"/>
        <v>67.178390586504207</v>
      </c>
      <c r="Y33" s="13">
        <f t="shared" si="2"/>
        <v>162.57581529419934</v>
      </c>
      <c r="Z33">
        <f t="shared" si="3"/>
        <v>1274.4863284738144</v>
      </c>
      <c r="AA33">
        <f t="shared" si="10"/>
        <v>35.699948578027595</v>
      </c>
      <c r="AB33" s="6">
        <f t="shared" si="11"/>
        <v>69.97189921293409</v>
      </c>
      <c r="AC33" s="14">
        <f t="shared" si="12"/>
        <v>0.2195895405071443</v>
      </c>
    </row>
    <row r="34" spans="1:29" x14ac:dyDescent="0.3">
      <c r="A34" t="str">
        <f>'rockfish harvests'!A33</f>
        <v>SC</v>
      </c>
      <c r="B34">
        <f>'rockfish harvests'!B33</f>
        <v>2004</v>
      </c>
      <c r="C34" t="str">
        <f>'rockfish harvests'!C33</f>
        <v>WKMA</v>
      </c>
      <c r="D34">
        <f>'rockfish harvests'!D33</f>
        <v>810</v>
      </c>
      <c r="E34">
        <v>94</v>
      </c>
      <c r="F34" t="s">
        <v>159</v>
      </c>
      <c r="G34" s="38">
        <v>0.74470782740778874</v>
      </c>
      <c r="H34" s="39">
        <v>4.4922308591158009E-3</v>
      </c>
      <c r="I34" s="13">
        <f t="shared" si="34"/>
        <v>70.002535776332138</v>
      </c>
      <c r="J34">
        <f t="shared" si="4"/>
        <v>39.693351871147215</v>
      </c>
      <c r="K34">
        <f t="shared" si="5"/>
        <v>6.300266015903393</v>
      </c>
      <c r="L34" s="6">
        <f t="shared" si="6"/>
        <v>12.34852139117065</v>
      </c>
      <c r="N34" s="2">
        <f>'rockfish harvests'!O33</f>
        <v>233.62263088942223</v>
      </c>
      <c r="O34">
        <f>'rockfish harvests'!P33</f>
        <v>20400.993674682817</v>
      </c>
      <c r="R34" s="38">
        <v>0.1616564144198088</v>
      </c>
      <c r="S34" s="39">
        <v>1.2779754648134906E-3</v>
      </c>
      <c r="T34" s="13">
        <f t="shared" si="35"/>
        <v>37.766596836906466</v>
      </c>
      <c r="U34" s="14">
        <f t="shared" si="7"/>
        <v>628.95828676592885</v>
      </c>
      <c r="V34">
        <f t="shared" si="8"/>
        <v>25.079040786400281</v>
      </c>
      <c r="W34" s="6">
        <f t="shared" si="9"/>
        <v>49.154919941344552</v>
      </c>
      <c r="Y34" s="13">
        <f t="shared" si="2"/>
        <v>107.76913261323861</v>
      </c>
      <c r="Z34">
        <f t="shared" si="3"/>
        <v>668.65163863707608</v>
      </c>
      <c r="AA34">
        <f t="shared" si="10"/>
        <v>25.858299221663362</v>
      </c>
      <c r="AB34" s="6">
        <f t="shared" si="11"/>
        <v>50.682266474460185</v>
      </c>
      <c r="AC34" s="14">
        <f t="shared" si="12"/>
        <v>0.23994161031678257</v>
      </c>
    </row>
    <row r="35" spans="1:29" x14ac:dyDescent="0.3">
      <c r="A35" t="str">
        <f>'rockfish harvests'!A34</f>
        <v>SC</v>
      </c>
      <c r="B35">
        <f>'rockfish harvests'!B34</f>
        <v>2005</v>
      </c>
      <c r="C35" t="str">
        <f>'rockfish harvests'!C34</f>
        <v>WKMA</v>
      </c>
      <c r="D35">
        <f>'rockfish harvests'!D34</f>
        <v>1266</v>
      </c>
      <c r="E35">
        <v>133</v>
      </c>
      <c r="F35" t="s">
        <v>159</v>
      </c>
      <c r="G35" s="38">
        <v>0.74470782740778874</v>
      </c>
      <c r="H35" s="39">
        <v>4.4922308591158009E-3</v>
      </c>
      <c r="I35" s="13">
        <f t="shared" si="34"/>
        <v>99.046141045235899</v>
      </c>
      <c r="J35">
        <f t="shared" si="4"/>
        <v>79.463071666899395</v>
      </c>
      <c r="K35">
        <f t="shared" si="5"/>
        <v>8.9142061714377796</v>
      </c>
      <c r="L35" s="6">
        <f t="shared" si="6"/>
        <v>17.471844096018049</v>
      </c>
      <c r="N35" s="2">
        <f>'rockfish harvests'!O34</f>
        <v>365.14351939013386</v>
      </c>
      <c r="O35">
        <f>'rockfish harvests'!P34</f>
        <v>49836.633162719001</v>
      </c>
      <c r="R35" s="38">
        <v>0.1616564144198088</v>
      </c>
      <c r="S35" s="39">
        <v>1.2779754648134906E-3</v>
      </c>
      <c r="T35" s="13">
        <f t="shared" si="35"/>
        <v>59.027792093238972</v>
      </c>
      <c r="U35" s="14">
        <f t="shared" si="7"/>
        <v>1536.4527783322858</v>
      </c>
      <c r="V35">
        <f t="shared" si="8"/>
        <v>39.197611895781172</v>
      </c>
      <c r="W35" s="6">
        <f t="shared" si="9"/>
        <v>76.827319315731103</v>
      </c>
      <c r="Y35" s="13">
        <f t="shared" si="2"/>
        <v>158.07393313847487</v>
      </c>
      <c r="Z35">
        <f t="shared" si="3"/>
        <v>1615.9158499991852</v>
      </c>
      <c r="AA35">
        <f t="shared" si="10"/>
        <v>40.198455816102999</v>
      </c>
      <c r="AB35" s="6">
        <f t="shared" si="11"/>
        <v>78.788973399561883</v>
      </c>
      <c r="AC35" s="14">
        <f t="shared" si="12"/>
        <v>0.25430161075886315</v>
      </c>
    </row>
    <row r="36" spans="1:29" x14ac:dyDescent="0.3">
      <c r="A36" t="str">
        <f>'rockfish harvests'!A35</f>
        <v>SC</v>
      </c>
      <c r="B36">
        <f>'rockfish harvests'!B35</f>
        <v>2006</v>
      </c>
      <c r="C36" t="str">
        <f>'rockfish harvests'!C35</f>
        <v>WKMA</v>
      </c>
      <c r="D36">
        <f>'rockfish harvests'!D35</f>
        <v>737</v>
      </c>
      <c r="E36">
        <v>155</v>
      </c>
      <c r="F36">
        <v>118</v>
      </c>
      <c r="I36" s="13">
        <f>F36</f>
        <v>118</v>
      </c>
      <c r="J36">
        <f t="shared" si="4"/>
        <v>0</v>
      </c>
      <c r="K36">
        <f t="shared" si="5"/>
        <v>0</v>
      </c>
      <c r="L36" s="6">
        <f t="shared" si="6"/>
        <v>0</v>
      </c>
      <c r="N36" s="2">
        <f>'rockfish harvests'!O35</f>
        <v>212.56775180926445</v>
      </c>
      <c r="O36">
        <f>'rockfish harvests'!P35</f>
        <v>16889.47924597438</v>
      </c>
      <c r="R36" s="38">
        <v>0.1616564144198088</v>
      </c>
      <c r="S36" s="39">
        <v>1.2779754648134906E-3</v>
      </c>
      <c r="T36" s="13">
        <f t="shared" si="35"/>
        <v>34.362940578765517</v>
      </c>
      <c r="U36" s="14">
        <f t="shared" si="7"/>
        <v>520.69904536558863</v>
      </c>
      <c r="V36">
        <f t="shared" si="8"/>
        <v>22.818830937749389</v>
      </c>
      <c r="W36" s="6">
        <f t="shared" si="9"/>
        <v>44.724908637988804</v>
      </c>
      <c r="Y36" s="13">
        <f t="shared" si="2"/>
        <v>152.36294057876552</v>
      </c>
      <c r="Z36">
        <f t="shared" si="3"/>
        <v>520.69904536558863</v>
      </c>
      <c r="AA36">
        <f t="shared" si="10"/>
        <v>22.818830937749389</v>
      </c>
      <c r="AB36" s="6">
        <f t="shared" si="11"/>
        <v>44.724908637988804</v>
      </c>
      <c r="AC36" s="14">
        <f t="shared" si="12"/>
        <v>0.14976628077057211</v>
      </c>
    </row>
    <row r="37" spans="1:29" x14ac:dyDescent="0.3">
      <c r="A37" t="str">
        <f>'rockfish harvests'!A36</f>
        <v>SC</v>
      </c>
      <c r="B37">
        <f>'rockfish harvests'!B36</f>
        <v>2007</v>
      </c>
      <c r="C37" t="str">
        <f>'rockfish harvests'!C36</f>
        <v>WKMA</v>
      </c>
      <c r="D37">
        <f>'rockfish harvests'!D36</f>
        <v>1645</v>
      </c>
      <c r="E37">
        <v>337</v>
      </c>
      <c r="F37">
        <v>242</v>
      </c>
      <c r="I37" s="13">
        <f t="shared" ref="I37:I48" si="36">F37</f>
        <v>242</v>
      </c>
      <c r="J37">
        <f t="shared" si="4"/>
        <v>0</v>
      </c>
      <c r="K37">
        <f t="shared" si="5"/>
        <v>0</v>
      </c>
      <c r="L37" s="6">
        <f t="shared" si="6"/>
        <v>0</v>
      </c>
      <c r="N37" s="2">
        <f>'rockfish harvests'!O36</f>
        <v>474.45583680629579</v>
      </c>
      <c r="O37">
        <f>'rockfish harvests'!P36</f>
        <v>84142.049852969925</v>
      </c>
      <c r="R37" s="38">
        <v>0.1616564144198088</v>
      </c>
      <c r="S37" s="39">
        <v>1.2779754648134906E-3</v>
      </c>
      <c r="T37" s="13">
        <f t="shared" si="35"/>
        <v>76.698829378655731</v>
      </c>
      <c r="U37" s="14">
        <f t="shared" si="7"/>
        <v>2594.0814631089352</v>
      </c>
      <c r="V37">
        <f t="shared" si="8"/>
        <v>50.932126041516618</v>
      </c>
      <c r="W37" s="6">
        <f t="shared" si="9"/>
        <v>99.826967041372569</v>
      </c>
      <c r="Y37" s="13">
        <f t="shared" si="2"/>
        <v>318.69882937865572</v>
      </c>
      <c r="Z37">
        <f t="shared" si="3"/>
        <v>2594.0814631089352</v>
      </c>
      <c r="AA37">
        <f t="shared" si="10"/>
        <v>50.932126041516618</v>
      </c>
      <c r="AB37" s="6">
        <f t="shared" si="11"/>
        <v>99.826967041372569</v>
      </c>
      <c r="AC37" s="14">
        <f t="shared" si="12"/>
        <v>0.15981271767083469</v>
      </c>
    </row>
    <row r="38" spans="1:29" x14ac:dyDescent="0.3">
      <c r="A38" t="str">
        <f>'rockfish harvests'!A37</f>
        <v>SC</v>
      </c>
      <c r="B38">
        <f>'rockfish harvests'!B37</f>
        <v>2008</v>
      </c>
      <c r="C38" t="str">
        <f>'rockfish harvests'!C37</f>
        <v>WKMA</v>
      </c>
      <c r="D38">
        <f>'rockfish harvests'!D37</f>
        <v>1196</v>
      </c>
      <c r="E38">
        <v>296</v>
      </c>
      <c r="F38">
        <v>211</v>
      </c>
      <c r="I38" s="13">
        <f t="shared" si="36"/>
        <v>211</v>
      </c>
      <c r="J38">
        <f t="shared" si="4"/>
        <v>0</v>
      </c>
      <c r="K38">
        <f t="shared" si="5"/>
        <v>0</v>
      </c>
      <c r="L38" s="6">
        <f t="shared" si="6"/>
        <v>0</v>
      </c>
      <c r="N38" s="2">
        <f>'rockfish harvests'!O37</f>
        <v>344.95390931327029</v>
      </c>
      <c r="O38">
        <f>'rockfish harvests'!P37</f>
        <v>44477.835342425082</v>
      </c>
      <c r="R38" s="38">
        <v>0.1616564144198088</v>
      </c>
      <c r="S38" s="39">
        <v>1.2779754648134906E-3</v>
      </c>
      <c r="T38" s="13">
        <f t="shared" si="35"/>
        <v>55.764012119679165</v>
      </c>
      <c r="U38" s="14">
        <f t="shared" si="7"/>
        <v>1371.2421836954313</v>
      </c>
      <c r="V38">
        <f t="shared" si="8"/>
        <v>37.030287383376212</v>
      </c>
      <c r="W38" s="6">
        <f t="shared" si="9"/>
        <v>72.579363271417378</v>
      </c>
      <c r="Y38" s="13">
        <f t="shared" si="2"/>
        <v>266.76401211967914</v>
      </c>
      <c r="Z38">
        <f t="shared" si="3"/>
        <v>1371.2421836954313</v>
      </c>
      <c r="AA38">
        <f t="shared" si="10"/>
        <v>37.030287383376212</v>
      </c>
      <c r="AB38" s="6">
        <f t="shared" si="11"/>
        <v>72.579363271417378</v>
      </c>
      <c r="AC38" s="14">
        <f t="shared" si="12"/>
        <v>0.13881290466857726</v>
      </c>
    </row>
    <row r="39" spans="1:29" x14ac:dyDescent="0.3">
      <c r="A39" t="str">
        <f>'rockfish harvests'!A38</f>
        <v>SC</v>
      </c>
      <c r="B39">
        <f>'rockfish harvests'!B38</f>
        <v>2009</v>
      </c>
      <c r="C39" t="str">
        <f>'rockfish harvests'!C38</f>
        <v>WKMA</v>
      </c>
      <c r="D39">
        <f>'rockfish harvests'!D38</f>
        <v>1849</v>
      </c>
      <c r="E39">
        <v>332</v>
      </c>
      <c r="F39">
        <v>249</v>
      </c>
      <c r="I39" s="13">
        <f t="shared" si="36"/>
        <v>249</v>
      </c>
      <c r="J39">
        <f t="shared" si="4"/>
        <v>0</v>
      </c>
      <c r="K39">
        <f t="shared" si="5"/>
        <v>0</v>
      </c>
      <c r="L39" s="6">
        <f t="shared" si="6"/>
        <v>0</v>
      </c>
      <c r="N39" s="2">
        <f>'rockfish harvests'!O38</f>
        <v>533.29412903029834</v>
      </c>
      <c r="O39">
        <f>'rockfish harvests'!P38</f>
        <v>106305.34609967883</v>
      </c>
      <c r="R39" s="38">
        <v>0.1616564144198088</v>
      </c>
      <c r="S39" s="39">
        <v>1.2779754648134906E-3</v>
      </c>
      <c r="T39" s="13">
        <f t="shared" si="35"/>
        <v>86.210416730172895</v>
      </c>
      <c r="U39" s="14">
        <f t="shared" si="7"/>
        <v>3277.371162556994</v>
      </c>
      <c r="V39">
        <f t="shared" si="8"/>
        <v>57.248328906239649</v>
      </c>
      <c r="W39" s="6">
        <f t="shared" si="9"/>
        <v>112.20672465622971</v>
      </c>
      <c r="Y39" s="13">
        <f t="shared" si="2"/>
        <v>335.21041673017288</v>
      </c>
      <c r="Z39">
        <f t="shared" si="3"/>
        <v>3277.371162556994</v>
      </c>
      <c r="AA39">
        <f t="shared" si="10"/>
        <v>57.248328906239649</v>
      </c>
      <c r="AB39" s="6">
        <f t="shared" si="11"/>
        <v>112.20672465622971</v>
      </c>
      <c r="AC39" s="14">
        <f t="shared" si="12"/>
        <v>0.17078326343396902</v>
      </c>
    </row>
    <row r="40" spans="1:29" x14ac:dyDescent="0.3">
      <c r="A40" t="str">
        <f>'rockfish harvests'!A39</f>
        <v>SC</v>
      </c>
      <c r="B40">
        <f>'rockfish harvests'!B39</f>
        <v>2010</v>
      </c>
      <c r="C40" t="str">
        <f>'rockfish harvests'!C39</f>
        <v>WKMA</v>
      </c>
      <c r="D40">
        <f>'rockfish harvests'!D39</f>
        <v>1266</v>
      </c>
      <c r="E40">
        <v>473</v>
      </c>
      <c r="F40">
        <v>317</v>
      </c>
      <c r="I40" s="13">
        <f t="shared" si="36"/>
        <v>317</v>
      </c>
      <c r="J40">
        <f t="shared" si="4"/>
        <v>0</v>
      </c>
      <c r="K40">
        <f t="shared" si="5"/>
        <v>0</v>
      </c>
      <c r="L40" s="6">
        <f t="shared" si="6"/>
        <v>0</v>
      </c>
      <c r="N40" s="2">
        <f>'rockfish harvests'!O39</f>
        <v>365.14351939013386</v>
      </c>
      <c r="O40">
        <f>'rockfish harvests'!P39</f>
        <v>49836.633162719001</v>
      </c>
      <c r="R40" s="38">
        <v>0.1616564144198088</v>
      </c>
      <c r="S40" s="39">
        <v>1.2779754648134906E-3</v>
      </c>
      <c r="T40" s="13">
        <f t="shared" si="35"/>
        <v>59.027792093238972</v>
      </c>
      <c r="U40" s="14">
        <f t="shared" si="7"/>
        <v>1536.4527783322858</v>
      </c>
      <c r="V40">
        <f t="shared" si="8"/>
        <v>39.197611895781172</v>
      </c>
      <c r="W40" s="6">
        <f t="shared" si="9"/>
        <v>76.827319315731103</v>
      </c>
      <c r="Y40" s="13">
        <f t="shared" si="2"/>
        <v>376.02779209323899</v>
      </c>
      <c r="Z40">
        <f t="shared" si="3"/>
        <v>1536.4527783322858</v>
      </c>
      <c r="AA40">
        <f t="shared" si="10"/>
        <v>39.197611895781172</v>
      </c>
      <c r="AB40" s="6">
        <f t="shared" si="11"/>
        <v>76.827319315731103</v>
      </c>
      <c r="AC40" s="14">
        <f t="shared" si="12"/>
        <v>0.10424126280022893</v>
      </c>
    </row>
    <row r="41" spans="1:29" x14ac:dyDescent="0.3">
      <c r="A41" t="str">
        <f>'rockfish harvests'!A40</f>
        <v>SC</v>
      </c>
      <c r="B41">
        <f>'rockfish harvests'!B40</f>
        <v>2011</v>
      </c>
      <c r="C41" t="str">
        <f>'rockfish harvests'!C40</f>
        <v>WKMA</v>
      </c>
      <c r="D41">
        <f>'rockfish harvests'!D40</f>
        <v>1366</v>
      </c>
      <c r="E41">
        <v>249</v>
      </c>
      <c r="F41">
        <v>163</v>
      </c>
      <c r="I41" s="13">
        <f t="shared" si="36"/>
        <v>163</v>
      </c>
      <c r="J41">
        <f t="shared" si="4"/>
        <v>0</v>
      </c>
      <c r="K41">
        <f t="shared" si="5"/>
        <v>0</v>
      </c>
      <c r="L41" s="6">
        <f t="shared" si="6"/>
        <v>0</v>
      </c>
      <c r="N41" s="2">
        <f>'rockfish harvests'!O40</f>
        <v>321.1685166498487</v>
      </c>
      <c r="O41">
        <f>'rockfish harvests'!P40</f>
        <v>51469.344301835146</v>
      </c>
      <c r="R41" s="38">
        <v>0.1616564144198088</v>
      </c>
      <c r="S41" s="39">
        <v>1.2779754648134906E-3</v>
      </c>
      <c r="T41" s="13">
        <f t="shared" si="35"/>
        <v>51.918950826143202</v>
      </c>
      <c r="U41" s="14">
        <f t="shared" si="7"/>
        <v>1542.6366181035644</v>
      </c>
      <c r="V41">
        <f t="shared" si="8"/>
        <v>39.276412999452539</v>
      </c>
      <c r="W41" s="6">
        <f t="shared" si="9"/>
        <v>76.981769478926978</v>
      </c>
      <c r="Y41" s="13">
        <f t="shared" si="2"/>
        <v>214.9189508261432</v>
      </c>
      <c r="Z41">
        <f t="shared" si="3"/>
        <v>1542.6366181035644</v>
      </c>
      <c r="AA41">
        <f t="shared" si="10"/>
        <v>39.276412999452539</v>
      </c>
      <c r="AB41" s="6">
        <f t="shared" si="11"/>
        <v>76.981769478926978</v>
      </c>
      <c r="AC41" s="14">
        <f t="shared" si="12"/>
        <v>0.18274988244859267</v>
      </c>
    </row>
    <row r="42" spans="1:29" x14ac:dyDescent="0.3">
      <c r="A42" t="str">
        <f>'rockfish harvests'!A41</f>
        <v>SC</v>
      </c>
      <c r="B42">
        <f>'rockfish harvests'!B41</f>
        <v>2012</v>
      </c>
      <c r="C42" t="str">
        <f>'rockfish harvests'!C41</f>
        <v>WKMA</v>
      </c>
      <c r="D42">
        <f>'rockfish harvests'!D41</f>
        <v>1747</v>
      </c>
      <c r="E42">
        <v>425</v>
      </c>
      <c r="F42">
        <v>335</v>
      </c>
      <c r="I42" s="13">
        <f t="shared" si="36"/>
        <v>335</v>
      </c>
      <c r="J42">
        <f t="shared" si="4"/>
        <v>0</v>
      </c>
      <c r="K42">
        <f t="shared" si="5"/>
        <v>0</v>
      </c>
      <c r="L42" s="6">
        <f t="shared" si="6"/>
        <v>0</v>
      </c>
      <c r="N42" s="2">
        <f>'rockfish harvests'!O41</f>
        <v>1124.7026143790849</v>
      </c>
      <c r="O42">
        <f>'rockfish harvests'!P41</f>
        <v>412684.87548151758</v>
      </c>
      <c r="R42" s="38">
        <v>0.1616564144198088</v>
      </c>
      <c r="S42" s="39">
        <v>1.2779754648134906E-3</v>
      </c>
      <c r="T42" s="13">
        <f t="shared" si="35"/>
        <v>181.81539192910776</v>
      </c>
      <c r="U42" s="14">
        <f t="shared" si="7"/>
        <v>12928.593636874986</v>
      </c>
      <c r="V42">
        <f t="shared" si="8"/>
        <v>113.70397370749619</v>
      </c>
      <c r="W42" s="6">
        <f t="shared" si="9"/>
        <v>222.85978846669252</v>
      </c>
      <c r="Y42" s="13">
        <f t="shared" si="2"/>
        <v>516.81539192910782</v>
      </c>
      <c r="Z42">
        <f t="shared" si="3"/>
        <v>12928.593636874986</v>
      </c>
      <c r="AA42">
        <f t="shared" si="10"/>
        <v>113.70397370749619</v>
      </c>
      <c r="AB42" s="6">
        <f t="shared" si="11"/>
        <v>222.85978846669252</v>
      </c>
      <c r="AC42" s="14">
        <f t="shared" si="12"/>
        <v>0.22000887644440184</v>
      </c>
    </row>
    <row r="43" spans="1:29" x14ac:dyDescent="0.3">
      <c r="A43" t="str">
        <f>'rockfish harvests'!A42</f>
        <v>SC</v>
      </c>
      <c r="B43">
        <f>'rockfish harvests'!B42</f>
        <v>2013</v>
      </c>
      <c r="C43" t="str">
        <f>'rockfish harvests'!C42</f>
        <v>WKMA</v>
      </c>
      <c r="D43">
        <f>'rockfish harvests'!D42</f>
        <v>1983</v>
      </c>
      <c r="E43">
        <v>357</v>
      </c>
      <c r="F43">
        <v>279</v>
      </c>
      <c r="I43" s="13">
        <f t="shared" si="36"/>
        <v>279</v>
      </c>
      <c r="J43">
        <f t="shared" si="4"/>
        <v>0</v>
      </c>
      <c r="K43">
        <f t="shared" si="5"/>
        <v>0</v>
      </c>
      <c r="L43" s="6">
        <f t="shared" si="6"/>
        <v>0</v>
      </c>
      <c r="N43" s="2">
        <f>'rockfish harvests'!O42</f>
        <v>401.95945945945914</v>
      </c>
      <c r="O43">
        <f>'rockfish harvests'!P42</f>
        <v>69446.330827502126</v>
      </c>
      <c r="R43" s="38">
        <v>0.1616564144198088</v>
      </c>
      <c r="S43" s="39">
        <v>1.2779754648134906E-3</v>
      </c>
      <c r="T43" s="13">
        <f t="shared" si="35"/>
        <v>64.979324958340655</v>
      </c>
      <c r="U43" s="14">
        <f t="shared" si="7"/>
        <v>2110.0618198423867</v>
      </c>
      <c r="V43">
        <f t="shared" si="8"/>
        <v>45.935409216010981</v>
      </c>
      <c r="W43" s="6">
        <f t="shared" si="9"/>
        <v>90.033402063381516</v>
      </c>
      <c r="Y43" s="13">
        <f t="shared" si="2"/>
        <v>343.97932495834067</v>
      </c>
      <c r="Z43">
        <f t="shared" si="3"/>
        <v>2110.0618198423867</v>
      </c>
      <c r="AA43">
        <f t="shared" si="10"/>
        <v>45.935409216010981</v>
      </c>
      <c r="AB43" s="6">
        <f t="shared" si="11"/>
        <v>90.033402063381516</v>
      </c>
      <c r="AC43" s="14">
        <f t="shared" si="12"/>
        <v>0.13354119240036946</v>
      </c>
    </row>
    <row r="44" spans="1:29" x14ac:dyDescent="0.3">
      <c r="A44" t="str">
        <f>'rockfish harvests'!A43</f>
        <v>SC</v>
      </c>
      <c r="B44">
        <f>'rockfish harvests'!B43</f>
        <v>2014</v>
      </c>
      <c r="C44" t="str">
        <f>'rockfish harvests'!C43</f>
        <v>WKMA</v>
      </c>
      <c r="D44">
        <f>'rockfish harvests'!D43</f>
        <v>2396</v>
      </c>
      <c r="E44">
        <v>639</v>
      </c>
      <c r="F44">
        <v>404</v>
      </c>
      <c r="I44" s="13">
        <f t="shared" si="36"/>
        <v>404</v>
      </c>
      <c r="J44">
        <f t="shared" si="4"/>
        <v>0</v>
      </c>
      <c r="K44">
        <f t="shared" si="5"/>
        <v>0</v>
      </c>
      <c r="L44" s="6">
        <f t="shared" si="6"/>
        <v>0</v>
      </c>
      <c r="N44" s="2">
        <f>'rockfish harvests'!O43</f>
        <v>806.87092451987473</v>
      </c>
      <c r="O44">
        <f>'rockfish harvests'!P43</f>
        <v>244720.20702808804</v>
      </c>
      <c r="R44" s="38">
        <v>0.1616564144198088</v>
      </c>
      <c r="S44" s="39">
        <v>1.2779754648134906E-3</v>
      </c>
      <c r="T44" s="13">
        <f t="shared" si="35"/>
        <v>130.43586055747915</v>
      </c>
      <c r="U44" s="14">
        <f t="shared" si="7"/>
        <v>7539.9837736573863</v>
      </c>
      <c r="V44">
        <f t="shared" si="8"/>
        <v>86.833079950312637</v>
      </c>
      <c r="W44" s="6">
        <f t="shared" si="9"/>
        <v>170.19283670261277</v>
      </c>
      <c r="Y44" s="13">
        <f t="shared" si="2"/>
        <v>534.43586055747915</v>
      </c>
      <c r="Z44">
        <f t="shared" si="3"/>
        <v>7539.9837736573863</v>
      </c>
      <c r="AA44">
        <f t="shared" si="10"/>
        <v>86.833079950312637</v>
      </c>
      <c r="AB44" s="6">
        <f t="shared" si="11"/>
        <v>170.19283670261277</v>
      </c>
      <c r="AC44" s="14">
        <f t="shared" si="12"/>
        <v>0.16247614795110413</v>
      </c>
    </row>
    <row r="45" spans="1:29" x14ac:dyDescent="0.3">
      <c r="A45" t="str">
        <f>'rockfish harvests'!A44</f>
        <v>SC</v>
      </c>
      <c r="B45">
        <f>'rockfish harvests'!B44</f>
        <v>2015</v>
      </c>
      <c r="C45" t="str">
        <f>'rockfish harvests'!C44</f>
        <v>WKMA</v>
      </c>
      <c r="D45">
        <f>'rockfish harvests'!D44</f>
        <v>2031</v>
      </c>
      <c r="E45">
        <v>367</v>
      </c>
      <c r="F45">
        <v>285</v>
      </c>
      <c r="I45" s="13">
        <f t="shared" si="36"/>
        <v>285</v>
      </c>
      <c r="J45">
        <f t="shared" si="4"/>
        <v>0</v>
      </c>
      <c r="K45">
        <f t="shared" si="5"/>
        <v>0</v>
      </c>
      <c r="L45" s="6">
        <f t="shared" si="6"/>
        <v>0</v>
      </c>
      <c r="N45" s="2">
        <f>'rockfish harvests'!O44</f>
        <v>924.55105533371352</v>
      </c>
      <c r="O45">
        <f>'rockfish harvests'!P44</f>
        <v>669754.36895301775</v>
      </c>
      <c r="R45" s="38">
        <v>0.1616564144198088</v>
      </c>
      <c r="S45" s="39">
        <v>1.2779754648134906E-3</v>
      </c>
      <c r="T45" s="13">
        <f t="shared" si="35"/>
        <v>149.45960855329838</v>
      </c>
      <c r="U45" s="14">
        <f t="shared" si="7"/>
        <v>19450.890756470213</v>
      </c>
      <c r="V45">
        <f t="shared" si="8"/>
        <v>139.46645028991816</v>
      </c>
      <c r="W45" s="6">
        <f t="shared" si="9"/>
        <v>273.35424256823956</v>
      </c>
      <c r="Y45" s="13">
        <f t="shared" si="2"/>
        <v>434.45960855329838</v>
      </c>
      <c r="Z45">
        <f t="shared" si="3"/>
        <v>19450.890756470213</v>
      </c>
      <c r="AA45">
        <f t="shared" si="10"/>
        <v>139.46645028991816</v>
      </c>
      <c r="AB45" s="6">
        <f t="shared" si="11"/>
        <v>273.35424256823956</v>
      </c>
      <c r="AC45" s="14">
        <f t="shared" si="12"/>
        <v>0.32101131507788666</v>
      </c>
    </row>
    <row r="46" spans="1:29" x14ac:dyDescent="0.3">
      <c r="A46" t="str">
        <f>'rockfish harvests'!A45</f>
        <v>SC</v>
      </c>
      <c r="B46">
        <f>'rockfish harvests'!B45</f>
        <v>2016</v>
      </c>
      <c r="C46" t="str">
        <f>'rockfish harvests'!C45</f>
        <v>WKMA</v>
      </c>
      <c r="D46">
        <f>'rockfish harvests'!D45</f>
        <v>3337</v>
      </c>
      <c r="E46">
        <v>693</v>
      </c>
      <c r="F46">
        <v>588</v>
      </c>
      <c r="I46" s="13">
        <f t="shared" si="36"/>
        <v>588</v>
      </c>
      <c r="J46">
        <f t="shared" si="4"/>
        <v>0</v>
      </c>
      <c r="K46">
        <f t="shared" si="5"/>
        <v>0</v>
      </c>
      <c r="L46" s="6">
        <f t="shared" si="6"/>
        <v>0</v>
      </c>
      <c r="N46" s="2">
        <f>'rockfish harvests'!O45</f>
        <v>295.12697145138736</v>
      </c>
      <c r="O46">
        <f>'rockfish harvests'!P45</f>
        <v>25370.25919469192</v>
      </c>
      <c r="R46" s="38">
        <v>0.1616564144198088</v>
      </c>
      <c r="S46" s="39">
        <v>1.2779754648134906E-3</v>
      </c>
      <c r="T46" s="13">
        <f t="shared" si="35"/>
        <v>47.709168003408557</v>
      </c>
      <c r="U46" s="14">
        <f t="shared" si="7"/>
        <v>806.72995758948798</v>
      </c>
      <c r="V46">
        <f t="shared" si="8"/>
        <v>28.40299205347014</v>
      </c>
      <c r="W46" s="6">
        <f t="shared" si="9"/>
        <v>55.669864424801474</v>
      </c>
      <c r="Y46" s="13">
        <f t="shared" si="2"/>
        <v>635.70916800340854</v>
      </c>
      <c r="Z46">
        <f t="shared" si="3"/>
        <v>806.72995758948798</v>
      </c>
      <c r="AA46">
        <f t="shared" si="10"/>
        <v>28.40299205347014</v>
      </c>
      <c r="AB46" s="6">
        <f t="shared" si="11"/>
        <v>55.669864424801474</v>
      </c>
      <c r="AC46" s="14">
        <f t="shared" si="12"/>
        <v>4.4679223586905778E-2</v>
      </c>
    </row>
    <row r="47" spans="1:29" x14ac:dyDescent="0.3">
      <c r="A47" t="str">
        <f>'rockfish harvests'!A46</f>
        <v>SC</v>
      </c>
      <c r="B47">
        <f>'rockfish harvests'!B46</f>
        <v>2017</v>
      </c>
      <c r="C47" t="str">
        <f>'rockfish harvests'!C46</f>
        <v>WKMA</v>
      </c>
      <c r="D47">
        <f>'rockfish harvests'!D46</f>
        <v>2899</v>
      </c>
      <c r="E47">
        <v>598</v>
      </c>
      <c r="F47">
        <v>493</v>
      </c>
      <c r="I47" s="13">
        <f t="shared" si="36"/>
        <v>493</v>
      </c>
      <c r="J47">
        <f t="shared" si="4"/>
        <v>0</v>
      </c>
      <c r="K47">
        <f t="shared" si="5"/>
        <v>0</v>
      </c>
      <c r="L47" s="6">
        <f t="shared" si="6"/>
        <v>0</v>
      </c>
      <c r="N47" s="2">
        <f>'rockfish harvests'!O46</f>
        <v>997.88339552238813</v>
      </c>
      <c r="O47">
        <f>'rockfish harvests'!P46</f>
        <v>341376.2270959196</v>
      </c>
      <c r="R47" s="38">
        <v>0.1616564144198088</v>
      </c>
      <c r="S47" s="39">
        <v>0</v>
      </c>
      <c r="T47" s="13">
        <f t="shared" si="35"/>
        <v>161.31425172921314</v>
      </c>
      <c r="U47" s="14">
        <f t="shared" si="7"/>
        <v>8921.1154122354037</v>
      </c>
      <c r="V47">
        <f t="shared" si="8"/>
        <v>94.451656482220599</v>
      </c>
      <c r="W47" s="6">
        <f t="shared" si="9"/>
        <v>185.12524670515236</v>
      </c>
      <c r="Y47" s="13">
        <f t="shared" si="2"/>
        <v>654.31425172921308</v>
      </c>
      <c r="Z47">
        <f t="shared" si="3"/>
        <v>8921.1154122354037</v>
      </c>
      <c r="AA47">
        <f t="shared" si="10"/>
        <v>94.451656482220599</v>
      </c>
      <c r="AB47" s="6">
        <f t="shared" si="11"/>
        <v>185.12524670515236</v>
      </c>
      <c r="AC47" s="14">
        <f t="shared" si="12"/>
        <v>0.14435213084936635</v>
      </c>
    </row>
    <row r="48" spans="1:29" x14ac:dyDescent="0.3">
      <c r="A48" t="str">
        <f>'rockfish harvests'!A47</f>
        <v>SC</v>
      </c>
      <c r="B48">
        <f>'rockfish harvests'!B47</f>
        <v>2018</v>
      </c>
      <c r="C48" t="str">
        <f>'rockfish harvests'!C47</f>
        <v>WKMA</v>
      </c>
      <c r="D48">
        <f>'rockfish harvests'!D47</f>
        <v>4291</v>
      </c>
      <c r="E48">
        <v>708</v>
      </c>
      <c r="F48">
        <v>540</v>
      </c>
      <c r="I48" s="13">
        <f t="shared" si="36"/>
        <v>540</v>
      </c>
      <c r="J48">
        <f t="shared" si="4"/>
        <v>0</v>
      </c>
      <c r="K48">
        <f t="shared" si="5"/>
        <v>0</v>
      </c>
      <c r="L48" s="6">
        <f t="shared" si="6"/>
        <v>0</v>
      </c>
      <c r="N48" s="2">
        <f>'rockfish harvests'!O47</f>
        <v>688.36627310061613</v>
      </c>
      <c r="O48">
        <f>'rockfish harvests'!P47</f>
        <v>176905.35655507445</v>
      </c>
      <c r="R48" s="38">
        <v>0.1616564144198088</v>
      </c>
      <c r="S48" s="39">
        <v>0</v>
      </c>
      <c r="T48" s="13">
        <f t="shared" si="35"/>
        <v>111.27882351697248</v>
      </c>
      <c r="U48" s="14">
        <f t="shared" si="7"/>
        <v>4623.031651313654</v>
      </c>
      <c r="V48">
        <f t="shared" si="8"/>
        <v>67.992879416256926</v>
      </c>
      <c r="W48" s="6">
        <f t="shared" si="9"/>
        <v>133.26604365586357</v>
      </c>
      <c r="Y48" s="13">
        <f t="shared" si="2"/>
        <v>651.27882351697247</v>
      </c>
      <c r="Z48">
        <f t="shared" si="3"/>
        <v>4623.031651313654</v>
      </c>
      <c r="AA48">
        <f t="shared" si="10"/>
        <v>67.992879416256926</v>
      </c>
      <c r="AB48" s="6">
        <f t="shared" si="11"/>
        <v>133.26604365586357</v>
      </c>
      <c r="AC48" s="14">
        <f t="shared" si="12"/>
        <v>0.10439903304254299</v>
      </c>
    </row>
    <row r="49" spans="1:29" x14ac:dyDescent="0.3">
      <c r="A49" t="str">
        <f>'rockfish harvests'!A48</f>
        <v>SC</v>
      </c>
      <c r="B49">
        <f>'rockfish harvests'!B48</f>
        <v>2019</v>
      </c>
      <c r="C49" t="str">
        <f>'rockfish harvests'!C48</f>
        <v>WKMA</v>
      </c>
      <c r="D49">
        <f>'rockfish harvests'!D48</f>
        <v>6954</v>
      </c>
      <c r="E49">
        <v>1310</v>
      </c>
      <c r="F49">
        <v>1037</v>
      </c>
      <c r="I49" s="13">
        <f>F49</f>
        <v>1037</v>
      </c>
      <c r="J49">
        <f>(E49^2)*H49</f>
        <v>0</v>
      </c>
      <c r="K49">
        <f>SQRT(J49)</f>
        <v>0</v>
      </c>
      <c r="L49" s="6">
        <f>(1.96*K49)</f>
        <v>0</v>
      </c>
      <c r="N49" s="2">
        <f>'rockfish harvests'!O48</f>
        <v>4547.8631178707237</v>
      </c>
      <c r="O49">
        <f>'rockfish harvests'!P48</f>
        <v>3743126.0537553802</v>
      </c>
      <c r="R49" s="38">
        <v>0.16076115674821842</v>
      </c>
      <c r="S49" s="38">
        <v>1.1856732315517384E-3</v>
      </c>
      <c r="T49" s="13">
        <f>R49*N49</f>
        <v>731.11973556145676</v>
      </c>
      <c r="U49" s="14">
        <f t="shared" si="7"/>
        <v>125699.38309652203</v>
      </c>
      <c r="V49">
        <f>SQRT(U49)</f>
        <v>354.54108802298504</v>
      </c>
      <c r="W49" s="6">
        <f>(1.96*V49)</f>
        <v>694.90053252505061</v>
      </c>
      <c r="Y49" s="13">
        <f>T49+I49</f>
        <v>1768.1197355614568</v>
      </c>
      <c r="Z49">
        <f>U49+J49</f>
        <v>125699.38309652203</v>
      </c>
      <c r="AA49">
        <f>SQRT(Z49)</f>
        <v>354.54108802298504</v>
      </c>
      <c r="AB49" s="6">
        <f>(1.96*AA49)</f>
        <v>694.90053252505061</v>
      </c>
      <c r="AC49" s="14">
        <f t="shared" si="12"/>
        <v>0.20051870973002994</v>
      </c>
    </row>
    <row r="50" spans="1:29" x14ac:dyDescent="0.3">
      <c r="A50" t="str">
        <f>'rockfish harvests'!A49</f>
        <v>SC</v>
      </c>
      <c r="B50">
        <f>'rockfish harvests'!B49</f>
        <v>2020</v>
      </c>
      <c r="C50" t="str">
        <f>'rockfish harvests'!C49</f>
        <v>WKMA</v>
      </c>
      <c r="D50">
        <f>'rockfish harvests'!D49</f>
        <v>4035</v>
      </c>
      <c r="E50">
        <v>579</v>
      </c>
      <c r="F50">
        <v>455</v>
      </c>
      <c r="I50" s="13">
        <f t="shared" ref="I50:I52" si="37">F50</f>
        <v>455</v>
      </c>
      <c r="J50">
        <f t="shared" ref="J50:J52" si="38">(E50^2)*H50</f>
        <v>0</v>
      </c>
      <c r="K50">
        <f t="shared" ref="K50:K52" si="39">SQRT(J50)</f>
        <v>0</v>
      </c>
      <c r="L50" s="6">
        <f t="shared" ref="L50:L52" si="40">(1.96*K50)</f>
        <v>0</v>
      </c>
      <c r="N50" s="2">
        <f>'rockfish harvests'!O49</f>
        <v>763.28309305373477</v>
      </c>
      <c r="O50">
        <f>'rockfish harvests'!P49</f>
        <v>145836.37674785985</v>
      </c>
      <c r="R50" s="38">
        <v>0.15756130102778784</v>
      </c>
      <c r="S50" s="38">
        <v>1.2599142579396518E-3</v>
      </c>
      <c r="T50" s="13">
        <f t="shared" ref="T50:T51" si="41">R50*N50</f>
        <v>120.2638771940605</v>
      </c>
      <c r="U50" s="14">
        <f t="shared" si="7"/>
        <v>4538.2389814120979</v>
      </c>
      <c r="V50">
        <f t="shared" ref="V50:V51" si="42">SQRT(U50)</f>
        <v>67.366452937735247</v>
      </c>
      <c r="W50" s="6">
        <f t="shared" ref="W50:W51" si="43">(1.96*V50)</f>
        <v>132.03824775796107</v>
      </c>
      <c r="Y50" s="13">
        <f t="shared" ref="Y50:Y51" si="44">T50+I50</f>
        <v>575.26387719406046</v>
      </c>
      <c r="Z50">
        <f t="shared" ref="Z50:Z51" si="45">U50+J50</f>
        <v>4538.2389814120979</v>
      </c>
      <c r="AA50">
        <f t="shared" ref="AA50:AA51" si="46">SQRT(Z50)</f>
        <v>67.366452937735247</v>
      </c>
      <c r="AB50" s="6">
        <f t="shared" ref="AB50:AB51" si="47">(1.96*AA50)</f>
        <v>132.03824775796107</v>
      </c>
      <c r="AC50" s="14">
        <f t="shared" ref="AC50:AC51" si="48">AA50/Y50</f>
        <v>0.11710530698768304</v>
      </c>
    </row>
    <row r="51" spans="1:29" x14ac:dyDescent="0.3">
      <c r="A51" t="str">
        <f>'rockfish harvests'!A50</f>
        <v>SC</v>
      </c>
      <c r="B51">
        <f>'rockfish harvests'!B50</f>
        <v>2021</v>
      </c>
      <c r="C51" t="str">
        <f>'rockfish harvests'!C50</f>
        <v>WKMA</v>
      </c>
      <c r="D51">
        <f>'rockfish harvests'!D50</f>
        <v>7924</v>
      </c>
      <c r="E51">
        <v>1031</v>
      </c>
      <c r="F51">
        <v>754</v>
      </c>
      <c r="I51" s="13">
        <f t="shared" si="37"/>
        <v>754</v>
      </c>
      <c r="J51">
        <f t="shared" si="38"/>
        <v>0</v>
      </c>
      <c r="K51">
        <f t="shared" si="39"/>
        <v>0</v>
      </c>
      <c r="L51" s="6">
        <f t="shared" si="40"/>
        <v>0</v>
      </c>
      <c r="N51" s="2">
        <f>'rockfish harvests'!O50</f>
        <v>1237.5434476279934</v>
      </c>
      <c r="O51">
        <f>'rockfish harvests'!P50</f>
        <v>260682.47263099358</v>
      </c>
      <c r="R51" s="38">
        <v>0.15366084237887165</v>
      </c>
      <c r="S51" s="38">
        <v>1.4299573571006593E-3</v>
      </c>
      <c r="T51" s="13">
        <f t="shared" si="41"/>
        <v>190.16196864297049</v>
      </c>
      <c r="U51" s="14">
        <f t="shared" si="7"/>
        <v>8717.9086965419283</v>
      </c>
      <c r="V51">
        <f t="shared" si="42"/>
        <v>93.369741868240851</v>
      </c>
      <c r="W51" s="6">
        <f t="shared" si="43"/>
        <v>183.00469406175208</v>
      </c>
      <c r="Y51" s="13">
        <f t="shared" si="44"/>
        <v>944.16196864297046</v>
      </c>
      <c r="Z51">
        <f t="shared" si="45"/>
        <v>8717.9086965419283</v>
      </c>
      <c r="AA51">
        <f t="shared" si="46"/>
        <v>93.369741868240851</v>
      </c>
      <c r="AB51" s="6">
        <f t="shared" si="47"/>
        <v>183.00469406175208</v>
      </c>
      <c r="AC51" s="14">
        <f t="shared" si="48"/>
        <v>9.8891657331251909E-2</v>
      </c>
    </row>
    <row r="52" spans="1:29" s="51" customFormat="1" x14ac:dyDescent="0.3">
      <c r="A52" s="51" t="s">
        <v>81</v>
      </c>
      <c r="B52" s="51">
        <v>2022</v>
      </c>
      <c r="C52" s="51" t="s">
        <v>54</v>
      </c>
      <c r="D52" s="51">
        <v>11146</v>
      </c>
      <c r="E52" s="51">
        <v>1422</v>
      </c>
      <c r="F52" s="51">
        <v>1071</v>
      </c>
      <c r="I52" s="71">
        <f t="shared" si="37"/>
        <v>1071</v>
      </c>
      <c r="J52" s="51">
        <f t="shared" si="38"/>
        <v>0</v>
      </c>
      <c r="K52" s="51">
        <f t="shared" si="39"/>
        <v>0</v>
      </c>
      <c r="L52" s="78">
        <f t="shared" si="40"/>
        <v>0</v>
      </c>
      <c r="N52" s="2">
        <f>'rockfish harvests'!O51</f>
        <v>4525.7248322147643</v>
      </c>
      <c r="O52">
        <f>'rockfish harvests'!P51</f>
        <v>4143553.5425617779</v>
      </c>
      <c r="R52" s="38">
        <v>0.15366084237887165</v>
      </c>
      <c r="S52" s="38">
        <v>1.4299573571006593E-3</v>
      </c>
      <c r="T52" s="13">
        <f t="shared" ref="T52" si="49">R52*N52</f>
        <v>695.42669009309827</v>
      </c>
      <c r="U52" s="14">
        <f t="shared" si="7"/>
        <v>133049.91093913611</v>
      </c>
      <c r="V52">
        <f t="shared" ref="V52" si="50">SQRT(U52)</f>
        <v>364.7600731153783</v>
      </c>
      <c r="W52" s="6">
        <f t="shared" ref="W52" si="51">(1.96*V52)</f>
        <v>714.92974330614152</v>
      </c>
      <c r="X52"/>
      <c r="Y52" s="13">
        <f t="shared" ref="Y52" si="52">T52+I52</f>
        <v>1766.4266900930984</v>
      </c>
      <c r="Z52">
        <f t="shared" ref="Z52" si="53">U52+J52</f>
        <v>133049.91093913611</v>
      </c>
      <c r="AA52">
        <f t="shared" ref="AA52" si="54">SQRT(Z52)</f>
        <v>364.7600731153783</v>
      </c>
      <c r="AB52" s="6">
        <f t="shared" ref="AB52" si="55">(1.96*AA52)</f>
        <v>714.92974330614152</v>
      </c>
      <c r="AC52" s="14">
        <f t="shared" ref="AC52" si="56">AA52/Y52</f>
        <v>0.20649601546507082</v>
      </c>
    </row>
    <row r="53" spans="1:29" x14ac:dyDescent="0.3">
      <c r="A53" t="str">
        <f>'rockfish harvests'!A52</f>
        <v>SC</v>
      </c>
      <c r="B53">
        <f>'rockfish harvests'!B52</f>
        <v>1998</v>
      </c>
      <c r="C53" t="str">
        <f>'rockfish harvests'!C52</f>
        <v>SKMA</v>
      </c>
      <c r="D53">
        <f>'rockfish harvests'!D52</f>
        <v>27</v>
      </c>
      <c r="E53">
        <v>5</v>
      </c>
      <c r="F53" t="s">
        <v>159</v>
      </c>
      <c r="G53" s="38">
        <v>0.70478762612764989</v>
      </c>
      <c r="H53" s="39">
        <v>5.8520684408507724E-2</v>
      </c>
      <c r="I53" s="13">
        <f t="shared" ref="I53:I60" si="57">E53*G53</f>
        <v>3.5239381306382493</v>
      </c>
      <c r="J53">
        <f t="shared" si="4"/>
        <v>1.4630171102126932</v>
      </c>
      <c r="K53">
        <f t="shared" si="5"/>
        <v>1.2095524421093502</v>
      </c>
      <c r="L53" s="6">
        <f t="shared" si="6"/>
        <v>2.3707227865343263</v>
      </c>
      <c r="N53" s="2">
        <f>'rockfish harvests'!O52</f>
        <v>7.9215011476053405</v>
      </c>
      <c r="O53">
        <f>'rockfish harvests'!P52</f>
        <v>23.019267226088481</v>
      </c>
      <c r="R53" s="38">
        <v>0.11145942888803913</v>
      </c>
      <c r="S53" s="39">
        <v>1.8625729336481456E-3</v>
      </c>
      <c r="T53" s="13">
        <f t="shared" si="35"/>
        <v>0.88292599384803783</v>
      </c>
      <c r="U53" s="14">
        <f t="shared" si="7"/>
        <v>0.44572491105186107</v>
      </c>
      <c r="V53">
        <f t="shared" si="8"/>
        <v>0.66762632591282756</v>
      </c>
      <c r="W53" s="6">
        <f t="shared" si="9"/>
        <v>1.308547598789142</v>
      </c>
      <c r="Y53" s="13">
        <f t="shared" si="2"/>
        <v>4.4068641244862867</v>
      </c>
      <c r="Z53">
        <f t="shared" si="3"/>
        <v>1.9087420212645543</v>
      </c>
      <c r="AA53">
        <f t="shared" si="10"/>
        <v>1.3815723004115834</v>
      </c>
      <c r="AB53" s="6">
        <f t="shared" si="11"/>
        <v>2.7078817088067035</v>
      </c>
      <c r="AC53" s="14">
        <f>AA53/Y53</f>
        <v>0.31350462854868139</v>
      </c>
    </row>
    <row r="54" spans="1:29" x14ac:dyDescent="0.3">
      <c r="A54" t="str">
        <f>'rockfish harvests'!A53</f>
        <v>SC</v>
      </c>
      <c r="B54">
        <f>'rockfish harvests'!B53</f>
        <v>1999</v>
      </c>
      <c r="C54" t="str">
        <f>'rockfish harvests'!C53</f>
        <v>SKMA</v>
      </c>
      <c r="D54">
        <f>'rockfish harvests'!D53</f>
        <v>88</v>
      </c>
      <c r="E54">
        <v>15</v>
      </c>
      <c r="F54" t="s">
        <v>159</v>
      </c>
      <c r="G54" s="38">
        <v>0.70478762612764989</v>
      </c>
      <c r="H54" s="39">
        <v>5.8520684408507724E-2</v>
      </c>
      <c r="I54" s="13">
        <f t="shared" si="57"/>
        <v>10.571814391914748</v>
      </c>
      <c r="J54">
        <f t="shared" si="4"/>
        <v>13.167153991914239</v>
      </c>
      <c r="K54">
        <f t="shared" si="5"/>
        <v>3.6286573263280508</v>
      </c>
      <c r="L54" s="6">
        <f t="shared" si="6"/>
        <v>7.1121683596029799</v>
      </c>
      <c r="N54" s="2">
        <f>'rockfish harvests'!O53</f>
        <v>25.818225962565563</v>
      </c>
      <c r="O54">
        <f>'rockfish harvests'!P53</f>
        <v>244.52840246752979</v>
      </c>
      <c r="R54" s="38">
        <v>0.11145942888803913</v>
      </c>
      <c r="S54" s="39">
        <v>1.8625729336481456E-3</v>
      </c>
      <c r="T54" s="13">
        <f t="shared" si="35"/>
        <v>2.8776847206899019</v>
      </c>
      <c r="U54" s="14">
        <f t="shared" si="7"/>
        <v>4.7348336230255335</v>
      </c>
      <c r="V54">
        <f t="shared" si="8"/>
        <v>2.1759672844566236</v>
      </c>
      <c r="W54" s="6">
        <f t="shared" si="9"/>
        <v>4.2648958775349826</v>
      </c>
      <c r="Y54" s="13">
        <f t="shared" ref="Y54:Y123" si="58">T54+I54</f>
        <v>13.449499112604649</v>
      </c>
      <c r="Z54">
        <f t="shared" ref="Z54:Z123" si="59">U54+J54</f>
        <v>17.90198761493977</v>
      </c>
      <c r="AA54">
        <f t="shared" si="10"/>
        <v>4.2310740498057662</v>
      </c>
      <c r="AB54" s="6">
        <f t="shared" si="11"/>
        <v>8.2929051376193019</v>
      </c>
      <c r="AC54" s="14">
        <f t="shared" si="12"/>
        <v>0.31458971180870771</v>
      </c>
    </row>
    <row r="55" spans="1:29" x14ac:dyDescent="0.3">
      <c r="A55" t="str">
        <f>'rockfish harvests'!A54</f>
        <v>SC</v>
      </c>
      <c r="B55">
        <f>'rockfish harvests'!B54</f>
        <v>2000</v>
      </c>
      <c r="C55" t="str">
        <f>'rockfish harvests'!C54</f>
        <v>SKMA</v>
      </c>
      <c r="D55">
        <f>'rockfish harvests'!D54</f>
        <v>65</v>
      </c>
      <c r="E55">
        <v>60</v>
      </c>
      <c r="F55" t="s">
        <v>159</v>
      </c>
      <c r="G55" s="38">
        <v>0.70478762612764989</v>
      </c>
      <c r="H55" s="39">
        <v>5.8520684408507724E-2</v>
      </c>
      <c r="I55" s="13">
        <f t="shared" si="57"/>
        <v>42.28725756765899</v>
      </c>
      <c r="J55">
        <f t="shared" ref="J55:J123" si="60">(E55^2)*H55</f>
        <v>210.67446387062782</v>
      </c>
      <c r="K55">
        <f t="shared" ref="K55:K123" si="61">SQRT(J55)</f>
        <v>14.514629305312203</v>
      </c>
      <c r="L55" s="6">
        <f t="shared" ref="L55:L123" si="62">(1.96*K55)</f>
        <v>28.44867343841192</v>
      </c>
      <c r="N55" s="2">
        <f>'rockfish harvests'!O54</f>
        <v>19.070280540531371</v>
      </c>
      <c r="O55">
        <f>'rockfish harvests'!P54</f>
        <v>133.41070511690512</v>
      </c>
      <c r="R55" s="38">
        <v>0.11145942888803913</v>
      </c>
      <c r="S55" s="39">
        <v>1.8625729336481456E-3</v>
      </c>
      <c r="T55" s="13">
        <f t="shared" si="35"/>
        <v>2.1255625777823126</v>
      </c>
      <c r="U55" s="14">
        <f t="shared" si="7"/>
        <v>2.5832479412813623</v>
      </c>
      <c r="V55">
        <f t="shared" ref="V55:V123" si="63">SQRT(U55)</f>
        <v>1.6072485623827331</v>
      </c>
      <c r="W55" s="6">
        <f t="shared" ref="W55:W123" si="64">(1.96*V55)</f>
        <v>3.1502071822701567</v>
      </c>
      <c r="Y55" s="13">
        <f t="shared" si="58"/>
        <v>44.412820145441302</v>
      </c>
      <c r="Z55">
        <f t="shared" si="59"/>
        <v>213.25771181190919</v>
      </c>
      <c r="AA55">
        <f t="shared" ref="AA55:AA123" si="65">SQRT(Z55)</f>
        <v>14.60334591153374</v>
      </c>
      <c r="AB55" s="6">
        <f t="shared" ref="AB55:AB123" si="66">(1.96*AA55)</f>
        <v>28.622557986606129</v>
      </c>
      <c r="AC55" s="14">
        <f t="shared" si="12"/>
        <v>0.32880924615260404</v>
      </c>
    </row>
    <row r="56" spans="1:29" x14ac:dyDescent="0.3">
      <c r="A56" t="str">
        <f>'rockfish harvests'!A55</f>
        <v>SC</v>
      </c>
      <c r="B56">
        <f>'rockfish harvests'!B55</f>
        <v>2001</v>
      </c>
      <c r="C56" t="str">
        <f>'rockfish harvests'!C55</f>
        <v>SKMA</v>
      </c>
      <c r="D56">
        <f>'rockfish harvests'!D55</f>
        <v>27</v>
      </c>
      <c r="E56">
        <v>19</v>
      </c>
      <c r="F56" t="s">
        <v>159</v>
      </c>
      <c r="G56" s="38">
        <v>0.70478762612764989</v>
      </c>
      <c r="H56" s="39">
        <v>5.8520684408507724E-2</v>
      </c>
      <c r="I56" s="13">
        <f t="shared" si="57"/>
        <v>13.390964896425348</v>
      </c>
      <c r="J56">
        <f t="shared" si="60"/>
        <v>21.125967071471287</v>
      </c>
      <c r="K56">
        <f t="shared" si="61"/>
        <v>4.5962992800155309</v>
      </c>
      <c r="L56" s="6">
        <f t="shared" si="62"/>
        <v>9.0087465888304408</v>
      </c>
      <c r="N56" s="2">
        <f>'rockfish harvests'!O55</f>
        <v>7.9215011476053405</v>
      </c>
      <c r="O56">
        <f>'rockfish harvests'!P55</f>
        <v>23.019267226088481</v>
      </c>
      <c r="R56" s="38">
        <v>0.11145942888803913</v>
      </c>
      <c r="S56" s="39">
        <v>1.8625729336481456E-3</v>
      </c>
      <c r="T56" s="13">
        <f t="shared" si="35"/>
        <v>0.88292599384803783</v>
      </c>
      <c r="U56" s="14">
        <f t="shared" si="7"/>
        <v>0.44572491105186107</v>
      </c>
      <c r="V56">
        <f t="shared" si="63"/>
        <v>0.66762632591282756</v>
      </c>
      <c r="W56" s="6">
        <f t="shared" si="64"/>
        <v>1.308547598789142</v>
      </c>
      <c r="Y56" s="13">
        <f t="shared" si="58"/>
        <v>14.273890890273385</v>
      </c>
      <c r="Z56">
        <f t="shared" si="59"/>
        <v>21.571691982523149</v>
      </c>
      <c r="AA56">
        <f t="shared" si="65"/>
        <v>4.644533559198722</v>
      </c>
      <c r="AB56" s="6">
        <f t="shared" si="66"/>
        <v>9.1032857760294945</v>
      </c>
      <c r="AC56" s="14">
        <f t="shared" si="12"/>
        <v>0.32538665139745693</v>
      </c>
    </row>
    <row r="57" spans="1:29" x14ac:dyDescent="0.3">
      <c r="A57" t="str">
        <f>'rockfish harvests'!A56</f>
        <v>SC</v>
      </c>
      <c r="B57">
        <f>'rockfish harvests'!B56</f>
        <v>2002</v>
      </c>
      <c r="C57" t="str">
        <f>'rockfish harvests'!C56</f>
        <v>SKMA</v>
      </c>
      <c r="D57">
        <f>'rockfish harvests'!D56</f>
        <v>99</v>
      </c>
      <c r="E57">
        <v>11</v>
      </c>
      <c r="F57" t="s">
        <v>159</v>
      </c>
      <c r="G57" s="38">
        <v>0.70478762612764989</v>
      </c>
      <c r="H57" s="39">
        <v>5.8520684408507724E-2</v>
      </c>
      <c r="I57" s="13">
        <f t="shared" si="57"/>
        <v>7.7526638874041485</v>
      </c>
      <c r="J57">
        <f t="shared" si="60"/>
        <v>7.0810028134294347</v>
      </c>
      <c r="K57">
        <f t="shared" si="61"/>
        <v>2.6610153726405708</v>
      </c>
      <c r="L57" s="6">
        <f t="shared" si="62"/>
        <v>5.215590130375519</v>
      </c>
      <c r="N57" s="2">
        <f>'rockfish harvests'!O56</f>
        <v>29.045504207886239</v>
      </c>
      <c r="O57">
        <f>'rockfish harvests'!P56</f>
        <v>309.48125937296737</v>
      </c>
      <c r="R57" s="38">
        <v>0.11145942888803913</v>
      </c>
      <c r="S57" s="39">
        <v>1.8625729336481456E-3</v>
      </c>
      <c r="T57" s="13">
        <f t="shared" si="35"/>
        <v>3.2373953107761375</v>
      </c>
      <c r="U57" s="14">
        <f t="shared" si="7"/>
        <v>5.9925238041416886</v>
      </c>
      <c r="V57">
        <f t="shared" si="63"/>
        <v>2.4479631950137013</v>
      </c>
      <c r="W57" s="6">
        <f t="shared" si="64"/>
        <v>4.7980078622268545</v>
      </c>
      <c r="Y57" s="13">
        <f t="shared" si="58"/>
        <v>10.990059198180287</v>
      </c>
      <c r="Z57">
        <f t="shared" si="59"/>
        <v>13.073526617571122</v>
      </c>
      <c r="AA57">
        <f t="shared" si="65"/>
        <v>3.6157332060829823</v>
      </c>
      <c r="AB57" s="6">
        <f t="shared" si="66"/>
        <v>7.0868370839226449</v>
      </c>
      <c r="AC57" s="14">
        <f t="shared" si="12"/>
        <v>0.32900033938685869</v>
      </c>
    </row>
    <row r="58" spans="1:29" x14ac:dyDescent="0.3">
      <c r="A58" t="str">
        <f>'rockfish harvests'!A57</f>
        <v>SC</v>
      </c>
      <c r="B58">
        <f>'rockfish harvests'!B57</f>
        <v>2003</v>
      </c>
      <c r="C58" t="str">
        <f>'rockfish harvests'!C57</f>
        <v>SKMA</v>
      </c>
      <c r="D58">
        <f>'rockfish harvests'!D57</f>
        <v>144</v>
      </c>
      <c r="E58">
        <v>40</v>
      </c>
      <c r="F58" t="s">
        <v>159</v>
      </c>
      <c r="G58" s="38">
        <v>0.70478762612764989</v>
      </c>
      <c r="H58" s="39">
        <v>5.8520684408507724E-2</v>
      </c>
      <c r="I58" s="13">
        <f t="shared" si="57"/>
        <v>28.191505045105995</v>
      </c>
      <c r="J58">
        <f t="shared" si="60"/>
        <v>93.633095053612365</v>
      </c>
      <c r="K58">
        <f t="shared" si="61"/>
        <v>9.6764195368748016</v>
      </c>
      <c r="L58" s="6">
        <f t="shared" si="62"/>
        <v>18.965782292274611</v>
      </c>
      <c r="N58" s="2">
        <f>'rockfish harvests'!O57</f>
        <v>42.248006120561826</v>
      </c>
      <c r="O58">
        <f>'rockfish harvests'!P57</f>
        <v>654.77026776429454</v>
      </c>
      <c r="R58" s="38">
        <v>0.11145942888803913</v>
      </c>
      <c r="S58" s="39">
        <v>1.8625729336481456E-3</v>
      </c>
      <c r="T58" s="13">
        <f t="shared" si="35"/>
        <v>4.7089386338562029</v>
      </c>
      <c r="U58" s="14">
        <f t="shared" si="7"/>
        <v>12.678397469919608</v>
      </c>
      <c r="V58">
        <f t="shared" si="63"/>
        <v>3.5606737382017477</v>
      </c>
      <c r="W58" s="6">
        <f t="shared" si="64"/>
        <v>6.9789205268754255</v>
      </c>
      <c r="Y58" s="13">
        <f t="shared" si="58"/>
        <v>32.900443678962198</v>
      </c>
      <c r="Z58">
        <f t="shared" si="59"/>
        <v>106.31149252353197</v>
      </c>
      <c r="AA58">
        <f t="shared" si="65"/>
        <v>10.310746458115046</v>
      </c>
      <c r="AB58" s="6">
        <f t="shared" si="66"/>
        <v>20.209063057905489</v>
      </c>
      <c r="AC58" s="14">
        <f t="shared" si="12"/>
        <v>0.313392322569441</v>
      </c>
    </row>
    <row r="59" spans="1:29" x14ac:dyDescent="0.3">
      <c r="A59" t="str">
        <f>'rockfish harvests'!A58</f>
        <v>SC</v>
      </c>
      <c r="B59">
        <f>'rockfish harvests'!B58</f>
        <v>2004</v>
      </c>
      <c r="C59" t="str">
        <f>'rockfish harvests'!C58</f>
        <v>SKMA</v>
      </c>
      <c r="D59">
        <f>'rockfish harvests'!D58</f>
        <v>200</v>
      </c>
      <c r="E59">
        <v>41</v>
      </c>
      <c r="F59" t="s">
        <v>159</v>
      </c>
      <c r="G59" s="38">
        <v>0.70478762612764989</v>
      </c>
      <c r="H59" s="39">
        <v>5.8520684408507724E-2</v>
      </c>
      <c r="I59" s="13">
        <f t="shared" si="57"/>
        <v>28.896292671233645</v>
      </c>
      <c r="J59">
        <f t="shared" si="60"/>
        <v>98.373270490701486</v>
      </c>
      <c r="K59">
        <f t="shared" si="61"/>
        <v>9.9183300252966724</v>
      </c>
      <c r="L59" s="6">
        <f t="shared" si="62"/>
        <v>19.439926849581479</v>
      </c>
      <c r="N59" s="2">
        <f>'rockfish harvests'!O58</f>
        <v>58.677786278558074</v>
      </c>
      <c r="O59">
        <f>'rockfish harvests'!P58</f>
        <v>1263.059930100877</v>
      </c>
      <c r="R59" s="38">
        <v>0.11145942888803913</v>
      </c>
      <c r="S59" s="39">
        <v>1.8625729336481456E-3</v>
      </c>
      <c r="T59" s="13">
        <f t="shared" si="35"/>
        <v>6.5401925470225013</v>
      </c>
      <c r="U59" s="14">
        <f t="shared" si="7"/>
        <v>24.456785242900477</v>
      </c>
      <c r="V59">
        <f t="shared" si="63"/>
        <v>4.9453801919468718</v>
      </c>
      <c r="W59" s="6">
        <f t="shared" si="64"/>
        <v>9.6929451762158685</v>
      </c>
      <c r="Y59" s="13">
        <f t="shared" si="58"/>
        <v>35.436485218256145</v>
      </c>
      <c r="Z59">
        <f t="shared" si="59"/>
        <v>122.83005573360197</v>
      </c>
      <c r="AA59">
        <f t="shared" si="65"/>
        <v>11.082872178889458</v>
      </c>
      <c r="AB59" s="6">
        <f t="shared" si="66"/>
        <v>21.722429470623336</v>
      </c>
      <c r="AC59" s="14">
        <f t="shared" si="12"/>
        <v>0.31275314441116725</v>
      </c>
    </row>
    <row r="60" spans="1:29" x14ac:dyDescent="0.3">
      <c r="A60" t="str">
        <f>'rockfish harvests'!A59</f>
        <v>SC</v>
      </c>
      <c r="B60">
        <f>'rockfish harvests'!B59</f>
        <v>2005</v>
      </c>
      <c r="C60" t="str">
        <f>'rockfish harvests'!C59</f>
        <v>SKMA</v>
      </c>
      <c r="D60">
        <f>'rockfish harvests'!D59</f>
        <v>287</v>
      </c>
      <c r="E60">
        <v>159</v>
      </c>
      <c r="F60" t="s">
        <v>159</v>
      </c>
      <c r="G60" s="38">
        <v>0.70478762612764989</v>
      </c>
      <c r="H60" s="39">
        <v>5.8520684408507724E-2</v>
      </c>
      <c r="I60" s="13">
        <f t="shared" si="57"/>
        <v>112.06123255429634</v>
      </c>
      <c r="J60">
        <f t="shared" si="60"/>
        <v>1479.4614225314838</v>
      </c>
      <c r="K60">
        <f t="shared" si="61"/>
        <v>38.463767659077341</v>
      </c>
      <c r="L60" s="6">
        <f t="shared" si="62"/>
        <v>75.388984611791585</v>
      </c>
      <c r="N60" s="2">
        <f>'rockfish harvests'!O59</f>
        <v>84.202623309730882</v>
      </c>
      <c r="O60">
        <f>'rockfish harvests'!P59</f>
        <v>2600.9245845619785</v>
      </c>
      <c r="R60" s="38">
        <v>0.11145942888803913</v>
      </c>
      <c r="S60" s="39">
        <v>1.8625729336481456E-3</v>
      </c>
      <c r="T60" s="13">
        <f t="shared" si="35"/>
        <v>9.3851763049772945</v>
      </c>
      <c r="U60" s="14">
        <f t="shared" si="7"/>
        <v>50.362023591811749</v>
      </c>
      <c r="V60">
        <f t="shared" si="63"/>
        <v>7.0966205754437617</v>
      </c>
      <c r="W60" s="6">
        <f t="shared" si="64"/>
        <v>13.909376327869772</v>
      </c>
      <c r="Y60" s="13">
        <f t="shared" si="58"/>
        <v>121.44640885927363</v>
      </c>
      <c r="Z60">
        <f t="shared" si="59"/>
        <v>1529.8234461232955</v>
      </c>
      <c r="AA60">
        <f t="shared" si="65"/>
        <v>39.112957522070552</v>
      </c>
      <c r="AB60" s="6">
        <f t="shared" si="66"/>
        <v>76.66139674325828</v>
      </c>
      <c r="AC60" s="14">
        <f t="shared" si="12"/>
        <v>0.322059399610513</v>
      </c>
    </row>
    <row r="61" spans="1:29" x14ac:dyDescent="0.3">
      <c r="A61" t="str">
        <f>'rockfish harvests'!A60</f>
        <v>SC</v>
      </c>
      <c r="B61">
        <f>'rockfish harvests'!B60</f>
        <v>2006</v>
      </c>
      <c r="C61" t="str">
        <f>'rockfish harvests'!C60</f>
        <v>SKMA</v>
      </c>
      <c r="D61">
        <f>'rockfish harvests'!D60</f>
        <v>303</v>
      </c>
      <c r="E61">
        <v>112</v>
      </c>
      <c r="F61">
        <v>69</v>
      </c>
      <c r="H61" s="16"/>
      <c r="I61" s="13">
        <f>F61</f>
        <v>69</v>
      </c>
      <c r="J61">
        <f t="shared" si="60"/>
        <v>0</v>
      </c>
      <c r="K61">
        <f t="shared" si="61"/>
        <v>0</v>
      </c>
      <c r="L61" s="6">
        <f t="shared" si="62"/>
        <v>0</v>
      </c>
      <c r="N61" s="2">
        <f>'rockfish harvests'!O60</f>
        <v>88.896846212015475</v>
      </c>
      <c r="O61">
        <f>'rockfish harvests'!P60</f>
        <v>2899.0067280657854</v>
      </c>
      <c r="R61" s="38">
        <v>0.11145942888803913</v>
      </c>
      <c r="S61" s="39">
        <v>1.8625729336481456E-3</v>
      </c>
      <c r="T61" s="13">
        <f t="shared" si="35"/>
        <v>9.9083917087390887</v>
      </c>
      <c r="U61" s="14">
        <f t="shared" si="7"/>
        <v>56.133824909136244</v>
      </c>
      <c r="V61">
        <f t="shared" si="63"/>
        <v>7.4922509907995103</v>
      </c>
      <c r="W61" s="6">
        <f t="shared" si="64"/>
        <v>14.684811941967039</v>
      </c>
      <c r="Y61" s="13">
        <f t="shared" si="58"/>
        <v>78.908391708739089</v>
      </c>
      <c r="Z61">
        <f t="shared" si="59"/>
        <v>56.133824909136244</v>
      </c>
      <c r="AA61">
        <f t="shared" si="65"/>
        <v>7.4922509907995103</v>
      </c>
      <c r="AB61" s="6">
        <f t="shared" si="66"/>
        <v>14.684811941967039</v>
      </c>
      <c r="AC61" s="14">
        <f t="shared" si="12"/>
        <v>9.4948722544673847E-2</v>
      </c>
    </row>
    <row r="62" spans="1:29" x14ac:dyDescent="0.3">
      <c r="A62" t="str">
        <f>'rockfish harvests'!A61</f>
        <v>SC</v>
      </c>
      <c r="B62">
        <f>'rockfish harvests'!B61</f>
        <v>2007</v>
      </c>
      <c r="C62" t="str">
        <f>'rockfish harvests'!C61</f>
        <v>SKMA</v>
      </c>
      <c r="D62">
        <f>'rockfish harvests'!D61</f>
        <v>1148</v>
      </c>
      <c r="E62">
        <v>179</v>
      </c>
      <c r="F62">
        <v>157</v>
      </c>
      <c r="H62" s="16"/>
      <c r="I62" s="13">
        <f t="shared" ref="I62:I73" si="67">F62</f>
        <v>157</v>
      </c>
      <c r="J62">
        <f t="shared" si="60"/>
        <v>0</v>
      </c>
      <c r="K62">
        <f t="shared" si="61"/>
        <v>0</v>
      </c>
      <c r="L62" s="6">
        <f t="shared" si="62"/>
        <v>0</v>
      </c>
      <c r="N62" s="2">
        <f>'rockfish harvests'!O61</f>
        <v>336.81049323892353</v>
      </c>
      <c r="O62">
        <f>'rockfish harvests'!P61</f>
        <v>41614.793352991655</v>
      </c>
      <c r="R62" s="38">
        <v>0.11145942888803913</v>
      </c>
      <c r="S62" s="39">
        <v>1.8625729336481456E-3</v>
      </c>
      <c r="T62" s="13">
        <f t="shared" si="35"/>
        <v>37.540705219909178</v>
      </c>
      <c r="U62" s="14">
        <f t="shared" si="7"/>
        <v>805.79237746898798</v>
      </c>
      <c r="V62">
        <f t="shared" si="63"/>
        <v>28.386482301775047</v>
      </c>
      <c r="W62" s="6">
        <f t="shared" si="64"/>
        <v>55.637505311479089</v>
      </c>
      <c r="Y62" s="13">
        <f t="shared" si="58"/>
        <v>194.54070521990917</v>
      </c>
      <c r="Z62">
        <f t="shared" si="59"/>
        <v>805.79237746898798</v>
      </c>
      <c r="AA62">
        <f t="shared" si="65"/>
        <v>28.386482301775047</v>
      </c>
      <c r="AB62" s="6">
        <f t="shared" si="66"/>
        <v>55.637505311479089</v>
      </c>
      <c r="AC62" s="14">
        <f t="shared" si="12"/>
        <v>0.14591538706352952</v>
      </c>
    </row>
    <row r="63" spans="1:29" x14ac:dyDescent="0.3">
      <c r="A63" t="str">
        <f>'rockfish harvests'!A62</f>
        <v>SC</v>
      </c>
      <c r="B63">
        <f>'rockfish harvests'!B62</f>
        <v>2008</v>
      </c>
      <c r="C63" t="str">
        <f>'rockfish harvests'!C62</f>
        <v>SKMA</v>
      </c>
      <c r="D63">
        <f>'rockfish harvests'!D62</f>
        <v>1130</v>
      </c>
      <c r="E63">
        <v>88</v>
      </c>
      <c r="F63">
        <v>59</v>
      </c>
      <c r="H63" s="16"/>
      <c r="I63" s="13">
        <f t="shared" si="67"/>
        <v>59</v>
      </c>
      <c r="J63">
        <f t="shared" si="60"/>
        <v>0</v>
      </c>
      <c r="K63">
        <f t="shared" si="61"/>
        <v>0</v>
      </c>
      <c r="L63" s="6">
        <f t="shared" si="62"/>
        <v>0</v>
      </c>
      <c r="N63" s="2">
        <f>'rockfish harvests'!O62</f>
        <v>331.52949247385322</v>
      </c>
      <c r="O63">
        <f>'rockfish harvests'!P62</f>
        <v>40320.030618645244</v>
      </c>
      <c r="R63" s="38">
        <v>0.11145942888803913</v>
      </c>
      <c r="S63" s="39">
        <v>1.8625729336481456E-3</v>
      </c>
      <c r="T63" s="13">
        <f t="shared" si="35"/>
        <v>36.952087890677149</v>
      </c>
      <c r="U63" s="14">
        <f t="shared" si="7"/>
        <v>780.72172691649052</v>
      </c>
      <c r="V63">
        <f t="shared" si="63"/>
        <v>27.941398084499827</v>
      </c>
      <c r="W63" s="6">
        <f t="shared" si="64"/>
        <v>54.765140245619662</v>
      </c>
      <c r="Y63" s="13">
        <f t="shared" si="58"/>
        <v>95.952087890677149</v>
      </c>
      <c r="Z63">
        <f t="shared" si="59"/>
        <v>780.72172691649052</v>
      </c>
      <c r="AA63">
        <f t="shared" si="65"/>
        <v>27.941398084499827</v>
      </c>
      <c r="AB63" s="6">
        <f t="shared" si="66"/>
        <v>54.765140245619662</v>
      </c>
      <c r="AC63" s="14">
        <f t="shared" si="12"/>
        <v>0.29120156422583332</v>
      </c>
    </row>
    <row r="64" spans="1:29" x14ac:dyDescent="0.3">
      <c r="A64" t="str">
        <f>'rockfish harvests'!A63</f>
        <v>SC</v>
      </c>
      <c r="B64">
        <f>'rockfish harvests'!B63</f>
        <v>2009</v>
      </c>
      <c r="C64" t="str">
        <f>'rockfish harvests'!C63</f>
        <v>SKMA</v>
      </c>
      <c r="D64">
        <f>'rockfish harvests'!D63</f>
        <v>810</v>
      </c>
      <c r="E64">
        <v>89</v>
      </c>
      <c r="F64">
        <v>76</v>
      </c>
      <c r="H64" s="16"/>
      <c r="I64" s="13">
        <f t="shared" si="67"/>
        <v>76</v>
      </c>
      <c r="J64">
        <f t="shared" si="60"/>
        <v>0</v>
      </c>
      <c r="K64">
        <f t="shared" si="61"/>
        <v>0</v>
      </c>
      <c r="L64" s="6">
        <f t="shared" si="62"/>
        <v>0</v>
      </c>
      <c r="N64" s="2">
        <f>'rockfish harvests'!O63</f>
        <v>237.64503442816022</v>
      </c>
      <c r="O64">
        <f>'rockfish harvests'!P63</f>
        <v>20717.340503479634</v>
      </c>
      <c r="R64" s="38">
        <v>0.11145942888803913</v>
      </c>
      <c r="S64" s="39">
        <v>1.8625729336481456E-3</v>
      </c>
      <c r="T64" s="13">
        <f t="shared" si="35"/>
        <v>26.487779815441133</v>
      </c>
      <c r="U64" s="14">
        <f t="shared" si="7"/>
        <v>401.15241994667502</v>
      </c>
      <c r="V64">
        <f t="shared" si="63"/>
        <v>20.02878977738483</v>
      </c>
      <c r="W64" s="6">
        <f t="shared" si="64"/>
        <v>39.25642796367427</v>
      </c>
      <c r="Y64" s="13">
        <f t="shared" si="58"/>
        <v>102.48777981544113</v>
      </c>
      <c r="Z64">
        <f t="shared" si="59"/>
        <v>401.15241994667502</v>
      </c>
      <c r="AA64">
        <f t="shared" si="65"/>
        <v>20.02878977738483</v>
      </c>
      <c r="AB64" s="6">
        <f t="shared" si="66"/>
        <v>39.25642796367427</v>
      </c>
      <c r="AC64" s="14">
        <f t="shared" si="12"/>
        <v>0.19542612605573517</v>
      </c>
    </row>
    <row r="65" spans="1:29" x14ac:dyDescent="0.3">
      <c r="A65" t="str">
        <f>'rockfish harvests'!A64</f>
        <v>SC</v>
      </c>
      <c r="B65">
        <f>'rockfish harvests'!B64</f>
        <v>2010</v>
      </c>
      <c r="C65" t="str">
        <f>'rockfish harvests'!C64</f>
        <v>SKMA</v>
      </c>
      <c r="D65">
        <f>'rockfish harvests'!D64</f>
        <v>644</v>
      </c>
      <c r="E65">
        <v>244</v>
      </c>
      <c r="F65">
        <v>80</v>
      </c>
      <c r="H65" s="16"/>
      <c r="I65" s="13">
        <f t="shared" si="67"/>
        <v>80</v>
      </c>
      <c r="J65">
        <f t="shared" si="60"/>
        <v>0</v>
      </c>
      <c r="K65">
        <f t="shared" si="61"/>
        <v>0</v>
      </c>
      <c r="L65" s="6">
        <f t="shared" si="62"/>
        <v>0</v>
      </c>
      <c r="N65" s="2">
        <f>'rockfish harvests'!O64</f>
        <v>188.94247181695698</v>
      </c>
      <c r="O65">
        <f>'rockfish harvests'!P64</f>
        <v>13095.910579257932</v>
      </c>
      <c r="R65" s="38">
        <v>0.11145942888803913</v>
      </c>
      <c r="S65" s="39">
        <v>1.8625729336481456E-3</v>
      </c>
      <c r="T65" s="13">
        <f t="shared" si="35"/>
        <v>21.059420001412455</v>
      </c>
      <c r="U65" s="14">
        <f t="shared" si="7"/>
        <v>253.57773211248926</v>
      </c>
      <c r="V65">
        <f t="shared" si="63"/>
        <v>15.924124218068926</v>
      </c>
      <c r="W65" s="6">
        <f t="shared" si="64"/>
        <v>31.211283467415093</v>
      </c>
      <c r="Y65" s="13">
        <f t="shared" si="58"/>
        <v>101.05942000141246</v>
      </c>
      <c r="Z65">
        <f t="shared" si="59"/>
        <v>253.57773211248926</v>
      </c>
      <c r="AA65">
        <f t="shared" si="65"/>
        <v>15.924124218068926</v>
      </c>
      <c r="AB65" s="6">
        <f t="shared" si="66"/>
        <v>31.211283467415093</v>
      </c>
      <c r="AC65" s="14">
        <f t="shared" si="12"/>
        <v>0.15757189401884911</v>
      </c>
    </row>
    <row r="66" spans="1:29" x14ac:dyDescent="0.3">
      <c r="A66" t="str">
        <f>'rockfish harvests'!A65</f>
        <v>SC</v>
      </c>
      <c r="B66">
        <f>'rockfish harvests'!B65</f>
        <v>2011</v>
      </c>
      <c r="C66" t="str">
        <f>'rockfish harvests'!C65</f>
        <v>SKMA</v>
      </c>
      <c r="D66">
        <f>'rockfish harvests'!D65</f>
        <v>689</v>
      </c>
      <c r="E66">
        <v>137</v>
      </c>
      <c r="F66">
        <v>77</v>
      </c>
      <c r="H66" s="16"/>
      <c r="I66" s="13">
        <f t="shared" si="67"/>
        <v>77</v>
      </c>
      <c r="J66">
        <f t="shared" si="60"/>
        <v>0</v>
      </c>
      <c r="K66">
        <f t="shared" si="61"/>
        <v>0</v>
      </c>
      <c r="L66" s="6">
        <f t="shared" si="62"/>
        <v>0</v>
      </c>
      <c r="N66" s="2">
        <f>'rockfish harvests'!O65</f>
        <v>161.99495459132186</v>
      </c>
      <c r="O66">
        <f>'rockfish harvests'!P65</f>
        <v>13094.402331197241</v>
      </c>
      <c r="R66" s="38">
        <v>0.11145942888803913</v>
      </c>
      <c r="S66" s="39">
        <v>1.8625729336481456E-3</v>
      </c>
      <c r="T66" s="13">
        <f t="shared" si="35"/>
        <v>18.055865121492566</v>
      </c>
      <c r="U66" s="14">
        <f t="shared" si="7"/>
        <v>235.94203390172402</v>
      </c>
      <c r="V66">
        <f t="shared" si="63"/>
        <v>15.360404744072468</v>
      </c>
      <c r="W66" s="6">
        <f t="shared" si="64"/>
        <v>30.106393298382038</v>
      </c>
      <c r="Y66" s="13">
        <f t="shared" si="58"/>
        <v>95.055865121492559</v>
      </c>
      <c r="Z66">
        <f t="shared" si="59"/>
        <v>235.94203390172402</v>
      </c>
      <c r="AA66">
        <f t="shared" si="65"/>
        <v>15.360404744072468</v>
      </c>
      <c r="AB66" s="6">
        <f t="shared" si="66"/>
        <v>30.106393298382038</v>
      </c>
      <c r="AC66" s="14">
        <f t="shared" si="12"/>
        <v>0.16159344533280579</v>
      </c>
    </row>
    <row r="67" spans="1:29" x14ac:dyDescent="0.3">
      <c r="A67" t="str">
        <f>'rockfish harvests'!A66</f>
        <v>SC</v>
      </c>
      <c r="B67">
        <f>'rockfish harvests'!B66</f>
        <v>2012</v>
      </c>
      <c r="C67" t="str">
        <f>'rockfish harvests'!C66</f>
        <v>SKMA</v>
      </c>
      <c r="D67">
        <f>'rockfish harvests'!D66</f>
        <v>918</v>
      </c>
      <c r="E67">
        <v>350</v>
      </c>
      <c r="F67">
        <v>107</v>
      </c>
      <c r="H67" s="16"/>
      <c r="I67" s="13">
        <f t="shared" si="67"/>
        <v>107</v>
      </c>
      <c r="J67">
        <f t="shared" si="60"/>
        <v>0</v>
      </c>
      <c r="K67">
        <f t="shared" si="61"/>
        <v>0</v>
      </c>
      <c r="L67" s="6">
        <f t="shared" si="62"/>
        <v>0</v>
      </c>
      <c r="N67" s="2">
        <f>'rockfish harvests'!O66</f>
        <v>591</v>
      </c>
      <c r="O67">
        <f>'rockfish harvests'!P66</f>
        <v>113950.9906442892</v>
      </c>
      <c r="R67" s="38">
        <v>0.11145942888803913</v>
      </c>
      <c r="S67" s="39">
        <v>1.8625729336481456E-3</v>
      </c>
      <c r="T67" s="13">
        <f t="shared" si="35"/>
        <v>65.872522472831122</v>
      </c>
      <c r="U67" s="14">
        <f t="shared" si="7"/>
        <v>2278.4398033734383</v>
      </c>
      <c r="V67">
        <f t="shared" si="63"/>
        <v>47.733005388027244</v>
      </c>
      <c r="W67" s="6">
        <f t="shared" si="64"/>
        <v>93.556690560533397</v>
      </c>
      <c r="Y67" s="13">
        <f t="shared" si="58"/>
        <v>172.87252247283112</v>
      </c>
      <c r="Z67">
        <f t="shared" si="59"/>
        <v>2278.4398033734383</v>
      </c>
      <c r="AA67">
        <f t="shared" si="65"/>
        <v>47.733005388027244</v>
      </c>
      <c r="AB67" s="6">
        <f t="shared" si="66"/>
        <v>93.556690560533397</v>
      </c>
      <c r="AC67" s="14">
        <f t="shared" si="12"/>
        <v>0.27611678655021088</v>
      </c>
    </row>
    <row r="68" spans="1:29" x14ac:dyDescent="0.3">
      <c r="A68" t="str">
        <f>'rockfish harvests'!A67</f>
        <v>SC</v>
      </c>
      <c r="B68">
        <f>'rockfish harvests'!B67</f>
        <v>2013</v>
      </c>
      <c r="C68" t="str">
        <f>'rockfish harvests'!C67</f>
        <v>SKMA</v>
      </c>
      <c r="D68">
        <f>'rockfish harvests'!D67</f>
        <v>1035</v>
      </c>
      <c r="E68">
        <v>167</v>
      </c>
      <c r="F68">
        <v>113</v>
      </c>
      <c r="H68" s="16"/>
      <c r="I68" s="13">
        <f t="shared" si="67"/>
        <v>113</v>
      </c>
      <c r="J68">
        <f t="shared" si="60"/>
        <v>0</v>
      </c>
      <c r="K68">
        <f t="shared" si="61"/>
        <v>0</v>
      </c>
      <c r="L68" s="6">
        <f t="shared" si="62"/>
        <v>0</v>
      </c>
      <c r="N68" s="2">
        <f>'rockfish harvests'!O67</f>
        <v>209.79729729729729</v>
      </c>
      <c r="O68">
        <f>'rockfish harvests'!P67</f>
        <v>18918.407507863983</v>
      </c>
      <c r="R68" s="38">
        <v>0.11145942888803913</v>
      </c>
      <c r="S68" s="39">
        <v>1.8625729336481456E-3</v>
      </c>
      <c r="T68" s="13">
        <f t="shared" si="35"/>
        <v>23.38388693901091</v>
      </c>
      <c r="U68" s="14">
        <f t="shared" ref="U68:U77" si="68">(N68^2)*S68+(R68^2)*O68+(S68*O68)</f>
        <v>352.24512755219894</v>
      </c>
      <c r="V68">
        <f t="shared" si="63"/>
        <v>18.768194573591753</v>
      </c>
      <c r="W68" s="6">
        <f t="shared" si="64"/>
        <v>36.785661364239836</v>
      </c>
      <c r="Y68" s="13">
        <f t="shared" si="58"/>
        <v>136.38388693901092</v>
      </c>
      <c r="Z68">
        <f t="shared" si="59"/>
        <v>352.24512755219894</v>
      </c>
      <c r="AA68">
        <f t="shared" si="65"/>
        <v>18.768194573591753</v>
      </c>
      <c r="AB68" s="6">
        <f t="shared" si="66"/>
        <v>36.785661364239836</v>
      </c>
      <c r="AC68" s="14">
        <f t="shared" si="12"/>
        <v>0.13761299076323175</v>
      </c>
    </row>
    <row r="69" spans="1:29" x14ac:dyDescent="0.3">
      <c r="A69" t="str">
        <f>'rockfish harvests'!A68</f>
        <v>SC</v>
      </c>
      <c r="B69">
        <f>'rockfish harvests'!B68</f>
        <v>2014</v>
      </c>
      <c r="C69" t="str">
        <f>'rockfish harvests'!C68</f>
        <v>SKMA</v>
      </c>
      <c r="D69">
        <f>'rockfish harvests'!D68</f>
        <v>653</v>
      </c>
      <c r="E69">
        <v>96</v>
      </c>
      <c r="F69">
        <v>49</v>
      </c>
      <c r="H69" s="16"/>
      <c r="I69" s="13">
        <f t="shared" si="67"/>
        <v>49</v>
      </c>
      <c r="J69">
        <f t="shared" si="60"/>
        <v>0</v>
      </c>
      <c r="K69">
        <f t="shared" si="61"/>
        <v>0</v>
      </c>
      <c r="L69" s="6">
        <f t="shared" si="62"/>
        <v>0</v>
      </c>
      <c r="N69" s="2">
        <f>'rockfish harvests'!O68</f>
        <v>219.90263510495754</v>
      </c>
      <c r="O69">
        <f>'rockfish harvests'!P68</f>
        <v>18177.015037346606</v>
      </c>
      <c r="R69" s="38">
        <v>0.11145942888803913</v>
      </c>
      <c r="S69" s="39">
        <v>1.8625729336481456E-3</v>
      </c>
      <c r="T69" s="13">
        <f t="shared" si="35"/>
        <v>24.510222119773431</v>
      </c>
      <c r="U69" s="14">
        <f t="shared" si="68"/>
        <v>349.74154136856441</v>
      </c>
      <c r="V69">
        <f t="shared" si="63"/>
        <v>18.70137806068217</v>
      </c>
      <c r="W69" s="6">
        <f t="shared" si="64"/>
        <v>36.654700998937052</v>
      </c>
      <c r="Y69" s="13">
        <f t="shared" si="58"/>
        <v>73.510222119773431</v>
      </c>
      <c r="Z69">
        <f t="shared" si="59"/>
        <v>349.74154136856441</v>
      </c>
      <c r="AA69">
        <f t="shared" si="65"/>
        <v>18.70137806068217</v>
      </c>
      <c r="AB69" s="6">
        <f t="shared" si="66"/>
        <v>36.654700998937052</v>
      </c>
      <c r="AC69" s="14">
        <f t="shared" si="12"/>
        <v>0.25440513606680709</v>
      </c>
    </row>
    <row r="70" spans="1:29" x14ac:dyDescent="0.3">
      <c r="A70" t="str">
        <f>'rockfish harvests'!A69</f>
        <v>SC</v>
      </c>
      <c r="B70">
        <f>'rockfish harvests'!B69</f>
        <v>2015</v>
      </c>
      <c r="C70" t="str">
        <f>'rockfish harvests'!C69</f>
        <v>SKMA</v>
      </c>
      <c r="D70">
        <f>'rockfish harvests'!D69</f>
        <v>619</v>
      </c>
      <c r="E70">
        <v>72</v>
      </c>
      <c r="F70">
        <v>68</v>
      </c>
      <c r="H70" s="16"/>
      <c r="I70" s="13">
        <f t="shared" si="67"/>
        <v>68</v>
      </c>
      <c r="J70">
        <f t="shared" si="60"/>
        <v>0</v>
      </c>
      <c r="K70">
        <f t="shared" si="61"/>
        <v>0</v>
      </c>
      <c r="L70" s="6">
        <f t="shared" si="62"/>
        <v>0</v>
      </c>
      <c r="N70" s="2">
        <f>'rockfish harvests'!O69</f>
        <v>281.78094694808897</v>
      </c>
      <c r="O70">
        <f>'rockfish harvests'!P69</f>
        <v>62212.407283949418</v>
      </c>
      <c r="R70" s="38">
        <v>0.11145942888803913</v>
      </c>
      <c r="S70" s="39">
        <v>1.8625729336481456E-3</v>
      </c>
      <c r="T70" s="13">
        <f t="shared" si="35"/>
        <v>31.40714341836485</v>
      </c>
      <c r="U70" s="14">
        <f t="shared" si="68"/>
        <v>1036.6418169444651</v>
      </c>
      <c r="V70">
        <f t="shared" si="63"/>
        <v>32.196922476293679</v>
      </c>
      <c r="W70" s="6">
        <f t="shared" si="64"/>
        <v>63.105968053535612</v>
      </c>
      <c r="Y70" s="13">
        <f t="shared" si="58"/>
        <v>99.407143418364853</v>
      </c>
      <c r="Z70">
        <f t="shared" si="59"/>
        <v>1036.6418169444651</v>
      </c>
      <c r="AA70">
        <f t="shared" si="65"/>
        <v>32.196922476293679</v>
      </c>
      <c r="AB70" s="6">
        <f t="shared" si="66"/>
        <v>63.105968053535612</v>
      </c>
      <c r="AC70" s="14">
        <f t="shared" si="12"/>
        <v>0.32388942453350389</v>
      </c>
    </row>
    <row r="71" spans="1:29" x14ac:dyDescent="0.3">
      <c r="A71" t="str">
        <f>'rockfish harvests'!A70</f>
        <v>SC</v>
      </c>
      <c r="B71">
        <f>'rockfish harvests'!B70</f>
        <v>2016</v>
      </c>
      <c r="C71" t="str">
        <f>'rockfish harvests'!C70</f>
        <v>SKMA</v>
      </c>
      <c r="D71">
        <f>'rockfish harvests'!D70</f>
        <v>804</v>
      </c>
      <c r="E71">
        <v>91</v>
      </c>
      <c r="F71">
        <v>88</v>
      </c>
      <c r="H71" s="16"/>
      <c r="I71" s="13">
        <f t="shared" si="67"/>
        <v>88</v>
      </c>
      <c r="J71">
        <f t="shared" si="60"/>
        <v>0</v>
      </c>
      <c r="K71">
        <f t="shared" si="61"/>
        <v>0</v>
      </c>
      <c r="L71" s="6">
        <f t="shared" si="62"/>
        <v>0</v>
      </c>
      <c r="N71" s="2">
        <f>'rockfish harvests'!O70</f>
        <v>94.418789808917268</v>
      </c>
      <c r="O71">
        <f>'rockfish harvests'!P70</f>
        <v>4384.8563398414108</v>
      </c>
      <c r="R71" s="38">
        <v>0.11145942888803913</v>
      </c>
      <c r="S71" s="39">
        <v>1.8625729336481456E-3</v>
      </c>
      <c r="T71" s="13">
        <f t="shared" si="35"/>
        <v>10.523864388401728</v>
      </c>
      <c r="U71" s="14">
        <f t="shared" si="68"/>
        <v>79.245746922845655</v>
      </c>
      <c r="V71">
        <f t="shared" si="63"/>
        <v>8.9020080275657829</v>
      </c>
      <c r="W71" s="6">
        <f t="shared" si="64"/>
        <v>17.447935734028935</v>
      </c>
      <c r="Y71" s="13">
        <f t="shared" si="58"/>
        <v>98.523864388401734</v>
      </c>
      <c r="Z71">
        <f t="shared" si="59"/>
        <v>79.245746922845655</v>
      </c>
      <c r="AA71">
        <f t="shared" si="65"/>
        <v>8.9020080275657829</v>
      </c>
      <c r="AB71" s="6">
        <f t="shared" si="66"/>
        <v>17.447935734028935</v>
      </c>
      <c r="AC71" s="14">
        <f t="shared" si="12"/>
        <v>9.0353825266863266E-2</v>
      </c>
    </row>
    <row r="72" spans="1:29" x14ac:dyDescent="0.3">
      <c r="A72" t="str">
        <f>'rockfish harvests'!A71</f>
        <v>SC</v>
      </c>
      <c r="B72">
        <f>'rockfish harvests'!B71</f>
        <v>2017</v>
      </c>
      <c r="C72" t="str">
        <f>'rockfish harvests'!C71</f>
        <v>SKMA</v>
      </c>
      <c r="D72">
        <f>'rockfish harvests'!D71</f>
        <v>666</v>
      </c>
      <c r="E72">
        <v>59</v>
      </c>
      <c r="F72">
        <v>51</v>
      </c>
      <c r="H72" s="16"/>
      <c r="I72" s="13">
        <f t="shared" si="67"/>
        <v>51</v>
      </c>
      <c r="J72">
        <f t="shared" si="60"/>
        <v>0</v>
      </c>
      <c r="K72">
        <f t="shared" si="61"/>
        <v>0</v>
      </c>
      <c r="L72" s="6">
        <f t="shared" si="62"/>
        <v>0</v>
      </c>
      <c r="N72" s="2">
        <f>'rockfish harvests'!O71</f>
        <v>229.24813432835822</v>
      </c>
      <c r="O72">
        <f>'rockfish harvests'!P71</f>
        <v>18017.117128178837</v>
      </c>
      <c r="R72" s="38">
        <v>0.11145942888803913</v>
      </c>
      <c r="S72" s="39">
        <v>1.8625729336481456E-3</v>
      </c>
      <c r="T72" s="13">
        <f t="shared" si="35"/>
        <v>25.551866125887283</v>
      </c>
      <c r="U72" s="14">
        <f t="shared" si="68"/>
        <v>355.27549643765548</v>
      </c>
      <c r="V72">
        <f t="shared" si="63"/>
        <v>18.848753179922948</v>
      </c>
      <c r="W72" s="6">
        <f t="shared" si="64"/>
        <v>36.94355623264898</v>
      </c>
      <c r="Y72" s="13">
        <f t="shared" si="58"/>
        <v>76.551866125887287</v>
      </c>
      <c r="Z72">
        <f t="shared" si="59"/>
        <v>355.27549643765548</v>
      </c>
      <c r="AA72">
        <f t="shared" si="65"/>
        <v>18.848753179922948</v>
      </c>
      <c r="AB72" s="6">
        <f t="shared" si="66"/>
        <v>36.94355623264898</v>
      </c>
      <c r="AC72" s="14">
        <f t="shared" si="12"/>
        <v>0.24622199475747239</v>
      </c>
    </row>
    <row r="73" spans="1:29" x14ac:dyDescent="0.3">
      <c r="A73" t="str">
        <f>'rockfish harvests'!A72</f>
        <v>SC</v>
      </c>
      <c r="B73">
        <f>'rockfish harvests'!B72</f>
        <v>2018</v>
      </c>
      <c r="C73" t="str">
        <f>'rockfish harvests'!C72</f>
        <v>SKMA</v>
      </c>
      <c r="D73">
        <f>'rockfish harvests'!D72</f>
        <v>671</v>
      </c>
      <c r="E73">
        <v>72</v>
      </c>
      <c r="F73">
        <v>71</v>
      </c>
      <c r="H73" s="16"/>
      <c r="I73" s="13">
        <f t="shared" si="67"/>
        <v>71</v>
      </c>
      <c r="J73">
        <f t="shared" si="60"/>
        <v>0</v>
      </c>
      <c r="K73">
        <f t="shared" si="61"/>
        <v>0</v>
      </c>
      <c r="L73" s="6">
        <f t="shared" si="62"/>
        <v>0</v>
      </c>
      <c r="N73" s="2">
        <f>'rockfish harvests'!O72</f>
        <v>107.64245379876797</v>
      </c>
      <c r="O73">
        <f>'rockfish harvests'!P72</f>
        <v>4325.8254808581805</v>
      </c>
      <c r="R73" s="38">
        <v>0.11145942888803913</v>
      </c>
      <c r="S73" s="39">
        <v>1.8625729336481456E-3</v>
      </c>
      <c r="T73" s="13">
        <f t="shared" si="35"/>
        <v>11.997766424517817</v>
      </c>
      <c r="U73" s="14">
        <f t="shared" si="68"/>
        <v>83.379221458122089</v>
      </c>
      <c r="V73">
        <f t="shared" si="63"/>
        <v>9.1312223419497389</v>
      </c>
      <c r="W73" s="6">
        <f t="shared" si="64"/>
        <v>17.897195790221488</v>
      </c>
      <c r="Y73" s="13">
        <f t="shared" si="58"/>
        <v>82.99776642451782</v>
      </c>
      <c r="Z73">
        <f t="shared" si="59"/>
        <v>83.379221458122089</v>
      </c>
      <c r="AA73">
        <f t="shared" si="65"/>
        <v>9.1312223419497389</v>
      </c>
      <c r="AB73" s="6">
        <f t="shared" si="66"/>
        <v>17.897195790221488</v>
      </c>
      <c r="AC73" s="14">
        <f t="shared" si="12"/>
        <v>0.11001768764770452</v>
      </c>
    </row>
    <row r="74" spans="1:29" x14ac:dyDescent="0.3">
      <c r="A74" t="str">
        <f>'rockfish harvests'!A73</f>
        <v>SC</v>
      </c>
      <c r="B74">
        <f>'rockfish harvests'!B73</f>
        <v>2019</v>
      </c>
      <c r="C74" t="str">
        <f>'rockfish harvests'!C73</f>
        <v>SKMA</v>
      </c>
      <c r="D74">
        <f>'rockfish harvests'!D73</f>
        <v>716</v>
      </c>
      <c r="E74">
        <v>128</v>
      </c>
      <c r="F74">
        <v>120</v>
      </c>
      <c r="H74" s="16"/>
      <c r="I74" s="63">
        <f>F74</f>
        <v>120</v>
      </c>
      <c r="J74">
        <f>(E74^2)*H74</f>
        <v>0</v>
      </c>
      <c r="K74">
        <f>SQRT(J74)</f>
        <v>0</v>
      </c>
      <c r="L74" s="6">
        <f>(1.96*K74)</f>
        <v>0</v>
      </c>
      <c r="N74" s="2">
        <f>'rockfish harvests'!O73</f>
        <v>230.32441288913162</v>
      </c>
      <c r="O74">
        <f>'rockfish harvests'!P73</f>
        <v>30814.691102249373</v>
      </c>
      <c r="R74" s="38">
        <v>0.11546931006483122</v>
      </c>
      <c r="S74" s="38">
        <v>1.9517133693342942E-3</v>
      </c>
      <c r="T74" s="63">
        <f>R74*N74</f>
        <v>26.595401047395345</v>
      </c>
      <c r="U74" s="14">
        <f t="shared" si="68"/>
        <v>574.53579638587485</v>
      </c>
      <c r="V74">
        <f>SQRT(U74)</f>
        <v>23.969476347761017</v>
      </c>
      <c r="W74" s="6">
        <f>(1.96*V74)</f>
        <v>46.980173641611593</v>
      </c>
      <c r="Y74" s="63">
        <f>T74+I74</f>
        <v>146.59540104739534</v>
      </c>
      <c r="Z74">
        <f>U74+J74</f>
        <v>574.53579638587485</v>
      </c>
      <c r="AA74">
        <f>SQRT(Z74)</f>
        <v>23.969476347761017</v>
      </c>
      <c r="AB74" s="6">
        <f>(1.96*AA74)</f>
        <v>46.980173641611593</v>
      </c>
      <c r="AC74" s="14">
        <f>AA74/Y74</f>
        <v>0.16350769653416011</v>
      </c>
    </row>
    <row r="75" spans="1:29" x14ac:dyDescent="0.3">
      <c r="A75" t="str">
        <f>'rockfish harvests'!A74</f>
        <v>SC</v>
      </c>
      <c r="B75">
        <f>'rockfish harvests'!B74</f>
        <v>2020</v>
      </c>
      <c r="C75" t="str">
        <f>'rockfish harvests'!C74</f>
        <v>SKMA</v>
      </c>
      <c r="D75">
        <f>'rockfish harvests'!D74</f>
        <v>302</v>
      </c>
      <c r="E75">
        <v>47</v>
      </c>
      <c r="F75">
        <v>46</v>
      </c>
      <c r="H75" s="16"/>
      <c r="I75" s="13">
        <f t="shared" ref="I75:I77" si="69">F75</f>
        <v>46</v>
      </c>
      <c r="J75">
        <f t="shared" ref="J75:J77" si="70">(E75^2)*H75</f>
        <v>0</v>
      </c>
      <c r="K75">
        <f t="shared" ref="K75:K77" si="71">SQRT(J75)</f>
        <v>0</v>
      </c>
      <c r="L75" s="6">
        <f t="shared" ref="L75:L77" si="72">(1.96*K75)</f>
        <v>0</v>
      </c>
      <c r="N75" s="2">
        <f>'rockfish harvests'!O74</f>
        <v>57.128003494975985</v>
      </c>
      <c r="O75">
        <f>'rockfish harvests'!P74</f>
        <v>816.94472651239755</v>
      </c>
      <c r="R75" s="38">
        <v>0.11792588144682262</v>
      </c>
      <c r="S75" s="38">
        <v>1.9008064687061378E-3</v>
      </c>
      <c r="T75" s="13">
        <f t="shared" ref="T75:T76" si="73">R75*N75</f>
        <v>6.7368701674422065</v>
      </c>
      <c r="U75" s="14">
        <f t="shared" si="68"/>
        <v>19.117195387655592</v>
      </c>
      <c r="V75">
        <f t="shared" ref="V75:V76" si="74">SQRT(U75)</f>
        <v>4.3723215100968496</v>
      </c>
      <c r="W75" s="6">
        <f t="shared" ref="W75:W76" si="75">(1.96*V75)</f>
        <v>8.5697501597898249</v>
      </c>
      <c r="Y75" s="13">
        <f t="shared" ref="Y75:Y76" si="76">T75+I75</f>
        <v>52.736870167442206</v>
      </c>
      <c r="Z75">
        <f t="shared" ref="Z75:Z76" si="77">U75+J75</f>
        <v>19.117195387655592</v>
      </c>
      <c r="AA75">
        <f t="shared" ref="AA75:AA76" si="78">SQRT(Z75)</f>
        <v>4.3723215100968496</v>
      </c>
      <c r="AB75" s="6">
        <f t="shared" ref="AB75:AB76" si="79">(1.96*AA75)</f>
        <v>8.5697501597898249</v>
      </c>
      <c r="AC75" s="14">
        <f t="shared" ref="AC75:AC76" si="80">AA75/Y75</f>
        <v>8.29082479907228E-2</v>
      </c>
    </row>
    <row r="76" spans="1:29" x14ac:dyDescent="0.3">
      <c r="A76" t="str">
        <f>'rockfish harvests'!A75</f>
        <v>SC</v>
      </c>
      <c r="B76">
        <f>'rockfish harvests'!B75</f>
        <v>2021</v>
      </c>
      <c r="C76" t="str">
        <f>'rockfish harvests'!C75</f>
        <v>SKMA</v>
      </c>
      <c r="D76">
        <f>'rockfish harvests'!D75</f>
        <v>1622</v>
      </c>
      <c r="E76">
        <v>194</v>
      </c>
      <c r="F76">
        <v>162</v>
      </c>
      <c r="H76" s="16"/>
      <c r="I76" s="13">
        <f t="shared" si="69"/>
        <v>162</v>
      </c>
      <c r="J76">
        <f t="shared" si="70"/>
        <v>0</v>
      </c>
      <c r="K76">
        <f t="shared" si="71"/>
        <v>0</v>
      </c>
      <c r="L76" s="6">
        <f t="shared" si="72"/>
        <v>0</v>
      </c>
      <c r="N76" s="2">
        <f>'rockfish harvests'!O75</f>
        <v>253.31845937059643</v>
      </c>
      <c r="O76">
        <f>'rockfish harvests'!P75</f>
        <v>10922.563990757333</v>
      </c>
      <c r="R76" s="38">
        <v>0.1167978073212544</v>
      </c>
      <c r="S76" s="38">
        <v>1.7887893848324383E-3</v>
      </c>
      <c r="T76" s="13">
        <f t="shared" si="73"/>
        <v>29.587040608483932</v>
      </c>
      <c r="U76" s="14">
        <f t="shared" si="68"/>
        <v>283.32785876530596</v>
      </c>
      <c r="V76">
        <f t="shared" si="74"/>
        <v>16.832345610915489</v>
      </c>
      <c r="W76" s="6">
        <f t="shared" si="75"/>
        <v>32.991397397394358</v>
      </c>
      <c r="Y76" s="13">
        <f t="shared" si="76"/>
        <v>191.58704060848393</v>
      </c>
      <c r="Z76">
        <f t="shared" si="77"/>
        <v>283.32785876530596</v>
      </c>
      <c r="AA76">
        <f t="shared" si="78"/>
        <v>16.832345610915489</v>
      </c>
      <c r="AB76" s="6">
        <f t="shared" si="79"/>
        <v>32.991397397394358</v>
      </c>
      <c r="AC76" s="14">
        <f t="shared" si="80"/>
        <v>8.7857433140862001E-2</v>
      </c>
    </row>
    <row r="77" spans="1:29" s="51" customFormat="1" x14ac:dyDescent="0.3">
      <c r="A77" s="51" t="s">
        <v>81</v>
      </c>
      <c r="B77" s="51">
        <v>2022</v>
      </c>
      <c r="C77" s="51" t="s">
        <v>82</v>
      </c>
      <c r="D77" s="51">
        <v>1321</v>
      </c>
      <c r="E77" s="51">
        <v>209</v>
      </c>
      <c r="F77" s="51">
        <v>190</v>
      </c>
      <c r="H77" s="82"/>
      <c r="I77" s="71">
        <f t="shared" si="69"/>
        <v>190</v>
      </c>
      <c r="J77" s="51">
        <f t="shared" si="70"/>
        <v>0</v>
      </c>
      <c r="K77" s="51">
        <f t="shared" si="71"/>
        <v>0</v>
      </c>
      <c r="L77" s="78">
        <f t="shared" si="72"/>
        <v>0</v>
      </c>
      <c r="N77" s="2">
        <f>'rockfish harvests'!O76</f>
        <v>504.30982804858809</v>
      </c>
      <c r="O77">
        <f>'rockfish harvests'!P76</f>
        <v>41475.667798459108</v>
      </c>
      <c r="R77" s="38">
        <v>0.1167978073212544</v>
      </c>
      <c r="S77" s="38">
        <v>1.7887893848324383E-3</v>
      </c>
      <c r="T77" s="13">
        <f t="shared" ref="T77" si="81">R77*N77</f>
        <v>58.902282126633928</v>
      </c>
      <c r="U77" s="14">
        <f t="shared" si="68"/>
        <v>1094.930951462379</v>
      </c>
      <c r="V77">
        <f t="shared" ref="V77" si="82">SQRT(U77)</f>
        <v>33.089740879347772</v>
      </c>
      <c r="W77" s="6">
        <f t="shared" ref="W77" si="83">(1.96*V77)</f>
        <v>64.855892123521627</v>
      </c>
      <c r="X77"/>
      <c r="Y77" s="13">
        <f t="shared" ref="Y77" si="84">T77+I77</f>
        <v>248.90228212663393</v>
      </c>
      <c r="Z77">
        <f t="shared" ref="Z77" si="85">U77+J77</f>
        <v>1094.930951462379</v>
      </c>
      <c r="AA77">
        <f t="shared" ref="AA77" si="86">SQRT(Z77)</f>
        <v>33.089740879347772</v>
      </c>
      <c r="AB77" s="6">
        <f t="shared" ref="AB77" si="87">(1.96*AA77)</f>
        <v>64.855892123521627</v>
      </c>
      <c r="AC77" s="14">
        <f t="shared" ref="AC77" si="88">AA77/Y77</f>
        <v>0.13294269781951101</v>
      </c>
    </row>
    <row r="78" spans="1:29" x14ac:dyDescent="0.3">
      <c r="A78" t="str">
        <f>'rockfish harvests'!A77</f>
        <v>SC</v>
      </c>
      <c r="B78">
        <f>'rockfish harvests'!B77</f>
        <v>1998</v>
      </c>
      <c r="C78" t="str">
        <f>'rockfish harvests'!C77</f>
        <v>CI</v>
      </c>
      <c r="D78">
        <f>'rockfish harvests'!D77</f>
        <v>994</v>
      </c>
      <c r="E78">
        <v>271</v>
      </c>
      <c r="F78" t="s">
        <v>159</v>
      </c>
      <c r="G78" s="38">
        <v>0.38039261820948833</v>
      </c>
      <c r="H78" s="39">
        <v>1.7607290722732767E-2</v>
      </c>
      <c r="I78" s="13">
        <f>E78*G78</f>
        <v>103.08639953477133</v>
      </c>
      <c r="J78">
        <f t="shared" si="60"/>
        <v>1293.0970379682171</v>
      </c>
      <c r="K78">
        <f t="shared" si="61"/>
        <v>35.959658479582608</v>
      </c>
      <c r="L78" s="6">
        <f t="shared" si="62"/>
        <v>70.480930619981905</v>
      </c>
      <c r="N78" s="2">
        <f>'rockfish harvests'!O77</f>
        <v>692.47589516408812</v>
      </c>
      <c r="O78">
        <f>'rockfish harvests'!P77</f>
        <v>44240.136597187789</v>
      </c>
      <c r="P78" s="32">
        <v>1.6675855999999999E-2</v>
      </c>
      <c r="Q78" s="32">
        <v>3.3094100000000002E-4</v>
      </c>
      <c r="T78" s="13">
        <f>N78*P78</f>
        <v>11.547628311227429</v>
      </c>
      <c r="U78" s="14">
        <f>(N78^2)*Q78+(P78^2)*O78+(Q78*O78)</f>
        <v>185.63713345218264</v>
      </c>
      <c r="V78">
        <f t="shared" si="63"/>
        <v>13.624871869202391</v>
      </c>
      <c r="W78" s="6">
        <f t="shared" si="64"/>
        <v>26.704748863636684</v>
      </c>
      <c r="Y78" s="13">
        <f t="shared" si="58"/>
        <v>114.63402784599876</v>
      </c>
      <c r="Z78" s="14">
        <f>U78+J78</f>
        <v>1478.7341714203999</v>
      </c>
      <c r="AA78">
        <f t="shared" si="65"/>
        <v>38.454312780498363</v>
      </c>
      <c r="AB78" s="6">
        <f t="shared" si="66"/>
        <v>75.370453049776785</v>
      </c>
      <c r="AC78" s="14">
        <f>AA78/Y78</f>
        <v>0.3354528624969762</v>
      </c>
    </row>
    <row r="79" spans="1:29" x14ac:dyDescent="0.3">
      <c r="A79" t="str">
        <f>'rockfish harvests'!A78</f>
        <v>SC</v>
      </c>
      <c r="B79">
        <f>'rockfish harvests'!B78</f>
        <v>1999</v>
      </c>
      <c r="C79" t="str">
        <f>'rockfish harvests'!C78</f>
        <v>CI</v>
      </c>
      <c r="D79">
        <f>'rockfish harvests'!D78</f>
        <v>911</v>
      </c>
      <c r="E79">
        <v>102</v>
      </c>
      <c r="F79" t="s">
        <v>159</v>
      </c>
      <c r="G79" s="38">
        <v>0.38039261820948833</v>
      </c>
      <c r="H79" s="39">
        <v>1.7607290722732767E-2</v>
      </c>
      <c r="I79" s="13">
        <f t="shared" ref="I79:I85" si="89">E79*G79</f>
        <v>38.800047057367813</v>
      </c>
      <c r="J79">
        <f t="shared" si="60"/>
        <v>183.18625267931171</v>
      </c>
      <c r="K79">
        <f t="shared" si="61"/>
        <v>13.53463160486135</v>
      </c>
      <c r="L79" s="6">
        <f t="shared" si="62"/>
        <v>26.527877945528246</v>
      </c>
      <c r="N79" s="2">
        <f>'rockfish harvests'!O78</f>
        <v>634.65346126205668</v>
      </c>
      <c r="O79">
        <f>'rockfish harvests'!P78</f>
        <v>37160.4054962316</v>
      </c>
      <c r="P79">
        <f>IF([1]species_comp_Region2_forR!$D89&gt;49,[1]species_comp_Region2_forR!$J89,[1]species_comp_Region2_forR!$L89)</f>
        <v>0</v>
      </c>
      <c r="Q79">
        <f>IF([1]species_comp_Region2_forR!$D89&gt;49,[1]species_comp_Region2_forR!$K89,[1]species_comp_Region2_forR!$M89)</f>
        <v>0</v>
      </c>
      <c r="T79" s="13">
        <f t="shared" ref="T79:T98" si="90">N79*P79</f>
        <v>0</v>
      </c>
      <c r="U79" s="14">
        <f t="shared" ref="U79:U102" si="91">(N79^2)*Q79+(P79^2)*O79+(Q79*O79)</f>
        <v>0</v>
      </c>
      <c r="V79">
        <f t="shared" si="63"/>
        <v>0</v>
      </c>
      <c r="W79" s="6">
        <f t="shared" si="64"/>
        <v>0</v>
      </c>
      <c r="Y79" s="13">
        <f t="shared" si="58"/>
        <v>38.800047057367813</v>
      </c>
      <c r="Z79">
        <f t="shared" si="59"/>
        <v>183.18625267931171</v>
      </c>
      <c r="AA79">
        <f t="shared" si="65"/>
        <v>13.53463160486135</v>
      </c>
      <c r="AB79" s="6">
        <f t="shared" si="66"/>
        <v>26.527877945528246</v>
      </c>
      <c r="AC79" s="14">
        <f t="shared" ref="AC79:AC99" si="92">AA79/Y79</f>
        <v>0.34883028839758157</v>
      </c>
    </row>
    <row r="80" spans="1:29" x14ac:dyDescent="0.3">
      <c r="A80" t="str">
        <f>'rockfish harvests'!A79</f>
        <v>SC</v>
      </c>
      <c r="B80">
        <f>'rockfish harvests'!B79</f>
        <v>2000</v>
      </c>
      <c r="C80" t="str">
        <f>'rockfish harvests'!C79</f>
        <v>CI</v>
      </c>
      <c r="D80">
        <f>'rockfish harvests'!D79</f>
        <v>1400</v>
      </c>
      <c r="E80">
        <v>175</v>
      </c>
      <c r="F80" t="s">
        <v>159</v>
      </c>
      <c r="G80" s="38">
        <v>0.38039261820948833</v>
      </c>
      <c r="H80" s="39">
        <v>1.7607290722732767E-2</v>
      </c>
      <c r="I80" s="13">
        <f t="shared" si="89"/>
        <v>66.568708186660459</v>
      </c>
      <c r="J80">
        <f t="shared" si="60"/>
        <v>539.22327838369097</v>
      </c>
      <c r="K80">
        <f t="shared" si="61"/>
        <v>23.221181675007216</v>
      </c>
      <c r="L80" s="6">
        <f t="shared" si="62"/>
        <v>45.513516083014146</v>
      </c>
      <c r="N80" s="2">
        <f>'rockfish harvests'!O79</f>
        <v>975.31816220294104</v>
      </c>
      <c r="O80">
        <f>'rockfish harvests'!P79</f>
        <v>87760.635979344952</v>
      </c>
      <c r="P80" s="32">
        <v>1.6675855999999999E-2</v>
      </c>
      <c r="Q80" s="32">
        <v>3.3094100000000002E-4</v>
      </c>
      <c r="T80" s="13">
        <f t="shared" si="90"/>
        <v>16.264265227080887</v>
      </c>
      <c r="U80" s="14">
        <f t="shared" si="91"/>
        <v>368.25457935366524</v>
      </c>
      <c r="V80">
        <f t="shared" si="63"/>
        <v>19.189960379158297</v>
      </c>
      <c r="W80" s="6">
        <f t="shared" si="64"/>
        <v>37.612322343150261</v>
      </c>
      <c r="Y80" s="13">
        <f t="shared" si="58"/>
        <v>82.832973413741342</v>
      </c>
      <c r="Z80">
        <f t="shared" si="59"/>
        <v>907.4778577373562</v>
      </c>
      <c r="AA80">
        <f t="shared" si="65"/>
        <v>30.12437315094467</v>
      </c>
      <c r="AB80" s="6">
        <f t="shared" si="66"/>
        <v>59.043771375851556</v>
      </c>
      <c r="AC80" s="14">
        <f t="shared" si="92"/>
        <v>0.36367610517223414</v>
      </c>
    </row>
    <row r="81" spans="1:29" x14ac:dyDescent="0.3">
      <c r="A81" t="str">
        <f>'rockfish harvests'!A80</f>
        <v>SC</v>
      </c>
      <c r="B81">
        <f>'rockfish harvests'!B80</f>
        <v>2001</v>
      </c>
      <c r="C81" t="str">
        <f>'rockfish harvests'!C80</f>
        <v>CI</v>
      </c>
      <c r="D81">
        <f>'rockfish harvests'!D80</f>
        <v>763</v>
      </c>
      <c r="E81">
        <v>69</v>
      </c>
      <c r="F81" t="s">
        <v>159</v>
      </c>
      <c r="G81" s="38">
        <v>0.38039261820948833</v>
      </c>
      <c r="H81" s="39">
        <v>1.7607290722732767E-2</v>
      </c>
      <c r="I81" s="13">
        <f t="shared" si="89"/>
        <v>26.247090656454695</v>
      </c>
      <c r="J81">
        <f t="shared" si="60"/>
        <v>83.8283111309307</v>
      </c>
      <c r="K81">
        <f t="shared" si="61"/>
        <v>9.1557802032885593</v>
      </c>
      <c r="L81" s="6">
        <f t="shared" si="62"/>
        <v>17.945329198445577</v>
      </c>
      <c r="N81" s="2">
        <f>'rockfish harvests'!O80</f>
        <v>531.54839840060276</v>
      </c>
      <c r="O81">
        <f>'rockfish harvests'!P80</f>
        <v>26067.102901764931</v>
      </c>
      <c r="P81">
        <f>IF([1]species_comp_Region2_forR!$D91&gt;49,[1]species_comp_Region2_forR!$J91,[1]species_comp_Region2_forR!$L91)</f>
        <v>0</v>
      </c>
      <c r="Q81">
        <f>IF([1]species_comp_Region2_forR!$D91&gt;49,[1]species_comp_Region2_forR!$K91,[1]species_comp_Region2_forR!$M91)</f>
        <v>0</v>
      </c>
      <c r="T81" s="13">
        <f t="shared" si="90"/>
        <v>0</v>
      </c>
      <c r="U81" s="14">
        <f t="shared" si="91"/>
        <v>0</v>
      </c>
      <c r="V81">
        <f t="shared" si="63"/>
        <v>0</v>
      </c>
      <c r="W81" s="6">
        <f t="shared" si="64"/>
        <v>0</v>
      </c>
      <c r="Y81" s="13">
        <f t="shared" si="58"/>
        <v>26.247090656454695</v>
      </c>
      <c r="Z81">
        <f t="shared" si="59"/>
        <v>83.8283111309307</v>
      </c>
      <c r="AA81">
        <f t="shared" si="65"/>
        <v>9.1557802032885593</v>
      </c>
      <c r="AB81" s="6">
        <f t="shared" si="66"/>
        <v>17.945329198445577</v>
      </c>
      <c r="AC81" s="14">
        <f t="shared" si="92"/>
        <v>0.34883028839758157</v>
      </c>
    </row>
    <row r="82" spans="1:29" x14ac:dyDescent="0.3">
      <c r="A82" t="str">
        <f>'rockfish harvests'!A81</f>
        <v>SC</v>
      </c>
      <c r="B82">
        <f>'rockfish harvests'!B81</f>
        <v>2002</v>
      </c>
      <c r="C82" t="str">
        <f>'rockfish harvests'!C81</f>
        <v>CI</v>
      </c>
      <c r="D82">
        <f>'rockfish harvests'!D81</f>
        <v>2378</v>
      </c>
      <c r="E82">
        <v>271</v>
      </c>
      <c r="F82" t="s">
        <v>159</v>
      </c>
      <c r="G82" s="38">
        <v>0.38039261820948833</v>
      </c>
      <c r="H82" s="39">
        <v>1.7607290722732767E-2</v>
      </c>
      <c r="I82" s="13">
        <f t="shared" si="89"/>
        <v>103.08639953477133</v>
      </c>
      <c r="J82">
        <f t="shared" si="60"/>
        <v>1293.0970379682171</v>
      </c>
      <c r="K82">
        <f t="shared" si="61"/>
        <v>35.959658479582608</v>
      </c>
      <c r="L82" s="6">
        <f t="shared" si="62"/>
        <v>70.480930619981905</v>
      </c>
      <c r="N82" s="2">
        <f>'rockfish harvests'!O81</f>
        <v>1656.6475640847098</v>
      </c>
      <c r="O82">
        <f>'rockfish harvests'!P81</f>
        <v>253202.15113746023</v>
      </c>
      <c r="P82" s="32">
        <v>1.6675855999999999E-2</v>
      </c>
      <c r="Q82" s="32">
        <v>3.3094100000000002E-4</v>
      </c>
      <c r="T82" s="13">
        <f t="shared" si="90"/>
        <v>27.626016221427392</v>
      </c>
      <c r="U82" s="14">
        <f t="shared" si="91"/>
        <v>1062.4678207723323</v>
      </c>
      <c r="V82">
        <f t="shared" si="63"/>
        <v>32.595518415456013</v>
      </c>
      <c r="W82" s="6">
        <f t="shared" si="64"/>
        <v>63.887216094293784</v>
      </c>
      <c r="Y82" s="13">
        <f t="shared" si="58"/>
        <v>130.71241575619871</v>
      </c>
      <c r="Z82">
        <f t="shared" si="59"/>
        <v>2355.5648587405494</v>
      </c>
      <c r="AA82">
        <f t="shared" si="65"/>
        <v>48.534161770247451</v>
      </c>
      <c r="AB82" s="6">
        <f t="shared" si="66"/>
        <v>95.126957069685005</v>
      </c>
      <c r="AC82" s="14">
        <f t="shared" si="92"/>
        <v>0.37130491001537352</v>
      </c>
    </row>
    <row r="83" spans="1:29" x14ac:dyDescent="0.3">
      <c r="A83" t="str">
        <f>'rockfish harvests'!A82</f>
        <v>SC</v>
      </c>
      <c r="B83">
        <f>'rockfish harvests'!B82</f>
        <v>2003</v>
      </c>
      <c r="C83" t="str">
        <f>'rockfish harvests'!C82</f>
        <v>CI</v>
      </c>
      <c r="D83">
        <f>'rockfish harvests'!D82</f>
        <v>4623</v>
      </c>
      <c r="E83">
        <v>376</v>
      </c>
      <c r="F83" t="s">
        <v>159</v>
      </c>
      <c r="G83" s="38">
        <v>0.38039261820948833</v>
      </c>
      <c r="H83" s="39">
        <v>1.7607290722732767E-2</v>
      </c>
      <c r="I83" s="13">
        <f t="shared" si="89"/>
        <v>143.02762444676762</v>
      </c>
      <c r="J83">
        <f t="shared" si="60"/>
        <v>2489.2483332170677</v>
      </c>
      <c r="K83">
        <f t="shared" si="61"/>
        <v>49.892367484586934</v>
      </c>
      <c r="L83" s="6">
        <f t="shared" si="62"/>
        <v>97.789040269790391</v>
      </c>
      <c r="N83" s="2">
        <f>'rockfish harvests'!O82</f>
        <v>3220.6399027601401</v>
      </c>
      <c r="O83">
        <f>'rockfish harvests'!P82</f>
        <v>956954.91493500082</v>
      </c>
      <c r="P83" s="32">
        <v>1.6675855999999999E-2</v>
      </c>
      <c r="Q83" s="32">
        <v>3.3094100000000002E-4</v>
      </c>
      <c r="T83" s="13">
        <f t="shared" si="90"/>
        <v>53.706927246282099</v>
      </c>
      <c r="U83" s="14">
        <f t="shared" si="91"/>
        <v>4015.5022320343205</v>
      </c>
      <c r="V83">
        <f t="shared" si="63"/>
        <v>63.367990594891999</v>
      </c>
      <c r="W83" s="6">
        <f t="shared" si="64"/>
        <v>124.20126156598832</v>
      </c>
      <c r="Y83" s="13">
        <f t="shared" si="58"/>
        <v>196.73455169304972</v>
      </c>
      <c r="Z83">
        <f t="shared" si="59"/>
        <v>6504.7505652513883</v>
      </c>
      <c r="AA83">
        <f t="shared" si="65"/>
        <v>80.652033856880436</v>
      </c>
      <c r="AB83" s="6">
        <f t="shared" si="66"/>
        <v>158.07798635948566</v>
      </c>
      <c r="AC83" s="14">
        <f t="shared" si="92"/>
        <v>0.40995358040978891</v>
      </c>
    </row>
    <row r="84" spans="1:29" x14ac:dyDescent="0.3">
      <c r="A84" t="str">
        <f>'rockfish harvests'!A83</f>
        <v>SC</v>
      </c>
      <c r="B84">
        <f>'rockfish harvests'!B83</f>
        <v>2004</v>
      </c>
      <c r="C84" t="str">
        <f>'rockfish harvests'!C83</f>
        <v>CI</v>
      </c>
      <c r="D84">
        <f>'rockfish harvests'!D83</f>
        <v>4736</v>
      </c>
      <c r="E84">
        <v>266</v>
      </c>
      <c r="F84" t="s">
        <v>159</v>
      </c>
      <c r="G84" s="38">
        <v>0.38039261820948833</v>
      </c>
      <c r="H84" s="39">
        <v>1.7607290722732767E-2</v>
      </c>
      <c r="I84" s="13">
        <f t="shared" si="89"/>
        <v>101.1844364437239</v>
      </c>
      <c r="J84">
        <f t="shared" si="60"/>
        <v>1245.8214623776796</v>
      </c>
      <c r="K84">
        <f t="shared" si="61"/>
        <v>35.296196146010971</v>
      </c>
      <c r="L84" s="6">
        <f t="shared" si="62"/>
        <v>69.1805444461815</v>
      </c>
      <c r="N84" s="2">
        <f>'rockfish harvests'!O83</f>
        <v>3299.3620115665199</v>
      </c>
      <c r="O84">
        <f>'rockfish harvests'!P83</f>
        <v>1004308.3600935558</v>
      </c>
      <c r="P84" s="32">
        <v>1.6675855999999999E-2</v>
      </c>
      <c r="Q84" s="32">
        <v>3.3094100000000002E-4</v>
      </c>
      <c r="T84" s="13">
        <f t="shared" si="90"/>
        <v>55.01968579675362</v>
      </c>
      <c r="U84" s="14">
        <f t="shared" si="91"/>
        <v>4214.2031966890736</v>
      </c>
      <c r="V84">
        <f t="shared" si="63"/>
        <v>64.916894539781197</v>
      </c>
      <c r="W84" s="6">
        <f t="shared" si="64"/>
        <v>127.23711329797115</v>
      </c>
      <c r="Y84" s="13">
        <f t="shared" si="58"/>
        <v>156.20412224047752</v>
      </c>
      <c r="Z84">
        <f t="shared" si="59"/>
        <v>5460.024659066753</v>
      </c>
      <c r="AA84">
        <f t="shared" si="65"/>
        <v>73.891979666718584</v>
      </c>
      <c r="AB84" s="6">
        <f t="shared" si="66"/>
        <v>144.82828014676844</v>
      </c>
      <c r="AC84" s="14">
        <f t="shared" si="92"/>
        <v>0.47304756498654549</v>
      </c>
    </row>
    <row r="85" spans="1:29" x14ac:dyDescent="0.3">
      <c r="A85" t="str">
        <f>'rockfish harvests'!A84</f>
        <v>SC</v>
      </c>
      <c r="B85">
        <f>'rockfish harvests'!B84</f>
        <v>2005</v>
      </c>
      <c r="C85" t="str">
        <f>'rockfish harvests'!C84</f>
        <v>CI</v>
      </c>
      <c r="D85">
        <f>'rockfish harvests'!D84</f>
        <v>3615</v>
      </c>
      <c r="E85">
        <v>155</v>
      </c>
      <c r="F85" t="s">
        <v>159</v>
      </c>
      <c r="G85" s="38">
        <v>0.38039261820948833</v>
      </c>
      <c r="H85" s="39">
        <v>1.7607290722732767E-2</v>
      </c>
      <c r="I85" s="13">
        <f t="shared" si="89"/>
        <v>58.960855822470691</v>
      </c>
      <c r="J85">
        <f t="shared" si="60"/>
        <v>423.0151596136547</v>
      </c>
      <c r="K85">
        <f t="shared" si="61"/>
        <v>20.567332340720679</v>
      </c>
      <c r="L85" s="6">
        <f t="shared" si="62"/>
        <v>40.311971387812527</v>
      </c>
      <c r="N85" s="2">
        <f>'rockfish harvests'!O84</f>
        <v>2518.4108259740224</v>
      </c>
      <c r="O85">
        <f>'rockfish harvests'!P84</f>
        <v>585140.68220468122</v>
      </c>
      <c r="P85" s="32">
        <v>1.6675855999999999E-2</v>
      </c>
      <c r="Q85" s="32">
        <v>3.3094100000000002E-4</v>
      </c>
      <c r="T85" s="13">
        <f t="shared" si="90"/>
        <v>41.996656282783853</v>
      </c>
      <c r="U85" s="14">
        <f t="shared" si="91"/>
        <v>2455.323316466352</v>
      </c>
      <c r="V85">
        <f t="shared" si="63"/>
        <v>49.551219121898022</v>
      </c>
      <c r="W85" s="6">
        <f t="shared" si="64"/>
        <v>97.120389478920117</v>
      </c>
      <c r="Y85" s="13">
        <f t="shared" si="58"/>
        <v>100.95751210525455</v>
      </c>
      <c r="Z85">
        <f t="shared" si="59"/>
        <v>2878.3384760800068</v>
      </c>
      <c r="AA85">
        <f t="shared" si="65"/>
        <v>53.650148891498958</v>
      </c>
      <c r="AB85" s="6">
        <f t="shared" si="66"/>
        <v>105.15429182733796</v>
      </c>
      <c r="AC85" s="14">
        <f t="shared" si="92"/>
        <v>0.53141314373481496</v>
      </c>
    </row>
    <row r="86" spans="1:29" x14ac:dyDescent="0.3">
      <c r="A86" t="str">
        <f>'rockfish harvests'!A85</f>
        <v>SC</v>
      </c>
      <c r="B86">
        <f>'rockfish harvests'!B85</f>
        <v>2006</v>
      </c>
      <c r="C86" t="str">
        <f>'rockfish harvests'!C85</f>
        <v>CI</v>
      </c>
      <c r="D86">
        <f>'rockfish harvests'!D85</f>
        <v>2463</v>
      </c>
      <c r="E86">
        <v>213</v>
      </c>
      <c r="F86">
        <v>98</v>
      </c>
      <c r="I86" s="13">
        <f>F86</f>
        <v>98</v>
      </c>
      <c r="J86">
        <f t="shared" si="60"/>
        <v>0</v>
      </c>
      <c r="K86">
        <f t="shared" si="61"/>
        <v>0</v>
      </c>
      <c r="L86" s="6">
        <f t="shared" si="62"/>
        <v>0</v>
      </c>
      <c r="N86" s="2">
        <f>'rockfish harvests'!O85</f>
        <v>1715.8633096470312</v>
      </c>
      <c r="O86">
        <f>'rockfish harvests'!P85</f>
        <v>271626.73547213408</v>
      </c>
      <c r="P86" s="32">
        <v>1.6675855999999999E-2</v>
      </c>
      <c r="Q86" s="32">
        <v>3.3094100000000002E-4</v>
      </c>
      <c r="T86" s="13">
        <f t="shared" si="90"/>
        <v>28.613489467357301</v>
      </c>
      <c r="U86" s="14">
        <f t="shared" si="91"/>
        <v>1139.7796756628134</v>
      </c>
      <c r="V86">
        <f t="shared" si="63"/>
        <v>33.760623152762058</v>
      </c>
      <c r="W86" s="6">
        <f t="shared" si="64"/>
        <v>66.170821379413638</v>
      </c>
      <c r="Y86" s="13">
        <f t="shared" si="58"/>
        <v>126.6134894673573</v>
      </c>
      <c r="Z86">
        <f t="shared" si="59"/>
        <v>1139.7796756628134</v>
      </c>
      <c r="AA86">
        <f t="shared" si="65"/>
        <v>33.760623152762058</v>
      </c>
      <c r="AB86" s="6">
        <f t="shared" si="66"/>
        <v>66.170821379413638</v>
      </c>
      <c r="AC86" s="14">
        <f t="shared" si="92"/>
        <v>0.26664317755388939</v>
      </c>
    </row>
    <row r="87" spans="1:29" x14ac:dyDescent="0.3">
      <c r="A87" t="str">
        <f>'rockfish harvests'!A86</f>
        <v>SC</v>
      </c>
      <c r="B87">
        <f>'rockfish harvests'!B86</f>
        <v>2007</v>
      </c>
      <c r="C87" t="str">
        <f>'rockfish harvests'!C86</f>
        <v>CI</v>
      </c>
      <c r="D87">
        <f>'rockfish harvests'!D86</f>
        <v>2559</v>
      </c>
      <c r="E87">
        <v>194</v>
      </c>
      <c r="F87">
        <v>94</v>
      </c>
      <c r="I87" s="13">
        <f t="shared" ref="I87:I98" si="93">F87</f>
        <v>94</v>
      </c>
      <c r="J87">
        <f t="shared" si="60"/>
        <v>0</v>
      </c>
      <c r="K87">
        <f t="shared" si="61"/>
        <v>0</v>
      </c>
      <c r="L87" s="6">
        <f t="shared" si="62"/>
        <v>0</v>
      </c>
      <c r="N87" s="2">
        <f>'rockfish harvests'!O86</f>
        <v>1782.7422693409471</v>
      </c>
      <c r="O87">
        <f>'rockfish harvests'!P86</f>
        <v>293213.70268298819</v>
      </c>
      <c r="P87" s="32">
        <v>1.6675855999999999E-2</v>
      </c>
      <c r="Q87" s="32">
        <v>3.3094100000000002E-4</v>
      </c>
      <c r="T87" s="13">
        <f t="shared" si="90"/>
        <v>29.728753368642849</v>
      </c>
      <c r="U87" s="14">
        <f t="shared" si="91"/>
        <v>1230.3612837043206</v>
      </c>
      <c r="V87">
        <f t="shared" si="63"/>
        <v>35.076506150190056</v>
      </c>
      <c r="W87" s="6">
        <f t="shared" si="64"/>
        <v>68.749952054372514</v>
      </c>
      <c r="Y87" s="13">
        <f t="shared" si="58"/>
        <v>123.72875336864286</v>
      </c>
      <c r="Z87">
        <f t="shared" si="59"/>
        <v>1230.3612837043206</v>
      </c>
      <c r="AA87">
        <f t="shared" si="65"/>
        <v>35.076506150190056</v>
      </c>
      <c r="AB87" s="6">
        <f t="shared" si="66"/>
        <v>68.749952054372514</v>
      </c>
      <c r="AC87" s="14">
        <f t="shared" si="92"/>
        <v>0.28349518761966008</v>
      </c>
    </row>
    <row r="88" spans="1:29" x14ac:dyDescent="0.3">
      <c r="A88" t="str">
        <f>'rockfish harvests'!A87</f>
        <v>SC</v>
      </c>
      <c r="B88">
        <f>'rockfish harvests'!B87</f>
        <v>2008</v>
      </c>
      <c r="C88" t="str">
        <f>'rockfish harvests'!C87</f>
        <v>CI</v>
      </c>
      <c r="D88">
        <f>'rockfish harvests'!D87</f>
        <v>2163</v>
      </c>
      <c r="E88">
        <v>157</v>
      </c>
      <c r="F88">
        <v>96</v>
      </c>
      <c r="I88" s="13">
        <f t="shared" si="93"/>
        <v>96</v>
      </c>
      <c r="J88">
        <f t="shared" si="60"/>
        <v>0</v>
      </c>
      <c r="K88">
        <f t="shared" si="61"/>
        <v>0</v>
      </c>
      <c r="L88" s="6">
        <f t="shared" si="62"/>
        <v>0</v>
      </c>
      <c r="N88" s="2">
        <f>'rockfish harvests'!O87</f>
        <v>1506.8665606035438</v>
      </c>
      <c r="O88">
        <f>'rockfish harvests'!P87</f>
        <v>209486.83209859589</v>
      </c>
      <c r="P88" s="32">
        <v>1.6675855999999999E-2</v>
      </c>
      <c r="Q88" s="32">
        <v>3.3094100000000002E-4</v>
      </c>
      <c r="T88" s="13">
        <f t="shared" si="90"/>
        <v>25.128289775839967</v>
      </c>
      <c r="U88" s="14">
        <f t="shared" si="91"/>
        <v>879.03288728168252</v>
      </c>
      <c r="V88">
        <f t="shared" si="63"/>
        <v>29.648488785799564</v>
      </c>
      <c r="W88" s="6">
        <f t="shared" si="64"/>
        <v>58.111038020167143</v>
      </c>
      <c r="Y88" s="13">
        <f t="shared" si="58"/>
        <v>121.12828977583996</v>
      </c>
      <c r="Z88">
        <f t="shared" si="59"/>
        <v>879.03288728168252</v>
      </c>
      <c r="AA88">
        <f t="shared" si="65"/>
        <v>29.648488785799564</v>
      </c>
      <c r="AB88" s="6">
        <f t="shared" si="66"/>
        <v>58.111038020167143</v>
      </c>
      <c r="AC88" s="14">
        <f t="shared" si="92"/>
        <v>0.24476931723107018</v>
      </c>
    </row>
    <row r="89" spans="1:29" x14ac:dyDescent="0.3">
      <c r="A89" t="str">
        <f>'rockfish harvests'!A88</f>
        <v>SC</v>
      </c>
      <c r="B89">
        <f>'rockfish harvests'!B88</f>
        <v>2009</v>
      </c>
      <c r="C89" t="str">
        <f>'rockfish harvests'!C88</f>
        <v>CI</v>
      </c>
      <c r="D89">
        <f>'rockfish harvests'!D88</f>
        <v>2918</v>
      </c>
      <c r="E89">
        <v>256</v>
      </c>
      <c r="F89">
        <v>142</v>
      </c>
      <c r="I89" s="13">
        <f t="shared" si="93"/>
        <v>142</v>
      </c>
      <c r="J89">
        <f t="shared" si="60"/>
        <v>0</v>
      </c>
      <c r="K89">
        <f t="shared" si="61"/>
        <v>0</v>
      </c>
      <c r="L89" s="6">
        <f t="shared" si="62"/>
        <v>0</v>
      </c>
      <c r="N89" s="2">
        <f>'rockfish harvests'!O88</f>
        <v>2032.841712362987</v>
      </c>
      <c r="O89">
        <f>'rockfish harvests'!P88</f>
        <v>381253.87419826118</v>
      </c>
      <c r="P89">
        <f>IF([1]species_comp_Region2_forR!$D99&gt;49,[1]species_comp_Region2_forR!$J99,[1]species_comp_Region2_forR!$L99)</f>
        <v>0</v>
      </c>
      <c r="Q89">
        <f>IF([1]species_comp_Region2_forR!$D99&gt;49,[1]species_comp_Region2_forR!$K99,[1]species_comp_Region2_forR!$M99)</f>
        <v>0</v>
      </c>
      <c r="T89" s="13">
        <f t="shared" si="90"/>
        <v>0</v>
      </c>
      <c r="U89" s="14">
        <f t="shared" si="91"/>
        <v>0</v>
      </c>
      <c r="V89">
        <f t="shared" si="63"/>
        <v>0</v>
      </c>
      <c r="W89" s="6">
        <f t="shared" si="64"/>
        <v>0</v>
      </c>
      <c r="Y89" s="13">
        <f t="shared" si="58"/>
        <v>142</v>
      </c>
      <c r="Z89">
        <f t="shared" si="59"/>
        <v>0</v>
      </c>
      <c r="AA89">
        <f t="shared" si="65"/>
        <v>0</v>
      </c>
      <c r="AB89" s="6">
        <f t="shared" si="66"/>
        <v>0</v>
      </c>
      <c r="AC89" s="14">
        <f t="shared" si="92"/>
        <v>0</v>
      </c>
    </row>
    <row r="90" spans="1:29" x14ac:dyDescent="0.3">
      <c r="A90" t="str">
        <f>'rockfish harvests'!A89</f>
        <v>SC</v>
      </c>
      <c r="B90">
        <f>'rockfish harvests'!B89</f>
        <v>2010</v>
      </c>
      <c r="C90" t="str">
        <f>'rockfish harvests'!C89</f>
        <v>CI</v>
      </c>
      <c r="D90">
        <f>'rockfish harvests'!D89</f>
        <v>4422</v>
      </c>
      <c r="E90">
        <v>1173</v>
      </c>
      <c r="F90">
        <v>185</v>
      </c>
      <c r="I90" s="13">
        <f t="shared" si="93"/>
        <v>185</v>
      </c>
      <c r="J90">
        <f t="shared" si="60"/>
        <v>0</v>
      </c>
      <c r="K90">
        <f t="shared" si="61"/>
        <v>0</v>
      </c>
      <c r="L90" s="6">
        <f t="shared" si="62"/>
        <v>0</v>
      </c>
      <c r="N90" s="2">
        <f>'rockfish harvests'!O89</f>
        <v>3080.6120809010035</v>
      </c>
      <c r="O90">
        <f>'rockfish harvests'!P89</f>
        <v>875550.43256812927</v>
      </c>
      <c r="P90">
        <f>IF([1]species_comp_Region2_forR!$D100&gt;49,[1]species_comp_Region2_forR!$J100,[1]species_comp_Region2_forR!$L100)</f>
        <v>0</v>
      </c>
      <c r="Q90">
        <f>IF([1]species_comp_Region2_forR!$D100&gt;49,[1]species_comp_Region2_forR!$K100,[1]species_comp_Region2_forR!$M100)</f>
        <v>0</v>
      </c>
      <c r="T90" s="13">
        <f t="shared" si="90"/>
        <v>0</v>
      </c>
      <c r="U90" s="14">
        <f t="shared" si="91"/>
        <v>0</v>
      </c>
      <c r="V90">
        <f t="shared" si="63"/>
        <v>0</v>
      </c>
      <c r="W90" s="6">
        <f t="shared" si="64"/>
        <v>0</v>
      </c>
      <c r="Y90" s="13">
        <f t="shared" si="58"/>
        <v>185</v>
      </c>
      <c r="Z90">
        <f t="shared" si="59"/>
        <v>0</v>
      </c>
      <c r="AA90">
        <f t="shared" si="65"/>
        <v>0</v>
      </c>
      <c r="AB90" s="6">
        <f t="shared" si="66"/>
        <v>0</v>
      </c>
      <c r="AC90" s="14">
        <f t="shared" si="92"/>
        <v>0</v>
      </c>
    </row>
    <row r="91" spans="1:29" x14ac:dyDescent="0.3">
      <c r="A91" t="str">
        <f>'rockfish harvests'!A90</f>
        <v>SC</v>
      </c>
      <c r="B91">
        <f>'rockfish harvests'!B90</f>
        <v>2011</v>
      </c>
      <c r="C91" t="str">
        <f>'rockfish harvests'!C90</f>
        <v>CI</v>
      </c>
      <c r="D91">
        <f>'rockfish harvests'!D90</f>
        <v>3046</v>
      </c>
      <c r="E91">
        <v>476</v>
      </c>
      <c r="F91">
        <v>174</v>
      </c>
      <c r="I91" s="13">
        <f t="shared" si="93"/>
        <v>174</v>
      </c>
      <c r="J91">
        <f t="shared" si="60"/>
        <v>0</v>
      </c>
      <c r="K91">
        <f t="shared" si="61"/>
        <v>0</v>
      </c>
      <c r="L91" s="6">
        <f t="shared" si="62"/>
        <v>0</v>
      </c>
      <c r="N91" s="2">
        <f>'rockfish harvests'!O90</f>
        <v>2195.2886731391591</v>
      </c>
      <c r="O91">
        <f>'rockfish harvests'!P90</f>
        <v>347241.00971171423</v>
      </c>
      <c r="P91">
        <f>IF([1]species_comp_Region2_forR!$D101&gt;49,[1]species_comp_Region2_forR!$J101,[1]species_comp_Region2_forR!$L101)</f>
        <v>0.02</v>
      </c>
      <c r="Q91">
        <f>IF([1]species_comp_Region2_forR!$D101&gt;49,[1]species_comp_Region2_forR!$K101,[1]species_comp_Region2_forR!$M101)</f>
        <v>1.3154400000000001E-4</v>
      </c>
      <c r="T91" s="13">
        <f t="shared" si="90"/>
        <v>43.905773462783181</v>
      </c>
      <c r="U91" s="14">
        <f t="shared" si="91"/>
        <v>818.522869261295</v>
      </c>
      <c r="V91">
        <f t="shared" si="63"/>
        <v>28.609838679400045</v>
      </c>
      <c r="W91" s="6">
        <f t="shared" si="64"/>
        <v>56.075283811624089</v>
      </c>
      <c r="Y91" s="13">
        <f t="shared" si="58"/>
        <v>217.90577346278317</v>
      </c>
      <c r="Z91">
        <f t="shared" si="59"/>
        <v>818.522869261295</v>
      </c>
      <c r="AA91">
        <f t="shared" si="65"/>
        <v>28.609838679400045</v>
      </c>
      <c r="AB91" s="6">
        <f t="shared" si="66"/>
        <v>56.075283811624089</v>
      </c>
      <c r="AC91" s="14">
        <f t="shared" si="92"/>
        <v>0.13129454178636718</v>
      </c>
    </row>
    <row r="92" spans="1:29" x14ac:dyDescent="0.3">
      <c r="A92" t="str">
        <f>'rockfish harvests'!A91</f>
        <v>SC</v>
      </c>
      <c r="B92">
        <f>'rockfish harvests'!B91</f>
        <v>2012</v>
      </c>
      <c r="C92" t="str">
        <f>'rockfish harvests'!C91</f>
        <v>CI</v>
      </c>
      <c r="D92">
        <f>'rockfish harvests'!D91</f>
        <v>4677</v>
      </c>
      <c r="E92">
        <v>568</v>
      </c>
      <c r="F92">
        <v>201</v>
      </c>
      <c r="I92" s="13">
        <f t="shared" si="93"/>
        <v>201</v>
      </c>
      <c r="J92">
        <f t="shared" si="60"/>
        <v>0</v>
      </c>
      <c r="K92">
        <f t="shared" si="61"/>
        <v>0</v>
      </c>
      <c r="L92" s="6">
        <f t="shared" si="62"/>
        <v>0</v>
      </c>
      <c r="N92" s="2">
        <f>'rockfish harvests'!O91</f>
        <v>5339.9412080536913</v>
      </c>
      <c r="O92">
        <f>'rockfish harvests'!P91</f>
        <v>1729256.1604569755</v>
      </c>
      <c r="P92">
        <f>IF([1]species_comp_Region2_forR!$D102&gt;49,[1]species_comp_Region2_forR!$J102,[1]species_comp_Region2_forR!$L102)</f>
        <v>1.5873016E-2</v>
      </c>
      <c r="Q92">
        <f>IF([1]species_comp_Region2_forR!$D102&gt;49,[1]species_comp_Region2_forR!$K102,[1]species_comp_Region2_forR!$M102)</f>
        <v>2.5195300000000002E-4</v>
      </c>
      <c r="T92" s="13">
        <f t="shared" si="90"/>
        <v>84.760972234495569</v>
      </c>
      <c r="U92" s="14">
        <f t="shared" si="91"/>
        <v>8055.8146938504788</v>
      </c>
      <c r="V92">
        <f t="shared" si="63"/>
        <v>89.754190397164621</v>
      </c>
      <c r="W92" s="6">
        <f t="shared" si="64"/>
        <v>175.91821317844264</v>
      </c>
      <c r="Y92" s="13">
        <f t="shared" si="58"/>
        <v>285.76097223449557</v>
      </c>
      <c r="Z92">
        <f t="shared" si="59"/>
        <v>8055.8146938504788</v>
      </c>
      <c r="AA92">
        <f t="shared" si="65"/>
        <v>89.754190397164621</v>
      </c>
      <c r="AB92" s="6">
        <f t="shared" si="66"/>
        <v>175.91821317844264</v>
      </c>
      <c r="AC92" s="14">
        <f t="shared" si="92"/>
        <v>0.31408834346879355</v>
      </c>
    </row>
    <row r="93" spans="1:29" x14ac:dyDescent="0.3">
      <c r="A93" t="str">
        <f>'rockfish harvests'!A92</f>
        <v>SC</v>
      </c>
      <c r="B93">
        <f>'rockfish harvests'!B92</f>
        <v>2013</v>
      </c>
      <c r="C93" t="str">
        <f>'rockfish harvests'!C92</f>
        <v>CI</v>
      </c>
      <c r="D93">
        <f>'rockfish harvests'!D92</f>
        <v>4808</v>
      </c>
      <c r="E93">
        <v>428</v>
      </c>
      <c r="F93">
        <v>162</v>
      </c>
      <c r="I93" s="13">
        <f t="shared" si="93"/>
        <v>162</v>
      </c>
      <c r="J93">
        <f t="shared" si="60"/>
        <v>0</v>
      </c>
      <c r="K93">
        <f t="shared" si="61"/>
        <v>0</v>
      </c>
      <c r="L93" s="6">
        <f t="shared" si="62"/>
        <v>0</v>
      </c>
      <c r="N93" s="2">
        <f>'rockfish harvests'!O92</f>
        <v>3482.4354718850645</v>
      </c>
      <c r="O93">
        <f>'rockfish harvests'!P92</f>
        <v>863231.70507392555</v>
      </c>
      <c r="P93">
        <f>IF([1]species_comp_Region2_forR!$D103&gt;49,[1]species_comp_Region2_forR!$J103,[1]species_comp_Region2_forR!$L103)</f>
        <v>5.1282051000000002E-2</v>
      </c>
      <c r="Q93">
        <f>IF([1]species_comp_Region2_forR!$D103&gt;49,[1]species_comp_Region2_forR!$K103,[1]species_comp_Region2_forR!$M103)</f>
        <v>6.3184700000000005E-4</v>
      </c>
      <c r="T93" s="13">
        <f t="shared" si="90"/>
        <v>178.58643347341896</v>
      </c>
      <c r="U93" s="14">
        <f t="shared" si="91"/>
        <v>10478.233209839733</v>
      </c>
      <c r="V93">
        <f t="shared" si="63"/>
        <v>102.36324149732526</v>
      </c>
      <c r="W93" s="6">
        <f t="shared" si="64"/>
        <v>200.6319533347575</v>
      </c>
      <c r="Y93" s="13">
        <f t="shared" si="58"/>
        <v>340.58643347341899</v>
      </c>
      <c r="Z93">
        <f t="shared" si="59"/>
        <v>10478.233209839733</v>
      </c>
      <c r="AA93">
        <f t="shared" si="65"/>
        <v>102.36324149732526</v>
      </c>
      <c r="AB93" s="6">
        <f t="shared" si="66"/>
        <v>200.6319533347575</v>
      </c>
      <c r="AC93" s="14">
        <f t="shared" si="92"/>
        <v>0.30054996745874257</v>
      </c>
    </row>
    <row r="94" spans="1:29" x14ac:dyDescent="0.3">
      <c r="A94" t="str">
        <f>'rockfish harvests'!A93</f>
        <v>SC</v>
      </c>
      <c r="B94">
        <f>'rockfish harvests'!B93</f>
        <v>2014</v>
      </c>
      <c r="C94" t="str">
        <f>'rockfish harvests'!C93</f>
        <v>CI</v>
      </c>
      <c r="D94">
        <f>'rockfish harvests'!D93</f>
        <v>4731</v>
      </c>
      <c r="E94">
        <v>362</v>
      </c>
      <c r="F94">
        <v>94</v>
      </c>
      <c r="I94" s="13">
        <f t="shared" si="93"/>
        <v>94</v>
      </c>
      <c r="J94">
        <f t="shared" si="60"/>
        <v>0</v>
      </c>
      <c r="K94">
        <f t="shared" si="61"/>
        <v>0</v>
      </c>
      <c r="L94" s="6">
        <f t="shared" si="62"/>
        <v>0</v>
      </c>
      <c r="N94" s="2">
        <f>'rockfish harvests'!O93</f>
        <v>3444.6502099319532</v>
      </c>
      <c r="O94">
        <f>'rockfish harvests'!P93</f>
        <v>609818.57296968682</v>
      </c>
      <c r="P94">
        <f>IF([1]species_comp_Region2_forR!$D104&gt;49,[1]species_comp_Region2_forR!$J104,[1]species_comp_Region2_forR!$L104)</f>
        <v>3.3057850999999999E-2</v>
      </c>
      <c r="Q94">
        <f>IF([1]species_comp_Region2_forR!$D104&gt;49,[1]species_comp_Region2_forR!$K104,[1]species_comp_Region2_forR!$M104)</f>
        <v>2.6637500000000001E-4</v>
      </c>
      <c r="T94" s="13">
        <f t="shared" si="90"/>
        <v>113.87273338704922</v>
      </c>
      <c r="U94" s="14">
        <f t="shared" si="91"/>
        <v>3989.566491730789</v>
      </c>
      <c r="V94">
        <f t="shared" si="63"/>
        <v>63.163015220386598</v>
      </c>
      <c r="W94" s="6">
        <f t="shared" si="64"/>
        <v>123.79950983195774</v>
      </c>
      <c r="Y94" s="13">
        <f t="shared" si="58"/>
        <v>207.87273338704921</v>
      </c>
      <c r="Z94">
        <f t="shared" si="59"/>
        <v>3989.566491730789</v>
      </c>
      <c r="AA94">
        <f t="shared" si="65"/>
        <v>63.163015220386598</v>
      </c>
      <c r="AB94" s="6">
        <f t="shared" si="66"/>
        <v>123.79950983195774</v>
      </c>
      <c r="AC94" s="14">
        <f t="shared" si="92"/>
        <v>0.3038542582820617</v>
      </c>
    </row>
    <row r="95" spans="1:29" x14ac:dyDescent="0.3">
      <c r="A95" t="str">
        <f>'rockfish harvests'!A94</f>
        <v>SC</v>
      </c>
      <c r="B95">
        <f>'rockfish harvests'!B94</f>
        <v>2015</v>
      </c>
      <c r="C95" t="str">
        <f>'rockfish harvests'!C94</f>
        <v>CI</v>
      </c>
      <c r="D95">
        <f>'rockfish harvests'!D94</f>
        <v>6321</v>
      </c>
      <c r="E95">
        <v>457</v>
      </c>
      <c r="F95">
        <v>134</v>
      </c>
      <c r="I95" s="13">
        <f t="shared" si="93"/>
        <v>134</v>
      </c>
      <c r="J95">
        <f t="shared" si="60"/>
        <v>0</v>
      </c>
      <c r="K95">
        <f t="shared" si="61"/>
        <v>0</v>
      </c>
      <c r="L95" s="6">
        <f t="shared" si="62"/>
        <v>0</v>
      </c>
      <c r="N95" s="2">
        <f>'rockfish harvests'!O94</f>
        <v>4002.3757374073521</v>
      </c>
      <c r="O95">
        <f>'rockfish harvests'!P94</f>
        <v>811336.58070905623</v>
      </c>
      <c r="P95">
        <f>IF([1]species_comp_Region2_forR!$D105&gt;49,[1]species_comp_Region2_forR!$J105,[1]species_comp_Region2_forR!$L105)</f>
        <v>2.5316456000000001E-2</v>
      </c>
      <c r="Q95">
        <f>IF([1]species_comp_Region2_forR!$D105&gt;49,[1]species_comp_Region2_forR!$K105,[1]species_comp_Region2_forR!$M105)</f>
        <v>1.57169E-4</v>
      </c>
      <c r="T95" s="13">
        <f t="shared" si="90"/>
        <v>101.32596925154078</v>
      </c>
      <c r="U95" s="14">
        <f t="shared" si="91"/>
        <v>3165.2132145234846</v>
      </c>
      <c r="V95">
        <f t="shared" si="63"/>
        <v>56.260227643722565</v>
      </c>
      <c r="W95" s="6">
        <f t="shared" si="64"/>
        <v>110.27004618169623</v>
      </c>
      <c r="Y95" s="13">
        <f t="shared" si="58"/>
        <v>235.32596925154078</v>
      </c>
      <c r="Z95">
        <f t="shared" si="59"/>
        <v>3165.2132145234846</v>
      </c>
      <c r="AA95">
        <f t="shared" si="65"/>
        <v>56.260227643722565</v>
      </c>
      <c r="AB95" s="6">
        <f t="shared" si="66"/>
        <v>110.27004618169623</v>
      </c>
      <c r="AC95" s="14">
        <f t="shared" si="92"/>
        <v>0.2390736042548105</v>
      </c>
    </row>
    <row r="96" spans="1:29" x14ac:dyDescent="0.3">
      <c r="A96" t="str">
        <f>'rockfish harvests'!A95</f>
        <v>SC</v>
      </c>
      <c r="B96">
        <f>'rockfish harvests'!B95</f>
        <v>2016</v>
      </c>
      <c r="C96" t="str">
        <f>'rockfish harvests'!C95</f>
        <v>CI</v>
      </c>
      <c r="D96">
        <f>'rockfish harvests'!D95</f>
        <v>10123</v>
      </c>
      <c r="E96">
        <v>779</v>
      </c>
      <c r="F96">
        <v>185</v>
      </c>
      <c r="I96" s="13">
        <f t="shared" si="93"/>
        <v>185</v>
      </c>
      <c r="J96">
        <f t="shared" si="60"/>
        <v>0</v>
      </c>
      <c r="K96">
        <f t="shared" si="61"/>
        <v>0</v>
      </c>
      <c r="L96" s="6">
        <f t="shared" si="62"/>
        <v>0</v>
      </c>
      <c r="N96" s="2">
        <f>'rockfish harvests'!O95</f>
        <v>6323.0304871660555</v>
      </c>
      <c r="O96">
        <f>'rockfish harvests'!P95</f>
        <v>1298638.7245062976</v>
      </c>
      <c r="P96">
        <f>IF([1]species_comp_Region2_forR!$D106&gt;49,[1]species_comp_Region2_forR!$J106,[1]species_comp_Region2_forR!$L106)</f>
        <v>0</v>
      </c>
      <c r="Q96">
        <f>IF([1]species_comp_Region2_forR!$D106&gt;49,[1]species_comp_Region2_forR!$K106,[1]species_comp_Region2_forR!$M106)</f>
        <v>0</v>
      </c>
      <c r="T96" s="13">
        <f t="shared" si="90"/>
        <v>0</v>
      </c>
      <c r="U96" s="14">
        <f t="shared" si="91"/>
        <v>0</v>
      </c>
      <c r="V96">
        <f t="shared" si="63"/>
        <v>0</v>
      </c>
      <c r="W96" s="6">
        <f t="shared" si="64"/>
        <v>0</v>
      </c>
      <c r="Y96" s="13">
        <f t="shared" si="58"/>
        <v>185</v>
      </c>
      <c r="Z96">
        <f t="shared" si="59"/>
        <v>0</v>
      </c>
      <c r="AA96">
        <f t="shared" si="65"/>
        <v>0</v>
      </c>
      <c r="AB96" s="6">
        <f t="shared" si="66"/>
        <v>0</v>
      </c>
      <c r="AC96" s="14">
        <f t="shared" si="92"/>
        <v>0</v>
      </c>
    </row>
    <row r="97" spans="1:29" x14ac:dyDescent="0.3">
      <c r="A97" t="str">
        <f>'rockfish harvests'!A96</f>
        <v>SC</v>
      </c>
      <c r="B97">
        <f>'rockfish harvests'!B96</f>
        <v>2017</v>
      </c>
      <c r="C97" t="str">
        <f>'rockfish harvests'!C96</f>
        <v>CI</v>
      </c>
      <c r="D97">
        <f>'rockfish harvests'!D96</f>
        <v>8376</v>
      </c>
      <c r="E97">
        <v>923</v>
      </c>
      <c r="F97">
        <v>391</v>
      </c>
      <c r="I97" s="13">
        <f t="shared" si="93"/>
        <v>391</v>
      </c>
      <c r="J97">
        <f t="shared" si="60"/>
        <v>0</v>
      </c>
      <c r="K97">
        <f t="shared" si="61"/>
        <v>0</v>
      </c>
      <c r="L97" s="6">
        <f t="shared" si="62"/>
        <v>0</v>
      </c>
      <c r="N97" s="2">
        <f>'rockfish harvests'!O96</f>
        <v>3322.4902609334804</v>
      </c>
      <c r="O97">
        <f>'rockfish harvests'!P96</f>
        <v>525119.78521776723</v>
      </c>
      <c r="P97">
        <f>IF([1]species_comp_Region2_forR!$D107&gt;49,[1]species_comp_Region2_forR!$J107,[1]species_comp_Region2_forR!$L107)</f>
        <v>3.7037037000000002E-2</v>
      </c>
      <c r="Q97">
        <f>IF([1]species_comp_Region2_forR!$D107&gt;49,[1]species_comp_Region2_forR!$K107,[1]species_comp_Region2_forR!$M107)</f>
        <v>4.4581599999999997E-4</v>
      </c>
      <c r="T97" s="13">
        <f t="shared" si="90"/>
        <v>123.05519472633297</v>
      </c>
      <c r="U97" s="14">
        <f t="shared" si="91"/>
        <v>5875.7724831279229</v>
      </c>
      <c r="V97">
        <f t="shared" si="63"/>
        <v>76.653587542449202</v>
      </c>
      <c r="W97" s="6">
        <f t="shared" si="64"/>
        <v>150.24103158320042</v>
      </c>
      <c r="Y97" s="13">
        <f t="shared" si="58"/>
        <v>514.05519472633296</v>
      </c>
      <c r="Z97">
        <f t="shared" si="59"/>
        <v>5875.7724831279229</v>
      </c>
      <c r="AA97">
        <f t="shared" si="65"/>
        <v>76.653587542449202</v>
      </c>
      <c r="AB97" s="6">
        <f t="shared" si="66"/>
        <v>150.24103158320042</v>
      </c>
      <c r="AC97" s="14">
        <f t="shared" si="92"/>
        <v>0.14911548084492598</v>
      </c>
    </row>
    <row r="98" spans="1:29" x14ac:dyDescent="0.3">
      <c r="A98" t="str">
        <f>'rockfish harvests'!A97</f>
        <v>SC</v>
      </c>
      <c r="B98">
        <f>'rockfish harvests'!B97</f>
        <v>2018</v>
      </c>
      <c r="C98" t="str">
        <f>'rockfish harvests'!C97</f>
        <v>CI</v>
      </c>
      <c r="D98">
        <f>'rockfish harvests'!D97</f>
        <v>13009</v>
      </c>
      <c r="E98">
        <v>1031</v>
      </c>
      <c r="F98">
        <v>376</v>
      </c>
      <c r="I98" s="13">
        <f t="shared" si="93"/>
        <v>376</v>
      </c>
      <c r="J98">
        <f t="shared" si="60"/>
        <v>0</v>
      </c>
      <c r="K98">
        <f t="shared" si="61"/>
        <v>0</v>
      </c>
      <c r="L98" s="6">
        <f t="shared" si="62"/>
        <v>0</v>
      </c>
      <c r="N98" s="2">
        <f>'rockfish harvests'!O97</f>
        <v>10029.600289296046</v>
      </c>
      <c r="O98">
        <f>'rockfish harvests'!P97</f>
        <v>5460886.0967642423</v>
      </c>
      <c r="P98">
        <f>IF([1]species_comp_Region2_forR!$D108&gt;49,[1]species_comp_Region2_forR!$J108,[1]species_comp_Region2_forR!$L108)</f>
        <v>1.7543860000000001E-2</v>
      </c>
      <c r="Q98">
        <f>IF([1]species_comp_Region2_forR!$D108&gt;49,[1]species_comp_Region2_forR!$K108,[1]species_comp_Region2_forR!$M108)</f>
        <v>1.01389E-4</v>
      </c>
      <c r="T98" s="13">
        <f t="shared" si="90"/>
        <v>175.95790333136935</v>
      </c>
      <c r="U98" s="14">
        <f t="shared" si="91"/>
        <v>12433.475368301828</v>
      </c>
      <c r="V98">
        <f t="shared" si="63"/>
        <v>111.50549478972697</v>
      </c>
      <c r="W98" s="6">
        <f t="shared" si="64"/>
        <v>218.55076978786485</v>
      </c>
      <c r="Y98" s="13">
        <f t="shared" si="58"/>
        <v>551.95790333136938</v>
      </c>
      <c r="Z98">
        <f t="shared" si="59"/>
        <v>12433.475368301828</v>
      </c>
      <c r="AA98">
        <f t="shared" si="65"/>
        <v>111.50549478972697</v>
      </c>
      <c r="AB98" s="6">
        <f t="shared" si="66"/>
        <v>218.55076978786485</v>
      </c>
      <c r="AC98" s="14">
        <f t="shared" si="92"/>
        <v>0.20201811427416838</v>
      </c>
    </row>
    <row r="99" spans="1:29" x14ac:dyDescent="0.3">
      <c r="A99" t="str">
        <f>'rockfish harvests'!A98</f>
        <v>SC</v>
      </c>
      <c r="B99">
        <f>'rockfish harvests'!B98</f>
        <v>2019</v>
      </c>
      <c r="C99" t="str">
        <f>'rockfish harvests'!C98</f>
        <v>CI</v>
      </c>
      <c r="D99">
        <f>'rockfish harvests'!D98</f>
        <v>16061</v>
      </c>
      <c r="E99">
        <v>985</v>
      </c>
      <c r="F99">
        <v>445</v>
      </c>
      <c r="I99" s="13">
        <f>F99</f>
        <v>445</v>
      </c>
      <c r="J99">
        <f>(E99^2)*H99</f>
        <v>0</v>
      </c>
      <c r="K99">
        <f>SQRT(J99)</f>
        <v>0</v>
      </c>
      <c r="L99" s="6">
        <f>(1.96*K99)</f>
        <v>0</v>
      </c>
      <c r="N99" s="2">
        <f>'rockfish harvests'!O98</f>
        <v>11565.493536535585</v>
      </c>
      <c r="O99">
        <f>'rockfish harvests'!P98</f>
        <v>7400162.779370754</v>
      </c>
      <c r="P99">
        <f>IF([1]species_comp_Region2_forR!$D109&gt;49,[1]species_comp_Region2_forR!$J109,[1]species_comp_Region2_forR!$L109)</f>
        <v>8.7719300000000007E-3</v>
      </c>
      <c r="Q99">
        <f>IF([1]species_comp_Region2_forR!$D109&gt;49,[1]species_comp_Region2_forR!$K109,[1]species_comp_Region2_forR!$M109)</f>
        <v>3.8303899999999998E-5</v>
      </c>
      <c r="T99" s="13">
        <f>N99*P99</f>
        <v>101.4516997179426</v>
      </c>
      <c r="U99" s="14">
        <f t="shared" si="91"/>
        <v>5976.4278212540676</v>
      </c>
      <c r="V99">
        <f>SQRT(U99)</f>
        <v>77.307359424921941</v>
      </c>
      <c r="W99" s="6">
        <f>(1.96*V99)</f>
        <v>151.52242447284701</v>
      </c>
      <c r="Y99" s="13">
        <f>T99+I99</f>
        <v>546.45169971794257</v>
      </c>
      <c r="Z99">
        <f>U99+J99</f>
        <v>5976.4278212540676</v>
      </c>
      <c r="AA99">
        <f>SQRT(Z99)</f>
        <v>77.307359424921941</v>
      </c>
      <c r="AB99" s="6">
        <f>(1.96*AA99)</f>
        <v>151.52242447284701</v>
      </c>
      <c r="AC99" s="14">
        <f t="shared" si="92"/>
        <v>0.14147153255232811</v>
      </c>
    </row>
    <row r="100" spans="1:29" x14ac:dyDescent="0.3">
      <c r="A100" t="str">
        <f>'rockfish harvests'!A99</f>
        <v>SC</v>
      </c>
      <c r="B100">
        <f>'rockfish harvests'!B99</f>
        <v>2020</v>
      </c>
      <c r="C100" t="str">
        <f>'rockfish harvests'!C99</f>
        <v>CI</v>
      </c>
      <c r="D100">
        <f>'rockfish harvests'!D99</f>
        <v>9784</v>
      </c>
      <c r="E100">
        <v>650</v>
      </c>
      <c r="F100">
        <v>250</v>
      </c>
      <c r="I100" s="13">
        <f t="shared" ref="I100:I102" si="94">F100</f>
        <v>250</v>
      </c>
      <c r="J100">
        <f t="shared" ref="J100:J102" si="95">(E100^2)*H100</f>
        <v>0</v>
      </c>
      <c r="K100">
        <f t="shared" ref="K100:K102" si="96">SQRT(J100)</f>
        <v>0</v>
      </c>
      <c r="L100" s="6">
        <f t="shared" ref="L100:L102" si="97">(1.96*K100)</f>
        <v>0</v>
      </c>
      <c r="N100" s="2">
        <f>'rockfish harvests'!O99</f>
        <v>10340.813008130081</v>
      </c>
      <c r="O100">
        <f>'rockfish harvests'!P99</f>
        <v>6856537.925024569</v>
      </c>
      <c r="P100" s="59">
        <v>5.2631578947368418E-2</v>
      </c>
      <c r="Q100" s="59">
        <v>6.64819944598338E-4</v>
      </c>
      <c r="T100" s="13">
        <f>N100*P100</f>
        <v>544.25331621737269</v>
      </c>
      <c r="U100" s="14">
        <f t="shared" si="91"/>
        <v>94642.344342430515</v>
      </c>
      <c r="V100">
        <f t="shared" ref="V100:V101" si="98">SQRT(U100)</f>
        <v>307.63995894946828</v>
      </c>
      <c r="W100" s="6">
        <f t="shared" ref="W100:W101" si="99">(1.96*V100)</f>
        <v>602.97431954095782</v>
      </c>
      <c r="Y100" s="13">
        <f t="shared" ref="Y100:Y101" si="100">T100+I100</f>
        <v>794.25331621737269</v>
      </c>
      <c r="Z100">
        <f t="shared" ref="Z100:Z101" si="101">U100+J100</f>
        <v>94642.344342430515</v>
      </c>
      <c r="AA100">
        <f t="shared" ref="AA100:AA101" si="102">SQRT(Z100)</f>
        <v>307.63995894946828</v>
      </c>
      <c r="AB100" s="6">
        <f t="shared" ref="AB100:AB101" si="103">(1.96*AA100)</f>
        <v>602.97431954095782</v>
      </c>
      <c r="AC100" s="14">
        <f t="shared" ref="AC100:AC101" si="104">AA100/Y100</f>
        <v>0.38733229395201269</v>
      </c>
    </row>
    <row r="101" spans="1:29" x14ac:dyDescent="0.3">
      <c r="A101" t="str">
        <f>'rockfish harvests'!A100</f>
        <v>SC</v>
      </c>
      <c r="B101">
        <f>'rockfish harvests'!B100</f>
        <v>2021</v>
      </c>
      <c r="C101" t="str">
        <f>'rockfish harvests'!C100</f>
        <v>CI</v>
      </c>
      <c r="D101">
        <f>'rockfish harvests'!D100</f>
        <v>14326</v>
      </c>
      <c r="E101">
        <v>1101</v>
      </c>
      <c r="F101">
        <v>396</v>
      </c>
      <c r="I101" s="13">
        <f t="shared" si="94"/>
        <v>396</v>
      </c>
      <c r="J101">
        <f t="shared" si="95"/>
        <v>0</v>
      </c>
      <c r="K101">
        <f t="shared" si="96"/>
        <v>0</v>
      </c>
      <c r="L101" s="6">
        <f t="shared" si="97"/>
        <v>0</v>
      </c>
      <c r="N101" s="2">
        <f>'rockfish harvests'!O100</f>
        <v>7068.2694391332043</v>
      </c>
      <c r="O101">
        <f>'rockfish harvests'!P100</f>
        <v>3061133.8312190818</v>
      </c>
      <c r="P101" s="59">
        <v>2.4390243902439025E-2</v>
      </c>
      <c r="Q101" s="59">
        <v>2.937698753681304E-4</v>
      </c>
      <c r="T101" s="13">
        <f t="shared" ref="T101" si="105">N101*P101</f>
        <v>172.39681558861474</v>
      </c>
      <c r="U101" s="14">
        <f t="shared" si="91"/>
        <v>17397.158570698553</v>
      </c>
      <c r="V101">
        <f t="shared" si="98"/>
        <v>131.89828873301789</v>
      </c>
      <c r="W101" s="6">
        <f t="shared" si="99"/>
        <v>258.52064591671507</v>
      </c>
      <c r="Y101" s="13">
        <f t="shared" si="100"/>
        <v>568.3968155886148</v>
      </c>
      <c r="Z101">
        <f t="shared" si="101"/>
        <v>17397.158570698553</v>
      </c>
      <c r="AA101">
        <f t="shared" si="102"/>
        <v>131.89828873301789</v>
      </c>
      <c r="AB101" s="6">
        <f t="shared" si="103"/>
        <v>258.52064591671507</v>
      </c>
      <c r="AC101" s="14">
        <f t="shared" si="104"/>
        <v>0.23205318030578331</v>
      </c>
    </row>
    <row r="102" spans="1:29" s="51" customFormat="1" x14ac:dyDescent="0.3">
      <c r="A102" s="51" t="s">
        <v>81</v>
      </c>
      <c r="B102" s="51">
        <v>2022</v>
      </c>
      <c r="C102" s="51" t="s">
        <v>47</v>
      </c>
      <c r="D102">
        <f>'rockfish harvests'!D101</f>
        <v>13586</v>
      </c>
      <c r="E102" s="51">
        <v>1122</v>
      </c>
      <c r="F102" s="51">
        <v>313</v>
      </c>
      <c r="I102" s="71">
        <f t="shared" si="94"/>
        <v>313</v>
      </c>
      <c r="J102" s="51">
        <f t="shared" si="95"/>
        <v>0</v>
      </c>
      <c r="K102" s="51">
        <f t="shared" si="96"/>
        <v>0</v>
      </c>
      <c r="L102" s="78">
        <f t="shared" si="97"/>
        <v>0</v>
      </c>
      <c r="N102" s="2">
        <f>'rockfish harvests'!O101</f>
        <v>9088.4127991764581</v>
      </c>
      <c r="O102">
        <f>'rockfish harvests'!P101</f>
        <v>3966049.882434688</v>
      </c>
      <c r="P102" s="90">
        <v>7.9365080000000001E-3</v>
      </c>
      <c r="Q102" s="86" t="s">
        <v>161</v>
      </c>
      <c r="T102" s="13">
        <f t="shared" ref="T102" si="106">N102*P102</f>
        <v>72.130260887966358</v>
      </c>
      <c r="U102" s="14">
        <f t="shared" si="91"/>
        <v>5702.4028115747469</v>
      </c>
      <c r="V102">
        <f t="shared" ref="V102" si="107">SQRT(U102)</f>
        <v>75.514255684438467</v>
      </c>
      <c r="W102" s="6">
        <f t="shared" ref="W102" si="108">(1.96*V102)</f>
        <v>148.0079411414994</v>
      </c>
      <c r="X102"/>
      <c r="Y102" s="13">
        <f t="shared" ref="Y102" si="109">T102+I102</f>
        <v>385.13026088796636</v>
      </c>
      <c r="Z102">
        <f t="shared" ref="Z102" si="110">U102+J102</f>
        <v>5702.4028115747469</v>
      </c>
      <c r="AA102">
        <f t="shared" ref="AA102" si="111">SQRT(Z102)</f>
        <v>75.514255684438467</v>
      </c>
      <c r="AB102" s="6">
        <f t="shared" ref="AB102" si="112">(1.96*AA102)</f>
        <v>148.0079411414994</v>
      </c>
      <c r="AC102" s="14">
        <f t="shared" ref="AC102" si="113">AA102/Y102</f>
        <v>0.1960745839870667</v>
      </c>
    </row>
    <row r="103" spans="1:29" x14ac:dyDescent="0.3">
      <c r="A103" t="str">
        <f>'rockfish harvests'!A102</f>
        <v>SC</v>
      </c>
      <c r="B103">
        <f>'rockfish harvests'!B102</f>
        <v>1998</v>
      </c>
      <c r="C103" t="str">
        <f>'rockfish harvests'!C102</f>
        <v>EASTSIDE</v>
      </c>
      <c r="D103">
        <f>'rockfish harvests'!D102</f>
        <v>157</v>
      </c>
      <c r="E103">
        <v>82</v>
      </c>
      <c r="F103" t="s">
        <v>159</v>
      </c>
      <c r="G103" s="38">
        <v>0.57747916268368715</v>
      </c>
      <c r="H103" s="39">
        <v>5.3821903983799504E-2</v>
      </c>
      <c r="I103" s="13">
        <f t="shared" ref="I103:I110" si="114">E103*G103</f>
        <v>47.353291340062349</v>
      </c>
      <c r="J103">
        <f t="shared" si="60"/>
        <v>361.89848238706787</v>
      </c>
      <c r="K103">
        <f t="shared" si="61"/>
        <v>19.023629579737612</v>
      </c>
      <c r="L103" s="6">
        <f t="shared" si="62"/>
        <v>37.286313976285719</v>
      </c>
      <c r="N103" s="2">
        <f>'rockfish harvests'!O102</f>
        <v>22.108315533666314</v>
      </c>
      <c r="O103">
        <f>'rockfish harvests'!P102</f>
        <v>350.7410435791694</v>
      </c>
      <c r="R103" s="38">
        <v>3.3428140107828103E-2</v>
      </c>
      <c r="S103" s="39">
        <v>4.3518755610624723E-4</v>
      </c>
      <c r="T103" s="13">
        <f>N103*R103</f>
        <v>0.73903986920747</v>
      </c>
      <c r="U103" s="14">
        <f>(N103^2)*S103+(R103^2)*O103+(S103*O103)</f>
        <v>0.75728033867250544</v>
      </c>
      <c r="V103">
        <f t="shared" si="63"/>
        <v>0.87021855799132752</v>
      </c>
      <c r="W103" s="6">
        <f t="shared" si="64"/>
        <v>1.705628373663002</v>
      </c>
      <c r="Y103" s="13">
        <f t="shared" si="58"/>
        <v>48.092331209269815</v>
      </c>
      <c r="Z103">
        <f t="shared" si="59"/>
        <v>362.65576272574037</v>
      </c>
      <c r="AA103">
        <f t="shared" si="65"/>
        <v>19.043522854916848</v>
      </c>
      <c r="AB103" s="6">
        <f t="shared" si="66"/>
        <v>37.325304795637024</v>
      </c>
      <c r="AC103" s="14">
        <f>AA103/Y103</f>
        <v>0.39597836861038255</v>
      </c>
    </row>
    <row r="104" spans="1:29" x14ac:dyDescent="0.3">
      <c r="A104" t="str">
        <f>'rockfish harvests'!A103</f>
        <v>SC</v>
      </c>
      <c r="B104">
        <f>'rockfish harvests'!B103</f>
        <v>1999</v>
      </c>
      <c r="C104" t="str">
        <f>'rockfish harvests'!C103</f>
        <v>EASTSIDE</v>
      </c>
      <c r="D104">
        <f>'rockfish harvests'!D103</f>
        <v>121</v>
      </c>
      <c r="E104">
        <v>21</v>
      </c>
      <c r="F104" t="s">
        <v>159</v>
      </c>
      <c r="G104" s="38">
        <v>0.57747916268368715</v>
      </c>
      <c r="H104" s="39">
        <v>5.3821903983799504E-2</v>
      </c>
      <c r="I104" s="13">
        <f t="shared" si="114"/>
        <v>12.127062416357431</v>
      </c>
      <c r="J104">
        <f t="shared" si="60"/>
        <v>23.735459656855582</v>
      </c>
      <c r="K104">
        <f t="shared" si="61"/>
        <v>4.8719051362742665</v>
      </c>
      <c r="L104" s="6">
        <f t="shared" si="62"/>
        <v>9.5489340670975622</v>
      </c>
      <c r="N104" s="2">
        <f>'rockfish harvests'!O103</f>
        <v>16.687051745013036</v>
      </c>
      <c r="O104">
        <f>'rockfish harvests'!P103</f>
        <v>206.21704461477333</v>
      </c>
      <c r="R104" s="38">
        <v>3.3428140107828103E-2</v>
      </c>
      <c r="S104" s="39">
        <v>4.3518755610624723E-4</v>
      </c>
      <c r="T104" s="13">
        <f t="shared" ref="T104:T123" si="115">N104*R104</f>
        <v>0.55781710371887316</v>
      </c>
      <c r="U104" s="14">
        <f t="shared" ref="U104:U127" si="116">(N104^2)*S104+(R104^2)*O104+(S104*O104)</f>
        <v>0.44135970382285183</v>
      </c>
      <c r="V104">
        <f t="shared" si="63"/>
        <v>0.66434908280425276</v>
      </c>
      <c r="W104" s="6">
        <f t="shared" si="64"/>
        <v>1.3021242022963353</v>
      </c>
      <c r="Y104" s="13">
        <f t="shared" si="58"/>
        <v>12.684879520076304</v>
      </c>
      <c r="Z104">
        <f t="shared" si="59"/>
        <v>24.176819360678433</v>
      </c>
      <c r="AA104">
        <f t="shared" si="65"/>
        <v>4.916992918510096</v>
      </c>
      <c r="AB104" s="6">
        <f t="shared" si="66"/>
        <v>9.6373061202797885</v>
      </c>
      <c r="AC104" s="14">
        <f t="shared" ref="AC104:AC124" si="117">AA104/Y104</f>
        <v>0.38762630033087758</v>
      </c>
    </row>
    <row r="105" spans="1:29" x14ac:dyDescent="0.3">
      <c r="A105" t="str">
        <f>'rockfish harvests'!A104</f>
        <v>SC</v>
      </c>
      <c r="B105">
        <f>'rockfish harvests'!B104</f>
        <v>2000</v>
      </c>
      <c r="C105" t="str">
        <f>'rockfish harvests'!C104</f>
        <v>EASTSIDE</v>
      </c>
      <c r="D105">
        <f>'rockfish harvests'!D104</f>
        <v>423</v>
      </c>
      <c r="E105">
        <v>43</v>
      </c>
      <c r="F105" t="s">
        <v>159</v>
      </c>
      <c r="G105" s="38">
        <v>0.57747916268368715</v>
      </c>
      <c r="H105" s="39">
        <v>5.3821903983799504E-2</v>
      </c>
      <c r="I105" s="13">
        <f t="shared" si="114"/>
        <v>24.831603995398549</v>
      </c>
      <c r="J105">
        <f t="shared" si="60"/>
        <v>99.516700466045279</v>
      </c>
      <c r="K105">
        <f t="shared" si="61"/>
        <v>9.9758057552282597</v>
      </c>
      <c r="L105" s="6">
        <f t="shared" si="62"/>
        <v>19.552579280247389</v>
      </c>
      <c r="N105" s="2">
        <f>'rockfish harvests'!O104</f>
        <v>58.335726348268736</v>
      </c>
      <c r="O105">
        <f>'rockfish harvests'!P104</f>
        <v>2520.1973619204136</v>
      </c>
      <c r="R105" s="38">
        <v>3.3428140107828103E-2</v>
      </c>
      <c r="S105" s="39">
        <v>4.3518755610624723E-4</v>
      </c>
      <c r="T105" s="13">
        <f t="shared" si="115"/>
        <v>1.9500548336618468</v>
      </c>
      <c r="U105" s="14">
        <f t="shared" si="116"/>
        <v>5.3938973051922048</v>
      </c>
      <c r="V105">
        <f t="shared" si="63"/>
        <v>2.3224765456710657</v>
      </c>
      <c r="W105" s="6">
        <f t="shared" si="64"/>
        <v>4.5520540295152889</v>
      </c>
      <c r="Y105" s="13">
        <f t="shared" si="58"/>
        <v>26.781658829060397</v>
      </c>
      <c r="Z105">
        <f t="shared" si="59"/>
        <v>104.91059777123749</v>
      </c>
      <c r="AA105">
        <f t="shared" si="65"/>
        <v>10.242587454898176</v>
      </c>
      <c r="AB105" s="6">
        <f t="shared" si="66"/>
        <v>20.075471411600425</v>
      </c>
      <c r="AC105" s="14">
        <f t="shared" si="117"/>
        <v>0.38244783567267648</v>
      </c>
    </row>
    <row r="106" spans="1:29" x14ac:dyDescent="0.3">
      <c r="A106" t="str">
        <f>'rockfish harvests'!A105</f>
        <v>SC</v>
      </c>
      <c r="B106">
        <f>'rockfish harvests'!B105</f>
        <v>2001</v>
      </c>
      <c r="C106" t="str">
        <f>'rockfish harvests'!C105</f>
        <v>EASTSIDE</v>
      </c>
      <c r="D106">
        <f>'rockfish harvests'!D105</f>
        <v>298</v>
      </c>
      <c r="E106">
        <v>67</v>
      </c>
      <c r="F106" t="s">
        <v>159</v>
      </c>
      <c r="G106" s="38">
        <v>0.57747916268368715</v>
      </c>
      <c r="H106" s="39">
        <v>5.3821903983799504E-2</v>
      </c>
      <c r="I106" s="13">
        <f t="shared" si="114"/>
        <v>38.69110389980704</v>
      </c>
      <c r="J106">
        <f t="shared" si="60"/>
        <v>241.60652698327598</v>
      </c>
      <c r="K106">
        <f t="shared" si="61"/>
        <v>15.543697339541708</v>
      </c>
      <c r="L106" s="6">
        <f t="shared" si="62"/>
        <v>30.465646785501747</v>
      </c>
      <c r="N106" s="2">
        <f>'rockfish harvests'!O105</f>
        <v>41.097036529040395</v>
      </c>
      <c r="O106">
        <f>'rockfish harvests'!P105</f>
        <v>1250.7956034403612</v>
      </c>
      <c r="R106" s="38">
        <v>3.3428140107828103E-2</v>
      </c>
      <c r="S106" s="39">
        <v>4.3518755610624723E-4</v>
      </c>
      <c r="T106" s="13">
        <f t="shared" si="115"/>
        <v>1.3737974951092919</v>
      </c>
      <c r="U106" s="14">
        <f t="shared" si="116"/>
        <v>2.6770375751850657</v>
      </c>
      <c r="V106">
        <f t="shared" si="63"/>
        <v>1.6361655097162591</v>
      </c>
      <c r="W106" s="6">
        <f t="shared" si="64"/>
        <v>3.2068843990438678</v>
      </c>
      <c r="Y106" s="13">
        <f t="shared" si="58"/>
        <v>40.064901394916333</v>
      </c>
      <c r="Z106">
        <f t="shared" si="59"/>
        <v>244.28356455846105</v>
      </c>
      <c r="AA106">
        <f t="shared" si="65"/>
        <v>15.629573396560158</v>
      </c>
      <c r="AB106" s="6">
        <f t="shared" si="66"/>
        <v>30.633963857257907</v>
      </c>
      <c r="AC106" s="14">
        <f t="shared" si="117"/>
        <v>0.39010637371850188</v>
      </c>
    </row>
    <row r="107" spans="1:29" x14ac:dyDescent="0.3">
      <c r="A107" t="str">
        <f>'rockfish harvests'!A106</f>
        <v>SC</v>
      </c>
      <c r="B107">
        <f>'rockfish harvests'!B106</f>
        <v>2002</v>
      </c>
      <c r="C107" t="str">
        <f>'rockfish harvests'!C106</f>
        <v>EASTSIDE</v>
      </c>
      <c r="D107">
        <f>'rockfish harvests'!D106</f>
        <v>319</v>
      </c>
      <c r="E107">
        <v>50</v>
      </c>
      <c r="F107" t="s">
        <v>159</v>
      </c>
      <c r="G107" s="38">
        <v>0.57747916268368715</v>
      </c>
      <c r="H107" s="39">
        <v>5.3821903983799504E-2</v>
      </c>
      <c r="I107" s="13">
        <f t="shared" si="114"/>
        <v>28.873958134184356</v>
      </c>
      <c r="J107">
        <f t="shared" si="60"/>
        <v>134.55475995949877</v>
      </c>
      <c r="K107">
        <f t="shared" si="61"/>
        <v>11.599774133986349</v>
      </c>
      <c r="L107" s="6">
        <f t="shared" si="62"/>
        <v>22.735557302613245</v>
      </c>
      <c r="N107" s="2">
        <f>'rockfish harvests'!O106</f>
        <v>43.993136418670758</v>
      </c>
      <c r="O107">
        <f>'rockfish harvests'!P106</f>
        <v>1433.2936737274742</v>
      </c>
      <c r="R107" s="38">
        <v>3.3428140107828103E-2</v>
      </c>
      <c r="S107" s="39">
        <v>4.3518755610624723E-4</v>
      </c>
      <c r="T107" s="13">
        <f t="shared" si="115"/>
        <v>1.4706087279861211</v>
      </c>
      <c r="U107" s="14">
        <f t="shared" si="116"/>
        <v>3.0676323216117236</v>
      </c>
      <c r="V107">
        <f t="shared" si="63"/>
        <v>1.7514657637566666</v>
      </c>
      <c r="W107" s="6">
        <f t="shared" si="64"/>
        <v>3.4328728969630666</v>
      </c>
      <c r="Y107" s="13">
        <f t="shared" si="58"/>
        <v>30.344566862170478</v>
      </c>
      <c r="Z107">
        <f t="shared" si="59"/>
        <v>137.62239228111048</v>
      </c>
      <c r="AA107">
        <f t="shared" si="65"/>
        <v>11.731257063124586</v>
      </c>
      <c r="AB107" s="6">
        <f t="shared" si="66"/>
        <v>22.993263843724186</v>
      </c>
      <c r="AC107" s="14">
        <f t="shared" si="117"/>
        <v>0.38660156582262961</v>
      </c>
    </row>
    <row r="108" spans="1:29" x14ac:dyDescent="0.3">
      <c r="A108" t="str">
        <f>'rockfish harvests'!A107</f>
        <v>SC</v>
      </c>
      <c r="B108">
        <f>'rockfish harvests'!B107</f>
        <v>2003</v>
      </c>
      <c r="C108" t="str">
        <f>'rockfish harvests'!C107</f>
        <v>EASTSIDE</v>
      </c>
      <c r="D108">
        <f>'rockfish harvests'!D107</f>
        <v>1012</v>
      </c>
      <c r="E108">
        <v>48</v>
      </c>
      <c r="F108" t="s">
        <v>159</v>
      </c>
      <c r="G108" s="38">
        <v>0.57747916268368715</v>
      </c>
      <c r="H108" s="39">
        <v>5.3821903983799504E-2</v>
      </c>
      <c r="I108" s="13">
        <f t="shared" si="114"/>
        <v>27.718999808816982</v>
      </c>
      <c r="J108">
        <f t="shared" si="60"/>
        <v>124.00566677867405</v>
      </c>
      <c r="K108">
        <f t="shared" si="61"/>
        <v>11.135783168626896</v>
      </c>
      <c r="L108" s="6">
        <f t="shared" si="62"/>
        <v>21.826135010508715</v>
      </c>
      <c r="N108" s="2">
        <f>'rockfish harvests'!O107</f>
        <v>139.56443277647281</v>
      </c>
      <c r="O108">
        <f>'rockfish harvests'!P107</f>
        <v>14424.967484458195</v>
      </c>
      <c r="R108" s="38">
        <v>3.3428140107828103E-2</v>
      </c>
      <c r="S108" s="39">
        <v>4.3518755610624723E-4</v>
      </c>
      <c r="T108" s="13">
        <f t="shared" si="115"/>
        <v>4.6653794129214896</v>
      </c>
      <c r="U108" s="14">
        <f t="shared" si="116"/>
        <v>30.87329366245141</v>
      </c>
      <c r="V108">
        <f t="shared" si="63"/>
        <v>5.556374147090116</v>
      </c>
      <c r="W108" s="6">
        <f t="shared" si="64"/>
        <v>10.890493328296627</v>
      </c>
      <c r="Y108" s="13">
        <f t="shared" si="58"/>
        <v>32.38437922173847</v>
      </c>
      <c r="Z108">
        <f t="shared" si="59"/>
        <v>154.87896044112546</v>
      </c>
      <c r="AA108">
        <f t="shared" si="65"/>
        <v>12.445037582953514</v>
      </c>
      <c r="AB108" s="6">
        <f t="shared" si="66"/>
        <v>24.392273662588888</v>
      </c>
      <c r="AC108" s="14">
        <f t="shared" si="117"/>
        <v>0.38429137386705275</v>
      </c>
    </row>
    <row r="109" spans="1:29" x14ac:dyDescent="0.3">
      <c r="A109" t="str">
        <f>'rockfish harvests'!A108</f>
        <v>SC</v>
      </c>
      <c r="B109">
        <f>'rockfish harvests'!B108</f>
        <v>2004</v>
      </c>
      <c r="C109" t="str">
        <f>'rockfish harvests'!C108</f>
        <v>EASTSIDE</v>
      </c>
      <c r="D109">
        <f>'rockfish harvests'!D108</f>
        <v>730</v>
      </c>
      <c r="E109">
        <v>58</v>
      </c>
      <c r="F109" t="s">
        <v>159</v>
      </c>
      <c r="G109" s="38">
        <v>0.57747916268368715</v>
      </c>
      <c r="H109" s="39">
        <v>5.3821903983799504E-2</v>
      </c>
      <c r="I109" s="13">
        <f t="shared" si="114"/>
        <v>33.493791435653854</v>
      </c>
      <c r="J109">
        <f t="shared" si="60"/>
        <v>181.05688500150154</v>
      </c>
      <c r="K109">
        <f t="shared" si="61"/>
        <v>13.455737995424165</v>
      </c>
      <c r="L109" s="6">
        <f t="shared" si="62"/>
        <v>26.373246471031365</v>
      </c>
      <c r="N109" s="2">
        <f>'rockfish harvests'!O108</f>
        <v>100.67394854429358</v>
      </c>
      <c r="O109">
        <f>'rockfish harvests'!P108</f>
        <v>7505.8440731652699</v>
      </c>
      <c r="R109" s="38">
        <v>3.3428140107828103E-2</v>
      </c>
      <c r="S109" s="39">
        <v>4.3518755610624723E-4</v>
      </c>
      <c r="T109" s="13">
        <f t="shared" si="115"/>
        <v>3.3653428571469228</v>
      </c>
      <c r="U109" s="14">
        <f t="shared" si="116"/>
        <v>16.064516506194785</v>
      </c>
      <c r="V109">
        <f t="shared" si="63"/>
        <v>4.0080564499760714</v>
      </c>
      <c r="W109" s="6">
        <f t="shared" si="64"/>
        <v>7.8557906419530994</v>
      </c>
      <c r="Y109" s="13">
        <f t="shared" si="58"/>
        <v>36.859134292800775</v>
      </c>
      <c r="Z109">
        <f t="shared" si="59"/>
        <v>197.12140150769633</v>
      </c>
      <c r="AA109">
        <f t="shared" si="65"/>
        <v>14.039992931183987</v>
      </c>
      <c r="AB109" s="6">
        <f t="shared" si="66"/>
        <v>27.518386145120612</v>
      </c>
      <c r="AC109" s="14">
        <f t="shared" si="117"/>
        <v>0.38090945977334684</v>
      </c>
    </row>
    <row r="110" spans="1:29" x14ac:dyDescent="0.3">
      <c r="A110" t="str">
        <f>'rockfish harvests'!A109</f>
        <v>SC</v>
      </c>
      <c r="B110">
        <f>'rockfish harvests'!B109</f>
        <v>2005</v>
      </c>
      <c r="C110" t="str">
        <f>'rockfish harvests'!C109</f>
        <v>EASTSIDE</v>
      </c>
      <c r="D110">
        <f>'rockfish harvests'!D109</f>
        <v>1242</v>
      </c>
      <c r="E110">
        <v>168</v>
      </c>
      <c r="F110" t="s">
        <v>159</v>
      </c>
      <c r="G110" s="38">
        <v>0.57747916268368715</v>
      </c>
      <c r="H110" s="39">
        <v>5.3821903983799504E-2</v>
      </c>
      <c r="I110" s="13">
        <f t="shared" si="114"/>
        <v>97.016499330859446</v>
      </c>
      <c r="J110">
        <f t="shared" si="60"/>
        <v>1519.0694180387572</v>
      </c>
      <c r="K110">
        <f t="shared" si="61"/>
        <v>38.975241090194132</v>
      </c>
      <c r="L110" s="6">
        <f t="shared" si="62"/>
        <v>76.391472536780498</v>
      </c>
      <c r="N110" s="2">
        <f>'rockfish harvests'!O109</f>
        <v>171.28362204385303</v>
      </c>
      <c r="O110">
        <f>'rockfish harvests'!P109</f>
        <v>21726.862182169472</v>
      </c>
      <c r="R110" s="38">
        <v>3.3428140107828103E-2</v>
      </c>
      <c r="S110" s="39">
        <v>4.3518755610624723E-4</v>
      </c>
      <c r="T110" s="13">
        <f t="shared" si="115"/>
        <v>5.7256929158581933</v>
      </c>
      <c r="U110" s="14">
        <f t="shared" si="116"/>
        <v>46.501303884146864</v>
      </c>
      <c r="V110">
        <f t="shared" si="63"/>
        <v>6.819186453246961</v>
      </c>
      <c r="W110" s="6">
        <f t="shared" si="64"/>
        <v>13.365605448364043</v>
      </c>
      <c r="Y110" s="13">
        <f t="shared" si="58"/>
        <v>102.74219224671764</v>
      </c>
      <c r="Z110">
        <f t="shared" si="59"/>
        <v>1565.5707219229041</v>
      </c>
      <c r="AA110">
        <f t="shared" si="65"/>
        <v>39.567293588554982</v>
      </c>
      <c r="AB110" s="6">
        <f t="shared" si="66"/>
        <v>77.551895433567765</v>
      </c>
      <c r="AC110" s="14">
        <f t="shared" si="117"/>
        <v>0.38511241315097655</v>
      </c>
    </row>
    <row r="111" spans="1:29" x14ac:dyDescent="0.3">
      <c r="A111" t="str">
        <f>'rockfish harvests'!A110</f>
        <v>SC</v>
      </c>
      <c r="B111">
        <f>'rockfish harvests'!B110</f>
        <v>2006</v>
      </c>
      <c r="C111" t="str">
        <f>'rockfish harvests'!C110</f>
        <v>EASTSIDE</v>
      </c>
      <c r="D111">
        <f>'rockfish harvests'!D110</f>
        <v>1516</v>
      </c>
      <c r="E111">
        <v>160</v>
      </c>
      <c r="F111">
        <v>122</v>
      </c>
      <c r="I111" s="13">
        <f>F111</f>
        <v>122</v>
      </c>
      <c r="J111">
        <f t="shared" si="60"/>
        <v>0</v>
      </c>
      <c r="K111">
        <f t="shared" si="61"/>
        <v>0</v>
      </c>
      <c r="L111" s="6">
        <f t="shared" si="62"/>
        <v>0</v>
      </c>
      <c r="N111" s="2">
        <f>'rockfish harvests'!O110</f>
        <v>209.07083012760154</v>
      </c>
      <c r="O111">
        <f>'rockfish harvests'!P110</f>
        <v>32370.709657002288</v>
      </c>
      <c r="R111" s="38">
        <v>3.3428140107828103E-2</v>
      </c>
      <c r="S111" s="39">
        <v>4.3518755610624723E-4</v>
      </c>
      <c r="T111" s="13">
        <f t="shared" si="115"/>
        <v>6.9888490019653933</v>
      </c>
      <c r="U111" s="14">
        <f t="shared" si="116"/>
        <v>69.281988079304199</v>
      </c>
      <c r="V111">
        <f t="shared" si="63"/>
        <v>8.3235802440598956</v>
      </c>
      <c r="W111" s="6">
        <f t="shared" si="64"/>
        <v>16.314217278357393</v>
      </c>
      <c r="Y111" s="13">
        <f t="shared" si="58"/>
        <v>128.98884900196541</v>
      </c>
      <c r="Z111">
        <f t="shared" si="59"/>
        <v>69.281988079304199</v>
      </c>
      <c r="AA111">
        <f t="shared" si="65"/>
        <v>8.3235802440598956</v>
      </c>
      <c r="AB111" s="6">
        <f t="shared" si="66"/>
        <v>16.314217278357393</v>
      </c>
      <c r="AC111" s="14">
        <f t="shared" si="117"/>
        <v>6.4529455906169597E-2</v>
      </c>
    </row>
    <row r="112" spans="1:29" x14ac:dyDescent="0.3">
      <c r="A112" t="str">
        <f>'rockfish harvests'!A111</f>
        <v>SC</v>
      </c>
      <c r="B112">
        <f>'rockfish harvests'!B111</f>
        <v>2007</v>
      </c>
      <c r="C112" t="str">
        <f>'rockfish harvests'!C111</f>
        <v>EASTSIDE</v>
      </c>
      <c r="D112">
        <f>'rockfish harvests'!D111</f>
        <v>3481</v>
      </c>
      <c r="E112">
        <v>171</v>
      </c>
      <c r="F112">
        <v>108</v>
      </c>
      <c r="I112" s="13">
        <f t="shared" ref="I112:I123" si="118">F112</f>
        <v>108</v>
      </c>
      <c r="J112">
        <f t="shared" si="60"/>
        <v>0</v>
      </c>
      <c r="K112">
        <f t="shared" si="61"/>
        <v>0</v>
      </c>
      <c r="L112" s="6">
        <f t="shared" si="62"/>
        <v>0</v>
      </c>
      <c r="N112" s="2">
        <f>'rockfish harvests'!O111</f>
        <v>480.0630340858711</v>
      </c>
      <c r="O112">
        <f>'rockfish harvests'!P111</f>
        <v>170671.83757600674</v>
      </c>
      <c r="R112" s="38">
        <v>3.3428140107828103E-2</v>
      </c>
      <c r="S112" s="39">
        <v>4.3518755610624723E-4</v>
      </c>
      <c r="T112" s="13">
        <f t="shared" si="115"/>
        <v>16.047614364011558</v>
      </c>
      <c r="U112" s="14">
        <f t="shared" si="116"/>
        <v>365.28344116348461</v>
      </c>
      <c r="V112">
        <f t="shared" si="63"/>
        <v>19.112389729269456</v>
      </c>
      <c r="W112" s="6">
        <f t="shared" si="64"/>
        <v>37.460283869368133</v>
      </c>
      <c r="Y112" s="13">
        <f t="shared" si="58"/>
        <v>124.04761436401157</v>
      </c>
      <c r="Z112">
        <f t="shared" si="59"/>
        <v>365.28344116348461</v>
      </c>
      <c r="AA112">
        <f t="shared" si="65"/>
        <v>19.112389729269456</v>
      </c>
      <c r="AB112" s="6">
        <f t="shared" si="66"/>
        <v>37.460283869368133</v>
      </c>
      <c r="AC112" s="14">
        <f t="shared" si="117"/>
        <v>0.1540730132317184</v>
      </c>
    </row>
    <row r="113" spans="1:29" x14ac:dyDescent="0.3">
      <c r="A113" t="str">
        <f>'rockfish harvests'!A112</f>
        <v>SC</v>
      </c>
      <c r="B113">
        <f>'rockfish harvests'!B112</f>
        <v>2008</v>
      </c>
      <c r="C113" t="str">
        <f>'rockfish harvests'!C112</f>
        <v>EASTSIDE</v>
      </c>
      <c r="D113">
        <f>'rockfish harvests'!D112</f>
        <v>2311</v>
      </c>
      <c r="E113">
        <v>213</v>
      </c>
      <c r="F113">
        <v>140</v>
      </c>
      <c r="I113" s="13">
        <f t="shared" si="118"/>
        <v>140</v>
      </c>
      <c r="J113">
        <f t="shared" si="60"/>
        <v>0</v>
      </c>
      <c r="K113">
        <f t="shared" si="61"/>
        <v>0</v>
      </c>
      <c r="L113" s="6">
        <f t="shared" si="62"/>
        <v>0</v>
      </c>
      <c r="N113" s="2">
        <f>'rockfish harvests'!O112</f>
        <v>318.70889737789366</v>
      </c>
      <c r="O113">
        <f>'rockfish harvests'!P112</f>
        <v>75223.529863537799</v>
      </c>
      <c r="R113" s="38">
        <v>3.3428140107828103E-2</v>
      </c>
      <c r="S113" s="39">
        <v>4.3518755610624723E-4</v>
      </c>
      <c r="T113" s="13">
        <f t="shared" si="115"/>
        <v>10.653845675159637</v>
      </c>
      <c r="U113" s="14">
        <f t="shared" si="116"/>
        <v>160.99850001779151</v>
      </c>
      <c r="V113">
        <f t="shared" si="63"/>
        <v>12.688518432732465</v>
      </c>
      <c r="W113" s="6">
        <f t="shared" si="64"/>
        <v>24.869496128155632</v>
      </c>
      <c r="Y113" s="13">
        <f t="shared" si="58"/>
        <v>150.65384567515963</v>
      </c>
      <c r="Z113">
        <f t="shared" si="59"/>
        <v>160.99850001779151</v>
      </c>
      <c r="AA113">
        <f t="shared" si="65"/>
        <v>12.688518432732465</v>
      </c>
      <c r="AB113" s="6">
        <f t="shared" si="66"/>
        <v>24.869496128155632</v>
      </c>
      <c r="AC113" s="14">
        <f t="shared" si="117"/>
        <v>8.4222997268131441E-2</v>
      </c>
    </row>
    <row r="114" spans="1:29" x14ac:dyDescent="0.3">
      <c r="A114" t="str">
        <f>'rockfish harvests'!A113</f>
        <v>SC</v>
      </c>
      <c r="B114">
        <f>'rockfish harvests'!B113</f>
        <v>2009</v>
      </c>
      <c r="C114" t="str">
        <f>'rockfish harvests'!C113</f>
        <v>EASTSIDE</v>
      </c>
      <c r="D114">
        <f>'rockfish harvests'!D113</f>
        <v>2296</v>
      </c>
      <c r="E114">
        <v>49</v>
      </c>
      <c r="F114">
        <v>30</v>
      </c>
      <c r="I114" s="13">
        <f t="shared" si="118"/>
        <v>30</v>
      </c>
      <c r="J114">
        <f t="shared" si="60"/>
        <v>0</v>
      </c>
      <c r="K114">
        <f t="shared" si="61"/>
        <v>0</v>
      </c>
      <c r="L114" s="6">
        <f t="shared" si="62"/>
        <v>0</v>
      </c>
      <c r="N114" s="2">
        <f>'rockfish harvests'!O113</f>
        <v>316.64025459958657</v>
      </c>
      <c r="O114">
        <f>'rockfish harvests'!P113</f>
        <v>74250.19273710491</v>
      </c>
      <c r="R114" s="38">
        <v>3.3428140107828103E-2</v>
      </c>
      <c r="S114" s="39">
        <v>4.3518755610624723E-4</v>
      </c>
      <c r="T114" s="13">
        <f t="shared" si="115"/>
        <v>10.584694794533341</v>
      </c>
      <c r="U114" s="14">
        <f t="shared" si="116"/>
        <v>158.91529789138781</v>
      </c>
      <c r="V114">
        <f t="shared" si="63"/>
        <v>12.606161108417892</v>
      </c>
      <c r="W114" s="6">
        <f t="shared" si="64"/>
        <v>24.708075772499068</v>
      </c>
      <c r="Y114" s="13">
        <f t="shared" si="58"/>
        <v>40.584694794533341</v>
      </c>
      <c r="Z114">
        <f t="shared" si="59"/>
        <v>158.91529789138781</v>
      </c>
      <c r="AA114">
        <f t="shared" si="65"/>
        <v>12.606161108417892</v>
      </c>
      <c r="AB114" s="6">
        <f t="shared" si="66"/>
        <v>24.708075772499068</v>
      </c>
      <c r="AC114" s="14">
        <f t="shared" si="117"/>
        <v>0.31061367277094593</v>
      </c>
    </row>
    <row r="115" spans="1:29" x14ac:dyDescent="0.3">
      <c r="A115" t="str">
        <f>'rockfish harvests'!A114</f>
        <v>SC</v>
      </c>
      <c r="B115">
        <f>'rockfish harvests'!B114</f>
        <v>2010</v>
      </c>
      <c r="C115" t="str">
        <f>'rockfish harvests'!C114</f>
        <v>EASTSIDE</v>
      </c>
      <c r="D115">
        <f>'rockfish harvests'!D114</f>
        <v>2555</v>
      </c>
      <c r="E115">
        <v>892</v>
      </c>
      <c r="F115">
        <v>74</v>
      </c>
      <c r="I115" s="13">
        <f t="shared" si="118"/>
        <v>74</v>
      </c>
      <c r="J115">
        <f t="shared" si="60"/>
        <v>0</v>
      </c>
      <c r="K115">
        <f t="shared" si="61"/>
        <v>0</v>
      </c>
      <c r="L115" s="6">
        <f t="shared" si="62"/>
        <v>0</v>
      </c>
      <c r="N115" s="2">
        <f>'rockfish harvests'!O114</f>
        <v>352.35881990502776</v>
      </c>
      <c r="O115">
        <f>'rockfish harvests'!P114</f>
        <v>91946.589896274556</v>
      </c>
      <c r="R115" s="38">
        <v>3.3428140107828103E-2</v>
      </c>
      <c r="S115" s="39">
        <v>4.3518755610624723E-4</v>
      </c>
      <c r="T115" s="13">
        <f t="shared" si="115"/>
        <v>11.778700000014238</v>
      </c>
      <c r="U115" s="14">
        <f t="shared" si="116"/>
        <v>196.7903272008862</v>
      </c>
      <c r="V115">
        <f t="shared" si="63"/>
        <v>14.028197574916252</v>
      </c>
      <c r="W115" s="6">
        <f t="shared" si="64"/>
        <v>27.495267246835855</v>
      </c>
      <c r="Y115" s="13">
        <f t="shared" si="58"/>
        <v>85.77870000001424</v>
      </c>
      <c r="Z115">
        <f t="shared" si="59"/>
        <v>196.7903272008862</v>
      </c>
      <c r="AA115">
        <f t="shared" si="65"/>
        <v>14.028197574916252</v>
      </c>
      <c r="AB115" s="6">
        <f t="shared" si="66"/>
        <v>27.495267246835855</v>
      </c>
      <c r="AC115" s="14">
        <f t="shared" si="117"/>
        <v>0.1635394051776714</v>
      </c>
    </row>
    <row r="116" spans="1:29" x14ac:dyDescent="0.3">
      <c r="A116" t="str">
        <f>'rockfish harvests'!A115</f>
        <v>SC</v>
      </c>
      <c r="B116">
        <f>'rockfish harvests'!B115</f>
        <v>2011</v>
      </c>
      <c r="C116" t="str">
        <f>'rockfish harvests'!C115</f>
        <v>EASTSIDE</v>
      </c>
      <c r="D116">
        <f>'rockfish harvests'!D115</f>
        <v>1928</v>
      </c>
      <c r="E116">
        <v>75</v>
      </c>
      <c r="F116">
        <v>39</v>
      </c>
      <c r="I116" s="13">
        <f t="shared" si="118"/>
        <v>39</v>
      </c>
      <c r="J116">
        <f t="shared" si="60"/>
        <v>0</v>
      </c>
      <c r="K116">
        <f t="shared" si="61"/>
        <v>0</v>
      </c>
      <c r="L116" s="6">
        <f t="shared" si="62"/>
        <v>0</v>
      </c>
      <c r="N116" s="2">
        <f>'rockfish harvests'!O115</f>
        <v>51.46120422098079</v>
      </c>
      <c r="O116">
        <f>'rockfish harvests'!P115</f>
        <v>1649.9620849615694</v>
      </c>
      <c r="R116" s="38">
        <v>3.3428140107828103E-2</v>
      </c>
      <c r="S116" s="39">
        <v>4.3518755610624723E-4</v>
      </c>
      <c r="T116" s="13">
        <f t="shared" si="115"/>
        <v>1.7202523448165008</v>
      </c>
      <c r="U116" s="14">
        <f t="shared" si="116"/>
        <v>3.7142653652264972</v>
      </c>
      <c r="V116">
        <f t="shared" si="63"/>
        <v>1.9272429440074486</v>
      </c>
      <c r="W116" s="6">
        <f t="shared" si="64"/>
        <v>3.7773961702545993</v>
      </c>
      <c r="Y116" s="13">
        <f t="shared" si="58"/>
        <v>40.720252344816501</v>
      </c>
      <c r="Z116">
        <f t="shared" si="59"/>
        <v>3.7142653652264972</v>
      </c>
      <c r="AA116">
        <f t="shared" si="65"/>
        <v>1.9272429440074486</v>
      </c>
      <c r="AB116" s="6">
        <f t="shared" si="66"/>
        <v>3.7773961702545993</v>
      </c>
      <c r="AC116" s="14">
        <f t="shared" si="117"/>
        <v>4.7328855619254963E-2</v>
      </c>
    </row>
    <row r="117" spans="1:29" x14ac:dyDescent="0.3">
      <c r="A117" t="str">
        <f>'rockfish harvests'!A116</f>
        <v>SC</v>
      </c>
      <c r="B117">
        <f>'rockfish harvests'!B116</f>
        <v>2012</v>
      </c>
      <c r="C117" t="str">
        <f>'rockfish harvests'!C116</f>
        <v>EASTSIDE</v>
      </c>
      <c r="D117">
        <f>'rockfish harvests'!D116</f>
        <v>3433</v>
      </c>
      <c r="E117">
        <v>223</v>
      </c>
      <c r="F117">
        <v>76</v>
      </c>
      <c r="I117" s="13">
        <f t="shared" si="118"/>
        <v>76</v>
      </c>
      <c r="J117">
        <f t="shared" si="60"/>
        <v>0</v>
      </c>
      <c r="K117">
        <f t="shared" si="61"/>
        <v>0</v>
      </c>
      <c r="L117" s="6">
        <f t="shared" si="62"/>
        <v>0</v>
      </c>
      <c r="N117" s="2">
        <f>'rockfish harvests'!O116</f>
        <v>276.3989021043003</v>
      </c>
      <c r="O117">
        <f>'rockfish harvests'!P116</f>
        <v>25117.984568882985</v>
      </c>
      <c r="R117" s="38">
        <v>3.3428140107828103E-2</v>
      </c>
      <c r="S117" s="39">
        <v>4.3518755610624723E-4</v>
      </c>
      <c r="T117" s="13">
        <f t="shared" si="115"/>
        <v>9.2395012251924147</v>
      </c>
      <c r="U117" s="14">
        <f t="shared" si="116"/>
        <v>72.245631031488685</v>
      </c>
      <c r="V117">
        <f t="shared" si="63"/>
        <v>8.4997429979669796</v>
      </c>
      <c r="W117" s="6">
        <f t="shared" si="64"/>
        <v>16.659496276015279</v>
      </c>
      <c r="Y117" s="13">
        <f t="shared" si="58"/>
        <v>85.239501225192413</v>
      </c>
      <c r="Z117">
        <f t="shared" si="59"/>
        <v>72.245631031488685</v>
      </c>
      <c r="AA117">
        <f t="shared" si="65"/>
        <v>8.4997429979669796</v>
      </c>
      <c r="AB117" s="6">
        <f t="shared" si="66"/>
        <v>16.659496276015279</v>
      </c>
      <c r="AC117" s="14">
        <f t="shared" si="117"/>
        <v>9.9716010485698295E-2</v>
      </c>
    </row>
    <row r="118" spans="1:29" x14ac:dyDescent="0.3">
      <c r="A118" t="str">
        <f>'rockfish harvests'!A117</f>
        <v>SC</v>
      </c>
      <c r="B118">
        <f>'rockfish harvests'!B117</f>
        <v>2013</v>
      </c>
      <c r="C118" t="str">
        <f>'rockfish harvests'!C117</f>
        <v>EASTSIDE</v>
      </c>
      <c r="D118">
        <f>'rockfish harvests'!D117</f>
        <v>2207</v>
      </c>
      <c r="E118">
        <v>126</v>
      </c>
      <c r="F118">
        <v>54</v>
      </c>
      <c r="I118" s="13">
        <f t="shared" si="118"/>
        <v>54</v>
      </c>
      <c r="J118">
        <f t="shared" si="60"/>
        <v>0</v>
      </c>
      <c r="K118">
        <f t="shared" si="61"/>
        <v>0</v>
      </c>
      <c r="L118" s="6">
        <f t="shared" si="62"/>
        <v>0</v>
      </c>
      <c r="N118" s="2">
        <f>'rockfish harvests'!O117</f>
        <v>351.77988614800779</v>
      </c>
      <c r="O118">
        <f>'rockfish harvests'!P117</f>
        <v>93936.264893907151</v>
      </c>
      <c r="R118" s="38">
        <v>3.3428140107828103E-2</v>
      </c>
      <c r="S118" s="39">
        <v>4.3518755610624723E-4</v>
      </c>
      <c r="T118" s="13">
        <f t="shared" si="115"/>
        <v>11.759347321271424</v>
      </c>
      <c r="U118" s="14">
        <f t="shared" si="116"/>
        <v>199.70214846421646</v>
      </c>
      <c r="V118">
        <f t="shared" si="63"/>
        <v>14.131601058061909</v>
      </c>
      <c r="W118" s="6">
        <f t="shared" si="64"/>
        <v>27.697938073801343</v>
      </c>
      <c r="Y118" s="13">
        <f t="shared" si="58"/>
        <v>65.75934732127142</v>
      </c>
      <c r="Z118">
        <f t="shared" si="59"/>
        <v>199.70214846421646</v>
      </c>
      <c r="AA118">
        <f t="shared" si="65"/>
        <v>14.131601058061909</v>
      </c>
      <c r="AB118" s="6">
        <f t="shared" si="66"/>
        <v>27.697938073801343</v>
      </c>
      <c r="AC118" s="14">
        <f t="shared" si="117"/>
        <v>0.21489874266879633</v>
      </c>
    </row>
    <row r="119" spans="1:29" x14ac:dyDescent="0.3">
      <c r="A119" t="str">
        <f>'rockfish harvests'!A118</f>
        <v>SC</v>
      </c>
      <c r="B119">
        <f>'rockfish harvests'!B118</f>
        <v>2014</v>
      </c>
      <c r="C119" t="str">
        <f>'rockfish harvests'!C118</f>
        <v>EASTSIDE</v>
      </c>
      <c r="D119">
        <f>'rockfish harvests'!D118</f>
        <v>3551</v>
      </c>
      <c r="E119">
        <v>166</v>
      </c>
      <c r="F119">
        <v>131</v>
      </c>
      <c r="I119" s="13">
        <f t="shared" si="118"/>
        <v>131</v>
      </c>
      <c r="J119">
        <f t="shared" si="60"/>
        <v>0</v>
      </c>
      <c r="K119">
        <f t="shared" si="61"/>
        <v>0</v>
      </c>
      <c r="L119" s="6">
        <f t="shared" si="62"/>
        <v>0</v>
      </c>
      <c r="N119" s="2">
        <f>'rockfish harvests'!O118</f>
        <v>250.87949818421885</v>
      </c>
      <c r="O119">
        <f>'rockfish harvests'!P118</f>
        <v>23714.551436006946</v>
      </c>
      <c r="R119" s="38">
        <v>3.3428140107828103E-2</v>
      </c>
      <c r="S119" s="39">
        <v>4.3518755610624723E-4</v>
      </c>
      <c r="T119" s="13">
        <f t="shared" si="115"/>
        <v>8.3864350154836735</v>
      </c>
      <c r="U119" s="14">
        <f t="shared" si="116"/>
        <v>64.210811322920406</v>
      </c>
      <c r="V119">
        <f t="shared" si="63"/>
        <v>8.0131648755607419</v>
      </c>
      <c r="W119" s="6">
        <f t="shared" si="64"/>
        <v>15.705803156099053</v>
      </c>
      <c r="Y119" s="13">
        <f t="shared" si="58"/>
        <v>139.38643501548367</v>
      </c>
      <c r="Z119">
        <f t="shared" si="59"/>
        <v>64.210811322920406</v>
      </c>
      <c r="AA119">
        <f t="shared" si="65"/>
        <v>8.0131648755607419</v>
      </c>
      <c r="AB119" s="6">
        <f t="shared" si="66"/>
        <v>15.705803156099053</v>
      </c>
      <c r="AC119" s="14">
        <f t="shared" si="117"/>
        <v>5.7488842975793188E-2</v>
      </c>
    </row>
    <row r="120" spans="1:29" x14ac:dyDescent="0.3">
      <c r="A120" t="str">
        <f>'rockfish harvests'!A119</f>
        <v>SC</v>
      </c>
      <c r="B120">
        <f>'rockfish harvests'!B119</f>
        <v>2015</v>
      </c>
      <c r="C120" t="str">
        <f>'rockfish harvests'!C119</f>
        <v>EASTSIDE</v>
      </c>
      <c r="D120">
        <f>'rockfish harvests'!D119</f>
        <v>2787</v>
      </c>
      <c r="E120">
        <v>152</v>
      </c>
      <c r="F120">
        <v>149</v>
      </c>
      <c r="I120" s="13">
        <f t="shared" si="118"/>
        <v>149</v>
      </c>
      <c r="J120">
        <f t="shared" si="60"/>
        <v>0</v>
      </c>
      <c r="K120">
        <f t="shared" si="61"/>
        <v>0</v>
      </c>
      <c r="L120" s="6">
        <f t="shared" si="62"/>
        <v>0</v>
      </c>
      <c r="N120" s="2">
        <f>'rockfish harvests'!O119</f>
        <v>932.19872110181996</v>
      </c>
      <c r="O120">
        <f>'rockfish harvests'!P119</f>
        <v>360398.18316320516</v>
      </c>
      <c r="R120" s="38">
        <v>3.3428140107828103E-2</v>
      </c>
      <c r="S120" s="39">
        <v>4.3518755610624723E-4</v>
      </c>
      <c r="T120" s="13">
        <f t="shared" si="115"/>
        <v>31.161669457329811</v>
      </c>
      <c r="U120" s="14">
        <f t="shared" si="116"/>
        <v>937.73992236676622</v>
      </c>
      <c r="V120">
        <f t="shared" si="63"/>
        <v>30.622539449999344</v>
      </c>
      <c r="W120" s="6">
        <f t="shared" si="64"/>
        <v>60.020177321998716</v>
      </c>
      <c r="Y120" s="13">
        <f t="shared" si="58"/>
        <v>180.16166945732982</v>
      </c>
      <c r="Z120">
        <f t="shared" si="59"/>
        <v>937.73992236676622</v>
      </c>
      <c r="AA120">
        <f t="shared" si="65"/>
        <v>30.622539449999344</v>
      </c>
      <c r="AB120" s="6">
        <f t="shared" si="66"/>
        <v>60.020177321998716</v>
      </c>
      <c r="AC120" s="14">
        <f t="shared" si="117"/>
        <v>0.16997255599505923</v>
      </c>
    </row>
    <row r="121" spans="1:29" x14ac:dyDescent="0.3">
      <c r="A121" t="str">
        <f>'rockfish harvests'!A120</f>
        <v>SC</v>
      </c>
      <c r="B121">
        <f>'rockfish harvests'!B120</f>
        <v>2016</v>
      </c>
      <c r="C121" t="str">
        <f>'rockfish harvests'!C120</f>
        <v>EASTSIDE</v>
      </c>
      <c r="D121">
        <f>'rockfish harvests'!D120</f>
        <v>3561</v>
      </c>
      <c r="E121">
        <v>169</v>
      </c>
      <c r="F121">
        <v>99</v>
      </c>
      <c r="I121" s="13">
        <f t="shared" si="118"/>
        <v>99</v>
      </c>
      <c r="J121">
        <f t="shared" si="60"/>
        <v>0</v>
      </c>
      <c r="K121">
        <f t="shared" si="61"/>
        <v>0</v>
      </c>
      <c r="L121" s="6">
        <f t="shared" si="62"/>
        <v>0</v>
      </c>
      <c r="N121" s="2">
        <f>'rockfish harvests'!O120</f>
        <v>418.19068471337596</v>
      </c>
      <c r="O121">
        <f>'rockfish harvests'!P120</f>
        <v>86017.579810230731</v>
      </c>
      <c r="R121" s="38">
        <v>3.3428140107828103E-2</v>
      </c>
      <c r="S121" s="39">
        <v>4.3518755610624723E-4</v>
      </c>
      <c r="T121" s="13">
        <f t="shared" si="115"/>
        <v>13.9793368003873</v>
      </c>
      <c r="U121" s="14">
        <f t="shared" si="116"/>
        <v>209.66041280297247</v>
      </c>
      <c r="V121">
        <f t="shared" si="63"/>
        <v>14.479655134117403</v>
      </c>
      <c r="W121" s="6">
        <f t="shared" si="64"/>
        <v>28.380124062870109</v>
      </c>
      <c r="Y121" s="13">
        <f t="shared" si="58"/>
        <v>112.9793368003873</v>
      </c>
      <c r="Z121">
        <f t="shared" si="59"/>
        <v>209.66041280297247</v>
      </c>
      <c r="AA121">
        <f t="shared" si="65"/>
        <v>14.479655134117403</v>
      </c>
      <c r="AB121" s="6">
        <f t="shared" si="66"/>
        <v>28.380124062870109</v>
      </c>
      <c r="AC121" s="14">
        <f t="shared" si="117"/>
        <v>0.12816197673119786</v>
      </c>
    </row>
    <row r="122" spans="1:29" x14ac:dyDescent="0.3">
      <c r="A122" t="str">
        <f>'rockfish harvests'!A121</f>
        <v>SC</v>
      </c>
      <c r="B122">
        <f>'rockfish harvests'!B121</f>
        <v>2017</v>
      </c>
      <c r="C122" t="str">
        <f>'rockfish harvests'!C121</f>
        <v>EASTSIDE</v>
      </c>
      <c r="D122">
        <f>'rockfish harvests'!D121</f>
        <v>3933</v>
      </c>
      <c r="E122">
        <v>56</v>
      </c>
      <c r="F122">
        <v>37</v>
      </c>
      <c r="I122" s="13">
        <f t="shared" si="118"/>
        <v>37</v>
      </c>
      <c r="J122">
        <f t="shared" si="60"/>
        <v>0</v>
      </c>
      <c r="K122">
        <f t="shared" si="61"/>
        <v>0</v>
      </c>
      <c r="L122" s="6">
        <f t="shared" si="62"/>
        <v>0</v>
      </c>
      <c r="N122" s="2">
        <f>'rockfish harvests'!O121</f>
        <v>1353.8031716417918</v>
      </c>
      <c r="O122">
        <f>'rockfish harvests'!P121</f>
        <v>628325.57356668822</v>
      </c>
      <c r="R122" s="38">
        <v>3.3428140107828103E-2</v>
      </c>
      <c r="S122" s="39">
        <v>4.3518755610624723E-4</v>
      </c>
      <c r="T122" s="13">
        <f t="shared" si="115"/>
        <v>45.255122100063872</v>
      </c>
      <c r="U122" s="14">
        <f t="shared" si="116"/>
        <v>1773.1603126077393</v>
      </c>
      <c r="V122">
        <f t="shared" si="63"/>
        <v>42.108910133221677</v>
      </c>
      <c r="W122" s="6">
        <f t="shared" si="64"/>
        <v>82.533463861114484</v>
      </c>
      <c r="Y122" s="13">
        <f t="shared" si="58"/>
        <v>82.255122100063872</v>
      </c>
      <c r="Z122">
        <f t="shared" si="59"/>
        <v>1773.1603126077393</v>
      </c>
      <c r="AA122">
        <f t="shared" si="65"/>
        <v>42.108910133221677</v>
      </c>
      <c r="AB122" s="6">
        <f t="shared" si="66"/>
        <v>82.533463861114484</v>
      </c>
      <c r="AC122" s="14">
        <f t="shared" si="117"/>
        <v>0.51193055287178257</v>
      </c>
    </row>
    <row r="123" spans="1:29" x14ac:dyDescent="0.3">
      <c r="A123" t="str">
        <f>'rockfish harvests'!A122</f>
        <v>SC</v>
      </c>
      <c r="B123">
        <f>'rockfish harvests'!B122</f>
        <v>2018</v>
      </c>
      <c r="C123" t="str">
        <f>'rockfish harvests'!C122</f>
        <v>EASTSIDE</v>
      </c>
      <c r="D123">
        <f>'rockfish harvests'!D122</f>
        <v>3914</v>
      </c>
      <c r="E123">
        <v>224</v>
      </c>
      <c r="F123">
        <v>102</v>
      </c>
      <c r="I123" s="13">
        <f t="shared" si="118"/>
        <v>102</v>
      </c>
      <c r="J123">
        <f t="shared" si="60"/>
        <v>0</v>
      </c>
      <c r="K123">
        <f t="shared" si="61"/>
        <v>0</v>
      </c>
      <c r="L123" s="6">
        <f t="shared" si="62"/>
        <v>0</v>
      </c>
      <c r="N123" s="2">
        <f>'rockfish harvests'!O122</f>
        <v>302.2796271637817</v>
      </c>
      <c r="O123">
        <f>'rockfish harvests'!P122</f>
        <v>37596.448991886558</v>
      </c>
      <c r="R123" s="38">
        <v>3.3428140107828103E-2</v>
      </c>
      <c r="S123" s="39">
        <v>4.3518755610624723E-4</v>
      </c>
      <c r="T123" s="13">
        <f t="shared" si="115"/>
        <v>10.104645728572937</v>
      </c>
      <c r="U123" s="14">
        <f t="shared" si="116"/>
        <v>98.137684248049339</v>
      </c>
      <c r="V123">
        <f t="shared" si="63"/>
        <v>9.906446600474327</v>
      </c>
      <c r="W123" s="6">
        <f t="shared" si="64"/>
        <v>19.41663533692968</v>
      </c>
      <c r="Y123" s="13">
        <f t="shared" si="58"/>
        <v>112.10464572857293</v>
      </c>
      <c r="Z123">
        <f t="shared" si="59"/>
        <v>98.137684248049339</v>
      </c>
      <c r="AA123">
        <f t="shared" si="65"/>
        <v>9.906446600474327</v>
      </c>
      <c r="AB123" s="6">
        <f t="shared" si="66"/>
        <v>19.41663533692968</v>
      </c>
      <c r="AC123" s="14">
        <f t="shared" si="117"/>
        <v>8.8367850735283124E-2</v>
      </c>
    </row>
    <row r="124" spans="1:29" x14ac:dyDescent="0.3">
      <c r="A124" t="str">
        <f>'rockfish harvests'!A123</f>
        <v>SC</v>
      </c>
      <c r="B124">
        <f>'rockfish harvests'!B123</f>
        <v>2019</v>
      </c>
      <c r="C124" t="str">
        <f>'rockfish harvests'!C123</f>
        <v>EASTSIDE</v>
      </c>
      <c r="D124">
        <f>'rockfish harvests'!D123</f>
        <v>5680</v>
      </c>
      <c r="E124">
        <v>116</v>
      </c>
      <c r="F124">
        <v>110</v>
      </c>
      <c r="I124" s="13">
        <f>F124</f>
        <v>110</v>
      </c>
      <c r="J124">
        <f>(E124^2)*H124</f>
        <v>0</v>
      </c>
      <c r="K124">
        <f>SQRT(J124)</f>
        <v>0</v>
      </c>
      <c r="L124" s="6">
        <f>(1.96*K124)</f>
        <v>0</v>
      </c>
      <c r="N124" s="2">
        <f>'rockfish harvests'!O123</f>
        <v>1827.1545603495351</v>
      </c>
      <c r="O124">
        <f>'rockfish harvests'!P123</f>
        <v>1939226.0896531206</v>
      </c>
      <c r="R124" s="38">
        <v>3.2423715613204562E-2</v>
      </c>
      <c r="S124" s="38">
        <v>4.1479506980306006E-4</v>
      </c>
      <c r="T124" s="13">
        <f>N124*R124</f>
        <v>59.243139846143137</v>
      </c>
      <c r="U124" s="14">
        <f t="shared" si="116"/>
        <v>4227.8754032031929</v>
      </c>
      <c r="V124">
        <f>SQRT(U124)</f>
        <v>65.022114724170521</v>
      </c>
      <c r="W124" s="6">
        <f>(1.96*V124)</f>
        <v>127.44334485937422</v>
      </c>
      <c r="Y124" s="13">
        <f>T124+I124</f>
        <v>169.24313984614315</v>
      </c>
      <c r="Z124">
        <f>U124+J124</f>
        <v>4227.8754032031929</v>
      </c>
      <c r="AA124">
        <f>SQRT(Z124)</f>
        <v>65.022114724170521</v>
      </c>
      <c r="AB124" s="6">
        <f>(1.96*AA124)</f>
        <v>127.44334485937422</v>
      </c>
      <c r="AC124" s="14">
        <f t="shared" si="117"/>
        <v>0.38419350281069781</v>
      </c>
    </row>
    <row r="125" spans="1:29" x14ac:dyDescent="0.3">
      <c r="A125" t="str">
        <f>'rockfish harvests'!A124</f>
        <v>SC</v>
      </c>
      <c r="B125">
        <f>'rockfish harvests'!B124</f>
        <v>2020</v>
      </c>
      <c r="C125" t="str">
        <f>'rockfish harvests'!C124</f>
        <v>EASTSIDE</v>
      </c>
      <c r="D125">
        <f>'rockfish harvests'!D124</f>
        <v>1507</v>
      </c>
      <c r="E125">
        <v>71</v>
      </c>
      <c r="F125">
        <v>46</v>
      </c>
      <c r="I125" s="13">
        <f t="shared" ref="I125:I127" si="119">F125</f>
        <v>46</v>
      </c>
      <c r="J125">
        <f t="shared" ref="J125:J127" si="120">(E125^2)*H125</f>
        <v>0</v>
      </c>
      <c r="K125">
        <f t="shared" ref="K125:K127" si="121">SQRT(J125)</f>
        <v>0</v>
      </c>
      <c r="L125" s="6">
        <f t="shared" ref="L125:L127" si="122">(1.96*K125)</f>
        <v>0</v>
      </c>
      <c r="N125" s="2">
        <f>'rockfish harvests'!O124</f>
        <v>285.07252075141969</v>
      </c>
      <c r="O125">
        <f>'rockfish harvests'!P124</f>
        <v>20342.54532916598</v>
      </c>
      <c r="R125" s="38">
        <v>3.2297082592673741E-2</v>
      </c>
      <c r="S125" s="38">
        <v>3.8373956610765269E-4</v>
      </c>
      <c r="T125" s="13">
        <f t="shared" ref="T125:T126" si="123">N125*R125</f>
        <v>9.2070107476103011</v>
      </c>
      <c r="U125" s="14">
        <f t="shared" si="116"/>
        <v>60.210690811681175</v>
      </c>
      <c r="V125">
        <f t="shared" ref="V125:V126" si="124">SQRT(U125)</f>
        <v>7.7595548075699021</v>
      </c>
      <c r="W125" s="6">
        <f t="shared" ref="W125:W126" si="125">(1.96*V125)</f>
        <v>15.208727422837008</v>
      </c>
      <c r="Y125" s="13">
        <f t="shared" ref="Y125:Y126" si="126">T125+I125</f>
        <v>55.207010747610298</v>
      </c>
      <c r="Z125">
        <f t="shared" ref="Z125:Z126" si="127">U125+J125</f>
        <v>60.210690811681175</v>
      </c>
      <c r="AA125">
        <f t="shared" ref="AA125:AA126" si="128">SQRT(Z125)</f>
        <v>7.7595548075699021</v>
      </c>
      <c r="AB125" s="6">
        <f t="shared" ref="AB125:AB126" si="129">(1.96*AA125)</f>
        <v>15.208727422837008</v>
      </c>
      <c r="AC125" s="14">
        <f t="shared" ref="AC125:AC126" si="130">AA125/Y125</f>
        <v>0.14055379384774574</v>
      </c>
    </row>
    <row r="126" spans="1:29" x14ac:dyDescent="0.3">
      <c r="A126" t="str">
        <f>'rockfish harvests'!A125</f>
        <v>SC</v>
      </c>
      <c r="B126">
        <f>'rockfish harvests'!B125</f>
        <v>2021</v>
      </c>
      <c r="C126" t="str">
        <f>'rockfish harvests'!C125</f>
        <v>EASTSIDE</v>
      </c>
      <c r="D126">
        <f>'rockfish harvests'!D125</f>
        <v>2885</v>
      </c>
      <c r="E126">
        <v>187</v>
      </c>
      <c r="F126">
        <v>165</v>
      </c>
      <c r="I126" s="13">
        <f t="shared" si="119"/>
        <v>165</v>
      </c>
      <c r="J126">
        <f t="shared" si="120"/>
        <v>0</v>
      </c>
      <c r="K126">
        <f t="shared" si="121"/>
        <v>0</v>
      </c>
      <c r="L126" s="6">
        <f t="shared" si="122"/>
        <v>0</v>
      </c>
      <c r="N126" s="2">
        <f>'rockfish harvests'!O125</f>
        <v>450.56951620479094</v>
      </c>
      <c r="O126">
        <f>'rockfish harvests'!P125</f>
        <v>34555.289276141099</v>
      </c>
      <c r="R126" s="38">
        <v>3.3853038327512047E-2</v>
      </c>
      <c r="S126" s="38">
        <v>3.9793710098369613E-4</v>
      </c>
      <c r="T126" s="13">
        <f t="shared" si="123"/>
        <v>15.253147101289349</v>
      </c>
      <c r="U126" s="14">
        <f t="shared" si="116"/>
        <v>134.13852823050604</v>
      </c>
      <c r="V126">
        <f t="shared" si="124"/>
        <v>11.581818865381466</v>
      </c>
      <c r="W126" s="6">
        <f t="shared" si="125"/>
        <v>22.700364976147675</v>
      </c>
      <c r="Y126" s="13">
        <f t="shared" si="126"/>
        <v>180.25314710128936</v>
      </c>
      <c r="Z126">
        <f t="shared" si="127"/>
        <v>134.13852823050604</v>
      </c>
      <c r="AA126">
        <f t="shared" si="128"/>
        <v>11.581818865381466</v>
      </c>
      <c r="AB126" s="6">
        <f t="shared" si="129"/>
        <v>22.700364976147675</v>
      </c>
      <c r="AC126" s="14">
        <f t="shared" si="130"/>
        <v>6.4253074365871202E-2</v>
      </c>
    </row>
    <row r="127" spans="1:29" s="51" customFormat="1" x14ac:dyDescent="0.3">
      <c r="A127" s="51" t="s">
        <v>81</v>
      </c>
      <c r="B127" s="51">
        <v>2022</v>
      </c>
      <c r="C127" s="51" t="s">
        <v>48</v>
      </c>
      <c r="D127">
        <f>'rockfish harvests'!D126</f>
        <v>1829</v>
      </c>
      <c r="E127" s="51">
        <v>127</v>
      </c>
      <c r="F127" s="51">
        <v>99</v>
      </c>
      <c r="I127" s="71">
        <f t="shared" si="119"/>
        <v>99</v>
      </c>
      <c r="J127" s="51">
        <f t="shared" si="120"/>
        <v>0</v>
      </c>
      <c r="K127" s="51">
        <f t="shared" si="121"/>
        <v>0</v>
      </c>
      <c r="L127" s="78">
        <f t="shared" si="122"/>
        <v>0</v>
      </c>
      <c r="N127" s="2">
        <f>'rockfish harvests'!O126</f>
        <v>698.24578009149718</v>
      </c>
      <c r="O127">
        <f>'rockfish harvests'!P126</f>
        <v>79508.793444844647</v>
      </c>
      <c r="R127" s="38">
        <v>3.3853038327512047E-2</v>
      </c>
      <c r="S127" s="38">
        <v>3.9793710098369613E-4</v>
      </c>
      <c r="T127" s="13">
        <f t="shared" ref="T127" si="131">N127*R127</f>
        <v>23.637741155461004</v>
      </c>
      <c r="U127" s="14">
        <f t="shared" si="116"/>
        <v>316.77192571031753</v>
      </c>
      <c r="V127">
        <f t="shared" ref="V127" si="132">SQRT(U127)</f>
        <v>17.798087698129748</v>
      </c>
      <c r="W127" s="6">
        <f t="shared" ref="W127" si="133">(1.96*V127)</f>
        <v>34.884251888334305</v>
      </c>
      <c r="X127"/>
      <c r="Y127" s="13">
        <f t="shared" ref="Y127" si="134">T127+I127</f>
        <v>122.637741155461</v>
      </c>
      <c r="Z127">
        <f t="shared" ref="Z127" si="135">U127+J127</f>
        <v>316.77192571031753</v>
      </c>
      <c r="AA127">
        <f t="shared" ref="AA127" si="136">SQRT(Z127)</f>
        <v>17.798087698129748</v>
      </c>
      <c r="AB127" s="6">
        <f t="shared" ref="AB127" si="137">(1.96*AA127)</f>
        <v>34.884251888334305</v>
      </c>
      <c r="AC127" s="14">
        <f t="shared" ref="AC127" si="138">AA127/Y127</f>
        <v>0.14512732810014911</v>
      </c>
    </row>
    <row r="128" spans="1:29" x14ac:dyDescent="0.3">
      <c r="A128" t="str">
        <f>'rockfish harvests'!A127</f>
        <v>SC</v>
      </c>
      <c r="B128">
        <f>'rockfish harvests'!B127</f>
        <v>1998</v>
      </c>
      <c r="C128" t="str">
        <f>'rockfish harvests'!C127</f>
        <v>NG</v>
      </c>
      <c r="D128">
        <f>'rockfish harvests'!D127</f>
        <v>5169</v>
      </c>
      <c r="E128">
        <v>1242</v>
      </c>
      <c r="F128" t="s">
        <v>159</v>
      </c>
      <c r="G128" s="32">
        <v>0.62644033099999996</v>
      </c>
      <c r="H128" s="32">
        <v>2.4606059E-2</v>
      </c>
      <c r="I128" s="13">
        <f t="shared" ref="I128:I135" si="139">E128*G128</f>
        <v>778.03889110199998</v>
      </c>
      <c r="J128">
        <f t="shared" ref="J128:J181" si="140">(E128^2)*H128</f>
        <v>37956.420795275997</v>
      </c>
      <c r="K128">
        <f t="shared" ref="K128:K181" si="141">SQRT(J128)</f>
        <v>194.82407652873911</v>
      </c>
      <c r="L128" s="6">
        <f t="shared" ref="L128:L181" si="142">(1.96*K128)</f>
        <v>381.85518999632865</v>
      </c>
      <c r="N128" s="2">
        <f>'rockfish harvests'!O127</f>
        <v>2556.220955913016</v>
      </c>
      <c r="O128">
        <f>'rockfish harvests'!P127</f>
        <v>380846.86521831615</v>
      </c>
      <c r="P128">
        <v>9.1075218999999999E-2</v>
      </c>
      <c r="Q128">
        <v>5.0475900000000002E-4</v>
      </c>
      <c r="T128" s="13">
        <f t="shared" ref="T128:T163" si="143">N128*P128</f>
        <v>232.80838337216727</v>
      </c>
      <c r="U128" s="14">
        <f>(N128^2)*Q128+(P128^2)*O128+(Q128*O128)</f>
        <v>6649.4740256088826</v>
      </c>
      <c r="V128">
        <f t="shared" ref="V128:V181" si="144">SQRT(U128)</f>
        <v>81.544307131821796</v>
      </c>
      <c r="W128" s="6">
        <f t="shared" ref="W128:W181" si="145">(1.96*V128)</f>
        <v>159.82684197837071</v>
      </c>
      <c r="Y128" s="13">
        <f t="shared" ref="Y128:Y180" si="146">T128+I128</f>
        <v>1010.8472744741673</v>
      </c>
      <c r="Z128">
        <f t="shared" ref="Z128:Z180" si="147">U128+J128</f>
        <v>44605.894820884881</v>
      </c>
      <c r="AA128">
        <f t="shared" ref="AA128:AA181" si="148">SQRT(Z128)</f>
        <v>211.20107675124405</v>
      </c>
      <c r="AB128" s="6">
        <f t="shared" ref="AB128:AB181" si="149">(1.96*AA128)</f>
        <v>413.95411043243831</v>
      </c>
      <c r="AC128" s="14">
        <f>AA128/Y128</f>
        <v>0.20893470466258984</v>
      </c>
    </row>
    <row r="129" spans="1:29" x14ac:dyDescent="0.3">
      <c r="A129" t="str">
        <f>'rockfish harvests'!A128</f>
        <v>SC</v>
      </c>
      <c r="B129">
        <f>'rockfish harvests'!B128</f>
        <v>1999</v>
      </c>
      <c r="C129" t="str">
        <f>'rockfish harvests'!C128</f>
        <v>NG</v>
      </c>
      <c r="D129">
        <f>'rockfish harvests'!D128</f>
        <v>9276</v>
      </c>
      <c r="E129">
        <v>1138</v>
      </c>
      <c r="F129" t="s">
        <v>159</v>
      </c>
      <c r="G129">
        <v>0.86561731200000003</v>
      </c>
      <c r="H129">
        <v>8.3088599999999997E-4</v>
      </c>
      <c r="I129" s="13">
        <f t="shared" si="139"/>
        <v>985.07250105600008</v>
      </c>
      <c r="J129">
        <f t="shared" si="140"/>
        <v>1076.0339289839999</v>
      </c>
      <c r="K129">
        <f t="shared" si="141"/>
        <v>32.802956101302819</v>
      </c>
      <c r="L129" s="6">
        <f t="shared" si="142"/>
        <v>64.293793958553522</v>
      </c>
      <c r="N129" s="2">
        <f>'rockfish harvests'!O128</f>
        <v>4587.2519998160442</v>
      </c>
      <c r="O129">
        <f>'rockfish harvests'!P128</f>
        <v>1226475.2843498222</v>
      </c>
      <c r="P129">
        <v>0.21533812799999999</v>
      </c>
      <c r="Q129">
        <v>1.1264510000000001E-3</v>
      </c>
      <c r="T129" s="13">
        <f t="shared" si="143"/>
        <v>987.8102583046433</v>
      </c>
      <c r="U129" s="14">
        <f t="shared" ref="U129:U192" si="150">(N129^2)*Q129+(P129^2)*O129+(Q129*O129)</f>
        <v>81957.622219959143</v>
      </c>
      <c r="V129">
        <f t="shared" si="144"/>
        <v>286.28241688926539</v>
      </c>
      <c r="W129" s="6">
        <f t="shared" si="145"/>
        <v>561.11353710296021</v>
      </c>
      <c r="Y129" s="13">
        <f t="shared" si="146"/>
        <v>1972.8827593606434</v>
      </c>
      <c r="Z129">
        <f t="shared" si="147"/>
        <v>83033.656148943148</v>
      </c>
      <c r="AA129">
        <f t="shared" si="148"/>
        <v>288.15561099680696</v>
      </c>
      <c r="AB129" s="6">
        <f t="shared" si="149"/>
        <v>564.78499755374162</v>
      </c>
      <c r="AC129" s="14">
        <f t="shared" ref="AC129:AC149" si="151">AA129/Y129</f>
        <v>0.14605815253319474</v>
      </c>
    </row>
    <row r="130" spans="1:29" x14ac:dyDescent="0.3">
      <c r="A130" t="str">
        <f>'rockfish harvests'!A129</f>
        <v>SC</v>
      </c>
      <c r="B130">
        <f>'rockfish harvests'!B129</f>
        <v>2000</v>
      </c>
      <c r="C130" t="str">
        <f>'rockfish harvests'!C129</f>
        <v>NG</v>
      </c>
      <c r="D130">
        <f>'rockfish harvests'!D129</f>
        <v>13107</v>
      </c>
      <c r="E130">
        <v>2404</v>
      </c>
      <c r="F130" t="s">
        <v>159</v>
      </c>
      <c r="G130">
        <v>0.73843334500000002</v>
      </c>
      <c r="H130">
        <v>1.214777E-3</v>
      </c>
      <c r="I130" s="13">
        <f t="shared" si="139"/>
        <v>1775.1937613800001</v>
      </c>
      <c r="J130">
        <f t="shared" si="140"/>
        <v>7020.4586748319998</v>
      </c>
      <c r="K130">
        <f t="shared" si="141"/>
        <v>83.788177416816978</v>
      </c>
      <c r="L130" s="6">
        <f t="shared" si="142"/>
        <v>164.22482773696129</v>
      </c>
      <c r="N130" s="2">
        <f>'rockfish harvests'!O129</f>
        <v>6481.7930100893609</v>
      </c>
      <c r="O130">
        <f>'rockfish harvests'!P129</f>
        <v>2448747.0158551079</v>
      </c>
      <c r="P130">
        <v>7.3529412000000002E-2</v>
      </c>
      <c r="Q130">
        <v>5.0461400000000002E-4</v>
      </c>
      <c r="T130" s="13">
        <f t="shared" si="143"/>
        <v>476.60242873758079</v>
      </c>
      <c r="U130" s="14">
        <f t="shared" si="150"/>
        <v>35675.676276500351</v>
      </c>
      <c r="V130">
        <f t="shared" si="144"/>
        <v>188.88005791109964</v>
      </c>
      <c r="W130" s="6">
        <f t="shared" si="145"/>
        <v>370.20491350575531</v>
      </c>
      <c r="Y130" s="13">
        <f t="shared" si="146"/>
        <v>2251.7961901175809</v>
      </c>
      <c r="Z130">
        <f t="shared" si="147"/>
        <v>42696.134951332351</v>
      </c>
      <c r="AA130">
        <f t="shared" si="148"/>
        <v>206.63043084534365</v>
      </c>
      <c r="AB130" s="6">
        <f t="shared" si="149"/>
        <v>404.99564445687355</v>
      </c>
      <c r="AC130" s="14">
        <f t="shared" si="151"/>
        <v>9.1762492428124301E-2</v>
      </c>
    </row>
    <row r="131" spans="1:29" x14ac:dyDescent="0.3">
      <c r="A131" t="str">
        <f>'rockfish harvests'!A130</f>
        <v>SC</v>
      </c>
      <c r="B131">
        <f>'rockfish harvests'!B130</f>
        <v>2001</v>
      </c>
      <c r="C131" t="str">
        <f>'rockfish harvests'!C130</f>
        <v>NG</v>
      </c>
      <c r="D131">
        <f>'rockfish harvests'!D130</f>
        <v>20907</v>
      </c>
      <c r="E131">
        <v>2450</v>
      </c>
      <c r="F131" t="s">
        <v>159</v>
      </c>
      <c r="G131">
        <v>0.66849230400000004</v>
      </c>
      <c r="H131">
        <v>2.0519480000000001E-3</v>
      </c>
      <c r="I131" s="13">
        <f t="shared" si="139"/>
        <v>1637.8061448000001</v>
      </c>
      <c r="J131">
        <f t="shared" si="140"/>
        <v>12316.817870000001</v>
      </c>
      <c r="K131">
        <f t="shared" si="141"/>
        <v>110.98115997771875</v>
      </c>
      <c r="L131" s="6">
        <f t="shared" si="142"/>
        <v>217.52307355632874</v>
      </c>
      <c r="N131" s="2">
        <f>'rockfish harvests'!O130</f>
        <v>10339.120047450848</v>
      </c>
      <c r="O131">
        <f>'rockfish harvests'!P130</f>
        <v>6230469.2850139625</v>
      </c>
      <c r="P131">
        <v>0.19277108400000001</v>
      </c>
      <c r="Q131">
        <v>9.4309299999999999E-4</v>
      </c>
      <c r="T131" s="13">
        <f t="shared" si="143"/>
        <v>1993.0833791532314</v>
      </c>
      <c r="U131" s="14">
        <f t="shared" si="150"/>
        <v>338218.64759688138</v>
      </c>
      <c r="V131">
        <f t="shared" si="144"/>
        <v>581.56568639912155</v>
      </c>
      <c r="W131" s="6">
        <f t="shared" si="145"/>
        <v>1139.8687453422783</v>
      </c>
      <c r="Y131" s="13">
        <f t="shared" si="146"/>
        <v>3630.8895239532312</v>
      </c>
      <c r="Z131">
        <f t="shared" si="147"/>
        <v>350535.4654668814</v>
      </c>
      <c r="AA131">
        <f t="shared" si="148"/>
        <v>592.060356270272</v>
      </c>
      <c r="AB131" s="6">
        <f t="shared" si="149"/>
        <v>1160.438298289733</v>
      </c>
      <c r="AC131" s="14">
        <f t="shared" si="151"/>
        <v>0.16306206849985619</v>
      </c>
    </row>
    <row r="132" spans="1:29" x14ac:dyDescent="0.3">
      <c r="A132" t="str">
        <f>'rockfish harvests'!A131</f>
        <v>SC</v>
      </c>
      <c r="B132">
        <f>'rockfish harvests'!B131</f>
        <v>2002</v>
      </c>
      <c r="C132" t="str">
        <f>'rockfish harvests'!C131</f>
        <v>NG</v>
      </c>
      <c r="D132">
        <f>'rockfish harvests'!D131</f>
        <v>17318</v>
      </c>
      <c r="E132">
        <v>2230</v>
      </c>
      <c r="F132" t="s">
        <v>159</v>
      </c>
      <c r="G132">
        <v>0.74840187800000002</v>
      </c>
      <c r="H132">
        <v>2.5445469999999999E-3</v>
      </c>
      <c r="I132" s="13">
        <f t="shared" si="139"/>
        <v>1668.9361879400001</v>
      </c>
      <c r="J132">
        <f t="shared" si="140"/>
        <v>12653.777776299999</v>
      </c>
      <c r="K132">
        <f t="shared" si="141"/>
        <v>112.48901180248673</v>
      </c>
      <c r="L132" s="6">
        <f t="shared" si="142"/>
        <v>220.478463132874</v>
      </c>
      <c r="N132" s="2">
        <f>'rockfish harvests'!O131</f>
        <v>8564.2550811572073</v>
      </c>
      <c r="O132">
        <f>'rockfish harvests'!P131</f>
        <v>4274967.2451758217</v>
      </c>
      <c r="P132">
        <v>7.1059058999999994E-2</v>
      </c>
      <c r="Q132">
        <v>2.37445E-4</v>
      </c>
      <c r="T132" s="13">
        <f t="shared" si="143"/>
        <v>608.5679071029997</v>
      </c>
      <c r="U132" s="14">
        <f t="shared" si="150"/>
        <v>40016.797287168374</v>
      </c>
      <c r="V132">
        <f t="shared" si="144"/>
        <v>200.04198881027045</v>
      </c>
      <c r="W132" s="6">
        <f t="shared" si="145"/>
        <v>392.08229806813006</v>
      </c>
      <c r="Y132" s="13">
        <f t="shared" si="146"/>
        <v>2277.5040950429998</v>
      </c>
      <c r="Z132">
        <f t="shared" si="147"/>
        <v>52670.575063468372</v>
      </c>
      <c r="AA132">
        <f t="shared" si="148"/>
        <v>229.50070819818481</v>
      </c>
      <c r="AB132" s="6">
        <f t="shared" si="149"/>
        <v>449.82138806844222</v>
      </c>
      <c r="AC132" s="14">
        <f t="shared" si="151"/>
        <v>0.1007685161566534</v>
      </c>
    </row>
    <row r="133" spans="1:29" x14ac:dyDescent="0.3">
      <c r="A133" t="str">
        <f>'rockfish harvests'!A132</f>
        <v>SC</v>
      </c>
      <c r="B133">
        <f>'rockfish harvests'!B132</f>
        <v>2003</v>
      </c>
      <c r="C133" t="str">
        <f>'rockfish harvests'!C132</f>
        <v>NG</v>
      </c>
      <c r="D133">
        <f>'rockfish harvests'!D132</f>
        <v>17020</v>
      </c>
      <c r="E133">
        <v>3447</v>
      </c>
      <c r="F133" t="s">
        <v>159</v>
      </c>
      <c r="G133">
        <v>0.80875277300000004</v>
      </c>
      <c r="H133">
        <v>1.1542670000000001E-3</v>
      </c>
      <c r="I133" s="13">
        <f t="shared" si="139"/>
        <v>2787.7708085310001</v>
      </c>
      <c r="J133">
        <f t="shared" si="140"/>
        <v>13714.780029003001</v>
      </c>
      <c r="K133">
        <f t="shared" si="141"/>
        <v>117.11011924254454</v>
      </c>
      <c r="L133" s="6">
        <f t="shared" si="142"/>
        <v>229.5358337153873</v>
      </c>
      <c r="N133" s="2">
        <f>'rockfish harvests'!O132</f>
        <v>8416.8854071657042</v>
      </c>
      <c r="O133">
        <f>'rockfish harvests'!P132</f>
        <v>4129109.8070434225</v>
      </c>
      <c r="P133">
        <v>0.113321399</v>
      </c>
      <c r="Q133">
        <v>3.28365E-4</v>
      </c>
      <c r="T133" s="13">
        <f t="shared" si="143"/>
        <v>953.8132295627023</v>
      </c>
      <c r="U133" s="14">
        <f t="shared" si="150"/>
        <v>77643.484443700465</v>
      </c>
      <c r="V133">
        <f t="shared" si="144"/>
        <v>278.64580464040807</v>
      </c>
      <c r="W133" s="6">
        <f t="shared" si="145"/>
        <v>546.14577709519983</v>
      </c>
      <c r="Y133" s="13">
        <f t="shared" si="146"/>
        <v>3741.5840380937025</v>
      </c>
      <c r="Z133">
        <f t="shared" si="147"/>
        <v>91358.264472703464</v>
      </c>
      <c r="AA133">
        <f t="shared" si="148"/>
        <v>302.25529684805105</v>
      </c>
      <c r="AB133" s="6">
        <f t="shared" si="149"/>
        <v>592.42038182218005</v>
      </c>
      <c r="AC133" s="14">
        <f t="shared" si="151"/>
        <v>8.0782709614628065E-2</v>
      </c>
    </row>
    <row r="134" spans="1:29" x14ac:dyDescent="0.3">
      <c r="A134" t="str">
        <f>'rockfish harvests'!A133</f>
        <v>SC</v>
      </c>
      <c r="B134">
        <f>'rockfish harvests'!B133</f>
        <v>2004</v>
      </c>
      <c r="C134" t="str">
        <f>'rockfish harvests'!C133</f>
        <v>NG</v>
      </c>
      <c r="D134">
        <f>'rockfish harvests'!D133</f>
        <v>19434</v>
      </c>
      <c r="E134">
        <v>3475</v>
      </c>
      <c r="F134" t="s">
        <v>159</v>
      </c>
      <c r="G134">
        <v>0.84561024299999998</v>
      </c>
      <c r="H134">
        <v>6.9443399999999996E-4</v>
      </c>
      <c r="I134" s="13">
        <f t="shared" si="139"/>
        <v>2938.495594425</v>
      </c>
      <c r="J134">
        <f t="shared" si="140"/>
        <v>8385.7245712499989</v>
      </c>
      <c r="K134">
        <f t="shared" si="141"/>
        <v>91.573601934454885</v>
      </c>
      <c r="L134" s="6">
        <f t="shared" si="142"/>
        <v>179.48425979153157</v>
      </c>
      <c r="N134" s="2">
        <f>'rockfish harvests'!O133</f>
        <v>9610.6786723183504</v>
      </c>
      <c r="O134">
        <f>'rockfish harvests'!P133</f>
        <v>5383462.8158731172</v>
      </c>
      <c r="P134">
        <v>0.16740344099999999</v>
      </c>
      <c r="Q134">
        <v>3.1749300000000002E-4</v>
      </c>
      <c r="T134" s="13">
        <f t="shared" si="143"/>
        <v>1608.8606800914031</v>
      </c>
      <c r="U134" s="14">
        <f t="shared" si="150"/>
        <v>181900.1871190386</v>
      </c>
      <c r="V134">
        <f t="shared" si="144"/>
        <v>426.49758160983583</v>
      </c>
      <c r="W134" s="6">
        <f t="shared" si="145"/>
        <v>835.93525995527818</v>
      </c>
      <c r="Y134" s="13">
        <f t="shared" si="146"/>
        <v>4547.3562745164036</v>
      </c>
      <c r="Z134">
        <f t="shared" si="147"/>
        <v>190285.9116902886</v>
      </c>
      <c r="AA134">
        <f t="shared" si="148"/>
        <v>436.21773426843686</v>
      </c>
      <c r="AB134" s="6">
        <f t="shared" si="149"/>
        <v>854.98675916613627</v>
      </c>
      <c r="AC134" s="14">
        <f t="shared" si="151"/>
        <v>9.5927767242039372E-2</v>
      </c>
    </row>
    <row r="135" spans="1:29" x14ac:dyDescent="0.3">
      <c r="A135" t="str">
        <f>'rockfish harvests'!A134</f>
        <v>SC</v>
      </c>
      <c r="B135">
        <f>'rockfish harvests'!B134</f>
        <v>2005</v>
      </c>
      <c r="C135" t="str">
        <f>'rockfish harvests'!C134</f>
        <v>NG</v>
      </c>
      <c r="D135">
        <f>'rockfish harvests'!D134</f>
        <v>22792</v>
      </c>
      <c r="E135">
        <v>4171</v>
      </c>
      <c r="F135" t="s">
        <v>159</v>
      </c>
      <c r="G135">
        <v>0.71705845999999995</v>
      </c>
      <c r="H135">
        <v>1.108665E-3</v>
      </c>
      <c r="I135" s="13">
        <f t="shared" si="139"/>
        <v>2990.8508366599999</v>
      </c>
      <c r="J135">
        <f t="shared" si="140"/>
        <v>19287.712193265001</v>
      </c>
      <c r="K135">
        <f t="shared" si="141"/>
        <v>138.88020806891456</v>
      </c>
      <c r="L135" s="6">
        <f t="shared" si="142"/>
        <v>272.20520781507253</v>
      </c>
      <c r="N135" s="2">
        <f>'rockfish harvests'!O134</f>
        <v>11271.307414813207</v>
      </c>
      <c r="O135">
        <f>'rockfish harvests'!P134</f>
        <v>7404610.0706118569</v>
      </c>
      <c r="P135">
        <v>0.12879740000000001</v>
      </c>
      <c r="Q135">
        <v>4.6176399999999998E-4</v>
      </c>
      <c r="T135" s="13">
        <f t="shared" si="143"/>
        <v>1451.7150896286626</v>
      </c>
      <c r="U135" s="14">
        <f t="shared" si="150"/>
        <v>184916.15092107453</v>
      </c>
      <c r="V135">
        <f t="shared" si="144"/>
        <v>430.01877973069332</v>
      </c>
      <c r="W135" s="6">
        <f t="shared" si="145"/>
        <v>842.83680827215892</v>
      </c>
      <c r="Y135" s="13">
        <f t="shared" si="146"/>
        <v>4442.565926288662</v>
      </c>
      <c r="Z135">
        <f t="shared" si="147"/>
        <v>204203.86311433953</v>
      </c>
      <c r="AA135">
        <f t="shared" si="148"/>
        <v>451.88921553223588</v>
      </c>
      <c r="AB135" s="6">
        <f t="shared" si="149"/>
        <v>885.70286244318231</v>
      </c>
      <c r="AC135" s="14">
        <f t="shared" si="151"/>
        <v>0.10171806632248359</v>
      </c>
    </row>
    <row r="136" spans="1:29" x14ac:dyDescent="0.3">
      <c r="A136" t="str">
        <f>'rockfish harvests'!A135</f>
        <v>SC</v>
      </c>
      <c r="B136">
        <f>'rockfish harvests'!B135</f>
        <v>2006</v>
      </c>
      <c r="C136" t="str">
        <f>'rockfish harvests'!C135</f>
        <v>NG</v>
      </c>
      <c r="D136">
        <f>'rockfish harvests'!D135</f>
        <v>19998</v>
      </c>
      <c r="E136">
        <v>4131</v>
      </c>
      <c r="F136">
        <v>2876</v>
      </c>
      <c r="I136" s="13">
        <f>F136</f>
        <v>2876</v>
      </c>
      <c r="J136">
        <f t="shared" si="140"/>
        <v>0</v>
      </c>
      <c r="K136">
        <f t="shared" si="141"/>
        <v>0</v>
      </c>
      <c r="L136" s="6">
        <f t="shared" si="142"/>
        <v>0</v>
      </c>
      <c r="N136" s="2">
        <f>'rockfish harvests'!O135</f>
        <v>9889.5930888660259</v>
      </c>
      <c r="O136">
        <f>'rockfish harvests'!P135</f>
        <v>5700467.1719220383</v>
      </c>
      <c r="P136">
        <v>0.187181546</v>
      </c>
      <c r="Q136">
        <v>4.8921100000000003E-4</v>
      </c>
      <c r="T136" s="13">
        <f t="shared" si="143"/>
        <v>1851.1493236848582</v>
      </c>
      <c r="U136" s="14">
        <f t="shared" si="150"/>
        <v>250362.4249653678</v>
      </c>
      <c r="V136">
        <f t="shared" si="144"/>
        <v>500.36229370863646</v>
      </c>
      <c r="W136" s="6">
        <f t="shared" si="145"/>
        <v>980.71009566892747</v>
      </c>
      <c r="Y136" s="13">
        <f t="shared" si="146"/>
        <v>4727.1493236848582</v>
      </c>
      <c r="Z136">
        <f t="shared" si="147"/>
        <v>250362.4249653678</v>
      </c>
      <c r="AA136">
        <f t="shared" si="148"/>
        <v>500.36229370863646</v>
      </c>
      <c r="AB136" s="6">
        <f t="shared" si="149"/>
        <v>980.71009566892747</v>
      </c>
      <c r="AC136" s="14">
        <f t="shared" si="151"/>
        <v>0.10584863295974735</v>
      </c>
    </row>
    <row r="137" spans="1:29" x14ac:dyDescent="0.3">
      <c r="A137" t="str">
        <f>'rockfish harvests'!A136</f>
        <v>SC</v>
      </c>
      <c r="B137">
        <f>'rockfish harvests'!B136</f>
        <v>2007</v>
      </c>
      <c r="C137" t="str">
        <f>'rockfish harvests'!C136</f>
        <v>NG</v>
      </c>
      <c r="D137">
        <f>'rockfish harvests'!D136</f>
        <v>23861</v>
      </c>
      <c r="E137">
        <v>4118</v>
      </c>
      <c r="F137">
        <v>2978</v>
      </c>
      <c r="I137" s="13">
        <f t="shared" ref="I137:I148" si="152">F137</f>
        <v>2978</v>
      </c>
      <c r="J137">
        <f t="shared" si="140"/>
        <v>0</v>
      </c>
      <c r="K137">
        <f t="shared" si="141"/>
        <v>0</v>
      </c>
      <c r="L137" s="6">
        <f t="shared" si="142"/>
        <v>0</v>
      </c>
      <c r="N137" s="2">
        <f>'rockfish harvests'!O136</f>
        <v>11799.959030574668</v>
      </c>
      <c r="O137">
        <f>'rockfish harvests'!P136</f>
        <v>8115487.2982604261</v>
      </c>
      <c r="P137">
        <v>0.12863669999999999</v>
      </c>
      <c r="Q137">
        <v>4.3956600000000001E-4</v>
      </c>
      <c r="T137" s="13">
        <f t="shared" si="143"/>
        <v>1517.9077898283242</v>
      </c>
      <c r="U137" s="14">
        <f t="shared" si="150"/>
        <v>199062.25640573041</v>
      </c>
      <c r="V137">
        <f t="shared" si="144"/>
        <v>446.16393445204693</v>
      </c>
      <c r="W137" s="6">
        <f t="shared" si="145"/>
        <v>874.48131152601195</v>
      </c>
      <c r="Y137" s="13">
        <f t="shared" si="146"/>
        <v>4495.907789828324</v>
      </c>
      <c r="Z137">
        <f t="shared" si="147"/>
        <v>199062.25640573041</v>
      </c>
      <c r="AA137">
        <f t="shared" si="148"/>
        <v>446.16393445204693</v>
      </c>
      <c r="AB137" s="6">
        <f t="shared" si="149"/>
        <v>874.48131152601195</v>
      </c>
      <c r="AC137" s="14">
        <f t="shared" si="151"/>
        <v>9.9237785850826737E-2</v>
      </c>
    </row>
    <row r="138" spans="1:29" x14ac:dyDescent="0.3">
      <c r="A138" t="str">
        <f>'rockfish harvests'!A137</f>
        <v>SC</v>
      </c>
      <c r="B138">
        <f>'rockfish harvests'!B137</f>
        <v>2008</v>
      </c>
      <c r="C138" t="str">
        <f>'rockfish harvests'!C137</f>
        <v>NG</v>
      </c>
      <c r="D138">
        <f>'rockfish harvests'!D137</f>
        <v>25596</v>
      </c>
      <c r="E138">
        <v>4729</v>
      </c>
      <c r="F138">
        <v>3376</v>
      </c>
      <c r="I138" s="13">
        <f t="shared" si="152"/>
        <v>3376</v>
      </c>
      <c r="J138">
        <f t="shared" si="140"/>
        <v>0</v>
      </c>
      <c r="K138">
        <f t="shared" si="141"/>
        <v>0</v>
      </c>
      <c r="L138" s="6">
        <f t="shared" si="142"/>
        <v>0</v>
      </c>
      <c r="N138" s="2">
        <f>'rockfish harvests'!O137</f>
        <v>12657.967031833927</v>
      </c>
      <c r="O138">
        <f>'rockfish harvests'!P137</f>
        <v>9338594.6288435515</v>
      </c>
      <c r="P138">
        <v>0.127853881</v>
      </c>
      <c r="Q138">
        <v>5.1150100000000003E-4</v>
      </c>
      <c r="T138" s="13">
        <f t="shared" si="143"/>
        <v>1618.3702105900181</v>
      </c>
      <c r="U138" s="14">
        <f t="shared" si="150"/>
        <v>239385.91287402436</v>
      </c>
      <c r="V138">
        <f t="shared" si="144"/>
        <v>489.27079707869791</v>
      </c>
      <c r="W138" s="6">
        <f t="shared" si="145"/>
        <v>958.97076227424793</v>
      </c>
      <c r="Y138" s="13">
        <f t="shared" si="146"/>
        <v>4994.3702105900184</v>
      </c>
      <c r="Z138">
        <f t="shared" si="147"/>
        <v>239385.91287402436</v>
      </c>
      <c r="AA138">
        <f t="shared" si="148"/>
        <v>489.27079707869791</v>
      </c>
      <c r="AB138" s="6">
        <f t="shared" si="149"/>
        <v>958.97076227424793</v>
      </c>
      <c r="AC138" s="14">
        <f t="shared" si="151"/>
        <v>9.7964463275319963E-2</v>
      </c>
    </row>
    <row r="139" spans="1:29" x14ac:dyDescent="0.3">
      <c r="A139" t="str">
        <f>'rockfish harvests'!A138</f>
        <v>SC</v>
      </c>
      <c r="B139">
        <f>'rockfish harvests'!B138</f>
        <v>2009</v>
      </c>
      <c r="C139" t="str">
        <f>'rockfish harvests'!C138</f>
        <v>NG</v>
      </c>
      <c r="D139">
        <f>'rockfish harvests'!D138</f>
        <v>21909</v>
      </c>
      <c r="E139">
        <v>3321</v>
      </c>
      <c r="F139">
        <v>2548</v>
      </c>
      <c r="I139" s="13">
        <f t="shared" si="152"/>
        <v>2548</v>
      </c>
      <c r="J139">
        <f t="shared" si="140"/>
        <v>0</v>
      </c>
      <c r="K139">
        <f t="shared" si="141"/>
        <v>0</v>
      </c>
      <c r="L139" s="6">
        <f t="shared" si="142"/>
        <v>0</v>
      </c>
      <c r="N139" s="2">
        <f>'rockfish harvests'!O138</f>
        <v>10834.638213019593</v>
      </c>
      <c r="O139">
        <f>'rockfish harvests'!P138</f>
        <v>6841989.9451254793</v>
      </c>
      <c r="P139">
        <v>0.10645800800000001</v>
      </c>
      <c r="Q139">
        <v>1.7201599999999999E-4</v>
      </c>
      <c r="T139" s="13">
        <f t="shared" si="143"/>
        <v>1153.4340015587456</v>
      </c>
      <c r="U139" s="14">
        <f t="shared" si="150"/>
        <v>98912.159964646344</v>
      </c>
      <c r="V139">
        <f t="shared" si="144"/>
        <v>314.50303649511295</v>
      </c>
      <c r="W139" s="6">
        <f t="shared" si="145"/>
        <v>616.42595153042134</v>
      </c>
      <c r="Y139" s="13">
        <f t="shared" si="146"/>
        <v>3701.4340015587459</v>
      </c>
      <c r="Z139">
        <f t="shared" si="147"/>
        <v>98912.159964646344</v>
      </c>
      <c r="AA139">
        <f t="shared" si="148"/>
        <v>314.50303649511295</v>
      </c>
      <c r="AB139" s="6">
        <f t="shared" si="149"/>
        <v>616.42595153042134</v>
      </c>
      <c r="AC139" s="14">
        <f t="shared" si="151"/>
        <v>8.4967889840172645E-2</v>
      </c>
    </row>
    <row r="140" spans="1:29" x14ac:dyDescent="0.3">
      <c r="A140" t="str">
        <f>'rockfish harvests'!A139</f>
        <v>SC</v>
      </c>
      <c r="B140">
        <f>'rockfish harvests'!B139</f>
        <v>2010</v>
      </c>
      <c r="C140" t="str">
        <f>'rockfish harvests'!C139</f>
        <v>NG</v>
      </c>
      <c r="D140">
        <f>'rockfish harvests'!D139</f>
        <v>27027</v>
      </c>
      <c r="E140">
        <v>6189</v>
      </c>
      <c r="F140">
        <v>3449</v>
      </c>
      <c r="I140" s="13">
        <f t="shared" si="152"/>
        <v>3449</v>
      </c>
      <c r="J140">
        <f t="shared" si="140"/>
        <v>0</v>
      </c>
      <c r="K140">
        <f t="shared" si="141"/>
        <v>0</v>
      </c>
      <c r="L140" s="6">
        <f t="shared" si="142"/>
        <v>0</v>
      </c>
      <c r="N140" s="2">
        <f>'rockfish harvests'!O139</f>
        <v>13365.638184457552</v>
      </c>
      <c r="O140">
        <f>'rockfish harvests'!P139</f>
        <v>10411972.30311189</v>
      </c>
      <c r="P140">
        <v>0.113661309</v>
      </c>
      <c r="Q140">
        <v>1.8484799999999999E-4</v>
      </c>
      <c r="T140" s="13">
        <f t="shared" si="143"/>
        <v>1519.1559316658288</v>
      </c>
      <c r="U140" s="14">
        <f t="shared" si="150"/>
        <v>169457.0892937012</v>
      </c>
      <c r="V140">
        <f t="shared" si="144"/>
        <v>411.6516601371859</v>
      </c>
      <c r="W140" s="6">
        <f t="shared" si="145"/>
        <v>806.83725386888432</v>
      </c>
      <c r="Y140" s="13">
        <f t="shared" si="146"/>
        <v>4968.1559316658286</v>
      </c>
      <c r="Z140">
        <f t="shared" si="147"/>
        <v>169457.0892937012</v>
      </c>
      <c r="AA140">
        <f t="shared" si="148"/>
        <v>411.6516601371859</v>
      </c>
      <c r="AB140" s="6">
        <f t="shared" si="149"/>
        <v>806.83725386888432</v>
      </c>
      <c r="AC140" s="14">
        <f t="shared" si="151"/>
        <v>8.2858039441438908E-2</v>
      </c>
    </row>
    <row r="141" spans="1:29" x14ac:dyDescent="0.3">
      <c r="A141" t="str">
        <f>'rockfish harvests'!A140</f>
        <v>SC</v>
      </c>
      <c r="B141">
        <f>'rockfish harvests'!B140</f>
        <v>2011</v>
      </c>
      <c r="C141" t="str">
        <f>'rockfish harvests'!C140</f>
        <v>NG</v>
      </c>
      <c r="D141">
        <f>'rockfish harvests'!D140</f>
        <v>30322</v>
      </c>
      <c r="E141">
        <v>5609</v>
      </c>
      <c r="F141">
        <v>3576</v>
      </c>
      <c r="I141" s="13">
        <f t="shared" si="152"/>
        <v>3576</v>
      </c>
      <c r="J141">
        <f t="shared" si="140"/>
        <v>0</v>
      </c>
      <c r="K141">
        <f t="shared" si="141"/>
        <v>0</v>
      </c>
      <c r="L141" s="6">
        <f t="shared" si="142"/>
        <v>0</v>
      </c>
      <c r="N141" s="2">
        <f>'rockfish harvests'!O140</f>
        <v>21882.405010282295</v>
      </c>
      <c r="O141">
        <f>'rockfish harvests'!P140</f>
        <v>8183614.275682712</v>
      </c>
      <c r="P141">
        <v>0.32414201300000001</v>
      </c>
      <c r="Q141">
        <v>5.6754899999999998E-4</v>
      </c>
      <c r="T141" s="13">
        <f t="shared" si="143"/>
        <v>7093.006809314189</v>
      </c>
      <c r="U141" s="14">
        <f t="shared" si="150"/>
        <v>1136245.9157068026</v>
      </c>
      <c r="V141">
        <f t="shared" si="144"/>
        <v>1065.9483644655602</v>
      </c>
      <c r="W141" s="6">
        <f t="shared" si="145"/>
        <v>2089.2587943524977</v>
      </c>
      <c r="Y141" s="13">
        <f t="shared" si="146"/>
        <v>10669.006809314189</v>
      </c>
      <c r="Z141">
        <f t="shared" si="147"/>
        <v>1136245.9157068026</v>
      </c>
      <c r="AA141">
        <f t="shared" si="148"/>
        <v>1065.9483644655602</v>
      </c>
      <c r="AB141" s="6">
        <f t="shared" si="149"/>
        <v>2089.2587943524977</v>
      </c>
      <c r="AC141" s="14">
        <f t="shared" si="151"/>
        <v>9.9910739913950816E-2</v>
      </c>
    </row>
    <row r="142" spans="1:29" x14ac:dyDescent="0.3">
      <c r="A142" t="str">
        <f>'rockfish harvests'!A141</f>
        <v>SC</v>
      </c>
      <c r="B142">
        <f>'rockfish harvests'!B141</f>
        <v>2012</v>
      </c>
      <c r="C142" t="str">
        <f>'rockfish harvests'!C141</f>
        <v>NG</v>
      </c>
      <c r="D142">
        <f>'rockfish harvests'!D141</f>
        <v>27771</v>
      </c>
      <c r="E142">
        <v>5715</v>
      </c>
      <c r="F142">
        <v>3368</v>
      </c>
      <c r="I142" s="13">
        <f t="shared" si="152"/>
        <v>3368</v>
      </c>
      <c r="J142">
        <f t="shared" si="140"/>
        <v>0</v>
      </c>
      <c r="K142">
        <f t="shared" si="141"/>
        <v>0</v>
      </c>
      <c r="L142" s="6">
        <f t="shared" si="142"/>
        <v>0</v>
      </c>
      <c r="N142" s="2">
        <f>'rockfish harvests'!O141</f>
        <v>13248.802237331009</v>
      </c>
      <c r="O142">
        <f>'rockfish harvests'!P141</f>
        <v>2524598.6215632036</v>
      </c>
      <c r="P142">
        <v>0.289746909</v>
      </c>
      <c r="Q142">
        <v>3.9499700000000001E-4</v>
      </c>
      <c r="T142" s="13">
        <f t="shared" si="143"/>
        <v>3838.7994962189441</v>
      </c>
      <c r="U142" s="14">
        <f t="shared" si="150"/>
        <v>282279.64571210649</v>
      </c>
      <c r="V142">
        <f t="shared" si="144"/>
        <v>531.29995832119778</v>
      </c>
      <c r="W142" s="6">
        <f t="shared" si="145"/>
        <v>1041.3479183095476</v>
      </c>
      <c r="Y142" s="13">
        <f t="shared" si="146"/>
        <v>7206.7994962189441</v>
      </c>
      <c r="Z142">
        <f t="shared" si="147"/>
        <v>282279.64571210649</v>
      </c>
      <c r="AA142">
        <f t="shared" si="148"/>
        <v>531.29995832119778</v>
      </c>
      <c r="AB142" s="6">
        <f t="shared" si="149"/>
        <v>1041.3479183095476</v>
      </c>
      <c r="AC142" s="14">
        <f t="shared" si="151"/>
        <v>7.3722039665449962E-2</v>
      </c>
    </row>
    <row r="143" spans="1:29" x14ac:dyDescent="0.3">
      <c r="A143" t="str">
        <f>'rockfish harvests'!A142</f>
        <v>SC</v>
      </c>
      <c r="B143">
        <f>'rockfish harvests'!B142</f>
        <v>2013</v>
      </c>
      <c r="C143" t="str">
        <f>'rockfish harvests'!C142</f>
        <v>NG</v>
      </c>
      <c r="D143">
        <f>'rockfish harvests'!D142</f>
        <v>30558</v>
      </c>
      <c r="E143">
        <v>5301</v>
      </c>
      <c r="F143">
        <v>3428</v>
      </c>
      <c r="I143" s="13">
        <f t="shared" si="152"/>
        <v>3428</v>
      </c>
      <c r="J143">
        <f t="shared" si="140"/>
        <v>0</v>
      </c>
      <c r="K143">
        <f t="shared" si="141"/>
        <v>0</v>
      </c>
      <c r="L143" s="6">
        <f t="shared" si="142"/>
        <v>0</v>
      </c>
      <c r="N143" s="2">
        <f>'rockfish harvests'!O142</f>
        <v>17157.239835728957</v>
      </c>
      <c r="O143">
        <f>'rockfish harvests'!P142</f>
        <v>3987660.0085104108</v>
      </c>
      <c r="P143">
        <v>0.103530336</v>
      </c>
      <c r="Q143">
        <v>1.4389399999999999E-4</v>
      </c>
      <c r="T143" s="13">
        <f t="shared" si="143"/>
        <v>1776.2948050256036</v>
      </c>
      <c r="U143" s="14">
        <f t="shared" si="150"/>
        <v>85673.858894821009</v>
      </c>
      <c r="V143">
        <f t="shared" si="144"/>
        <v>292.70097180368401</v>
      </c>
      <c r="W143" s="6">
        <f t="shared" si="145"/>
        <v>573.6939047352206</v>
      </c>
      <c r="Y143" s="13">
        <f t="shared" si="146"/>
        <v>5204.2948050256036</v>
      </c>
      <c r="Z143">
        <f t="shared" si="147"/>
        <v>85673.858894821009</v>
      </c>
      <c r="AA143">
        <f t="shared" si="148"/>
        <v>292.70097180368401</v>
      </c>
      <c r="AB143" s="6">
        <f t="shared" si="149"/>
        <v>573.6939047352206</v>
      </c>
      <c r="AC143" s="14">
        <f t="shared" si="151"/>
        <v>5.6242196641326514E-2</v>
      </c>
    </row>
    <row r="144" spans="1:29" x14ac:dyDescent="0.3">
      <c r="A144" t="str">
        <f>'rockfish harvests'!A143</f>
        <v>SC</v>
      </c>
      <c r="B144">
        <f>'rockfish harvests'!B143</f>
        <v>2014</v>
      </c>
      <c r="C144" t="str">
        <f>'rockfish harvests'!C143</f>
        <v>NG</v>
      </c>
      <c r="D144">
        <f>'rockfish harvests'!D143</f>
        <v>37025</v>
      </c>
      <c r="E144">
        <v>5089</v>
      </c>
      <c r="F144">
        <v>2911</v>
      </c>
      <c r="I144" s="13">
        <f t="shared" si="152"/>
        <v>2911</v>
      </c>
      <c r="J144">
        <f t="shared" si="140"/>
        <v>0</v>
      </c>
      <c r="K144">
        <f t="shared" si="141"/>
        <v>0</v>
      </c>
      <c r="L144" s="6">
        <f t="shared" si="142"/>
        <v>0</v>
      </c>
      <c r="N144" s="2">
        <f>'rockfish harvests'!O143</f>
        <v>21744.197040285006</v>
      </c>
      <c r="O144">
        <f>'rockfish harvests'!P143</f>
        <v>6732768.2681420343</v>
      </c>
      <c r="P144">
        <v>0.14445175099999999</v>
      </c>
      <c r="Q144">
        <v>2.3406300000000001E-4</v>
      </c>
      <c r="T144" s="13">
        <f t="shared" si="143"/>
        <v>3140.9873365581866</v>
      </c>
      <c r="U144" s="14">
        <f t="shared" si="150"/>
        <v>252731.26237498879</v>
      </c>
      <c r="V144">
        <f t="shared" si="144"/>
        <v>502.72384305400595</v>
      </c>
      <c r="W144" s="6">
        <f t="shared" si="145"/>
        <v>985.3387323858517</v>
      </c>
      <c r="Y144" s="13">
        <f t="shared" si="146"/>
        <v>6051.9873365581861</v>
      </c>
      <c r="Z144">
        <f t="shared" si="147"/>
        <v>252731.26237498879</v>
      </c>
      <c r="AA144">
        <f t="shared" si="148"/>
        <v>502.72384305400595</v>
      </c>
      <c r="AB144" s="6">
        <f t="shared" si="149"/>
        <v>985.3387323858517</v>
      </c>
      <c r="AC144" s="14">
        <f t="shared" si="151"/>
        <v>8.3067563611246592E-2</v>
      </c>
    </row>
    <row r="145" spans="1:29" x14ac:dyDescent="0.3">
      <c r="A145" t="str">
        <f>'rockfish harvests'!A144</f>
        <v>SC</v>
      </c>
      <c r="B145">
        <f>'rockfish harvests'!B144</f>
        <v>2015</v>
      </c>
      <c r="C145" t="str">
        <f>'rockfish harvests'!C144</f>
        <v>NG</v>
      </c>
      <c r="D145">
        <f>'rockfish harvests'!D144</f>
        <v>45883</v>
      </c>
      <c r="E145">
        <v>6139</v>
      </c>
      <c r="F145">
        <v>3283</v>
      </c>
      <c r="I145" s="13">
        <f t="shared" si="152"/>
        <v>3283</v>
      </c>
      <c r="J145">
        <f t="shared" si="140"/>
        <v>0</v>
      </c>
      <c r="K145">
        <f t="shared" si="141"/>
        <v>0</v>
      </c>
      <c r="L145" s="6">
        <f t="shared" si="142"/>
        <v>0</v>
      </c>
      <c r="N145" s="2">
        <f>'rockfish harvests'!O144</f>
        <v>24091.13981323161</v>
      </c>
      <c r="O145">
        <f>'rockfish harvests'!P144</f>
        <v>7216831.4803412473</v>
      </c>
      <c r="P145">
        <v>0.13784825000000001</v>
      </c>
      <c r="Q145">
        <v>2.3032200000000001E-4</v>
      </c>
      <c r="T145" s="13">
        <f t="shared" si="143"/>
        <v>3320.9214637593045</v>
      </c>
      <c r="U145" s="14">
        <f t="shared" si="150"/>
        <v>272472.4147653791</v>
      </c>
      <c r="V145">
        <f t="shared" si="144"/>
        <v>521.98890291401699</v>
      </c>
      <c r="W145" s="6">
        <f t="shared" si="145"/>
        <v>1023.0982497114733</v>
      </c>
      <c r="Y145" s="13">
        <f t="shared" si="146"/>
        <v>6603.921463759305</v>
      </c>
      <c r="Z145">
        <f t="shared" si="147"/>
        <v>272472.4147653791</v>
      </c>
      <c r="AA145">
        <f t="shared" si="148"/>
        <v>521.98890291401699</v>
      </c>
      <c r="AB145" s="6">
        <f t="shared" si="149"/>
        <v>1023.0982497114733</v>
      </c>
      <c r="AC145" s="14">
        <f t="shared" si="151"/>
        <v>7.9042263869817886E-2</v>
      </c>
    </row>
    <row r="146" spans="1:29" x14ac:dyDescent="0.3">
      <c r="A146" t="str">
        <f>'rockfish harvests'!A145</f>
        <v>SC</v>
      </c>
      <c r="B146">
        <f>'rockfish harvests'!B145</f>
        <v>2016</v>
      </c>
      <c r="C146" t="str">
        <f>'rockfish harvests'!C145</f>
        <v>NG</v>
      </c>
      <c r="D146">
        <f>'rockfish harvests'!D145</f>
        <v>56991</v>
      </c>
      <c r="E146">
        <v>7838</v>
      </c>
      <c r="F146">
        <v>4064</v>
      </c>
      <c r="I146" s="13">
        <f t="shared" si="152"/>
        <v>4064</v>
      </c>
      <c r="J146">
        <f t="shared" si="140"/>
        <v>0</v>
      </c>
      <c r="K146">
        <f t="shared" si="141"/>
        <v>0</v>
      </c>
      <c r="L146" s="6">
        <f t="shared" si="142"/>
        <v>0</v>
      </c>
      <c r="N146" s="2">
        <f>'rockfish harvests'!O145</f>
        <v>21657.041703490948</v>
      </c>
      <c r="O146">
        <f>'rockfish harvests'!P145</f>
        <v>6461271.9983784193</v>
      </c>
      <c r="P146">
        <v>0.162951385</v>
      </c>
      <c r="Q146">
        <v>3.03107E-4</v>
      </c>
      <c r="T146" s="13">
        <f t="shared" si="143"/>
        <v>3529.0449405866093</v>
      </c>
      <c r="U146" s="14">
        <f t="shared" si="150"/>
        <v>315691.11127034936</v>
      </c>
      <c r="V146">
        <f t="shared" si="144"/>
        <v>561.86396153370561</v>
      </c>
      <c r="W146" s="6">
        <f t="shared" si="145"/>
        <v>1101.2533646060629</v>
      </c>
      <c r="Y146" s="13">
        <f t="shared" si="146"/>
        <v>7593.0449405866093</v>
      </c>
      <c r="Z146">
        <f t="shared" si="147"/>
        <v>315691.11127034936</v>
      </c>
      <c r="AA146">
        <f t="shared" si="148"/>
        <v>561.86396153370561</v>
      </c>
      <c r="AB146" s="6">
        <f t="shared" si="149"/>
        <v>1101.2533646060629</v>
      </c>
      <c r="AC146" s="14">
        <f t="shared" si="151"/>
        <v>7.3997186363327139E-2</v>
      </c>
    </row>
    <row r="147" spans="1:29" x14ac:dyDescent="0.3">
      <c r="A147" t="str">
        <f>'rockfish harvests'!A146</f>
        <v>SC</v>
      </c>
      <c r="B147">
        <f>'rockfish harvests'!B146</f>
        <v>2017</v>
      </c>
      <c r="C147" t="str">
        <f>'rockfish harvests'!C146</f>
        <v>NG</v>
      </c>
      <c r="D147">
        <f>'rockfish harvests'!D146</f>
        <v>38626</v>
      </c>
      <c r="E147">
        <v>6291</v>
      </c>
      <c r="F147">
        <v>3405</v>
      </c>
      <c r="I147" s="13">
        <f t="shared" si="152"/>
        <v>3405</v>
      </c>
      <c r="J147">
        <f t="shared" si="140"/>
        <v>0</v>
      </c>
      <c r="K147">
        <f t="shared" si="141"/>
        <v>0</v>
      </c>
      <c r="L147" s="6">
        <f t="shared" si="142"/>
        <v>0</v>
      </c>
      <c r="N147" s="2">
        <f>'rockfish harvests'!O146</f>
        <v>15237.511532831981</v>
      </c>
      <c r="O147">
        <f>'rockfish harvests'!P146</f>
        <v>3824430.6766507281</v>
      </c>
      <c r="P147">
        <v>9.1523498999999994E-2</v>
      </c>
      <c r="Q147">
        <v>3.9220299999999999E-4</v>
      </c>
      <c r="T147" s="13">
        <f t="shared" si="143"/>
        <v>1394.5903715376362</v>
      </c>
      <c r="U147" s="14">
        <f t="shared" si="150"/>
        <v>124597.87321376504</v>
      </c>
      <c r="V147">
        <f t="shared" si="144"/>
        <v>352.98423932771425</v>
      </c>
      <c r="W147" s="6">
        <f t="shared" si="145"/>
        <v>691.84910908231996</v>
      </c>
      <c r="Y147" s="13">
        <f t="shared" si="146"/>
        <v>4799.5903715376362</v>
      </c>
      <c r="Z147">
        <f t="shared" si="147"/>
        <v>124597.87321376504</v>
      </c>
      <c r="AA147">
        <f t="shared" si="148"/>
        <v>352.98423932771425</v>
      </c>
      <c r="AB147" s="6">
        <f t="shared" si="149"/>
        <v>691.84910908231996</v>
      </c>
      <c r="AC147" s="14">
        <f t="shared" si="151"/>
        <v>7.3544659440307469E-2</v>
      </c>
    </row>
    <row r="148" spans="1:29" x14ac:dyDescent="0.3">
      <c r="A148" t="str">
        <f>'rockfish harvests'!A147</f>
        <v>SC</v>
      </c>
      <c r="B148">
        <f>'rockfish harvests'!B147</f>
        <v>2018</v>
      </c>
      <c r="C148" t="str">
        <f>'rockfish harvests'!C147</f>
        <v>NG</v>
      </c>
      <c r="D148">
        <f>'rockfish harvests'!D147</f>
        <v>50115</v>
      </c>
      <c r="E148">
        <v>8269</v>
      </c>
      <c r="F148">
        <v>4260</v>
      </c>
      <c r="I148" s="13">
        <f t="shared" si="152"/>
        <v>4260</v>
      </c>
      <c r="J148">
        <f t="shared" si="140"/>
        <v>0</v>
      </c>
      <c r="K148">
        <f t="shared" si="141"/>
        <v>0</v>
      </c>
      <c r="L148" s="6">
        <f t="shared" si="142"/>
        <v>0</v>
      </c>
      <c r="N148" s="2">
        <f>'rockfish harvests'!O147</f>
        <v>18807.337515014005</v>
      </c>
      <c r="O148">
        <f>'rockfish harvests'!P147</f>
        <v>5909265.1225642972</v>
      </c>
      <c r="P148">
        <v>0.19034858399999999</v>
      </c>
      <c r="Q148">
        <v>4.2223599999999999E-4</v>
      </c>
      <c r="T148" s="13">
        <f t="shared" si="143"/>
        <v>3579.9500647929945</v>
      </c>
      <c r="U148" s="14">
        <f t="shared" si="150"/>
        <v>365954.65153756924</v>
      </c>
      <c r="V148">
        <f t="shared" si="144"/>
        <v>604.94185798105366</v>
      </c>
      <c r="W148" s="6">
        <f t="shared" si="145"/>
        <v>1185.6860416428651</v>
      </c>
      <c r="Y148" s="13">
        <f t="shared" si="146"/>
        <v>7839.9500647929945</v>
      </c>
      <c r="Z148">
        <f t="shared" si="147"/>
        <v>365954.65153756924</v>
      </c>
      <c r="AA148">
        <f t="shared" si="148"/>
        <v>604.94185798105366</v>
      </c>
      <c r="AB148" s="6">
        <f t="shared" si="149"/>
        <v>1185.6860416428651</v>
      </c>
      <c r="AC148" s="14">
        <f t="shared" si="151"/>
        <v>7.7161442736437436E-2</v>
      </c>
    </row>
    <row r="149" spans="1:29" x14ac:dyDescent="0.3">
      <c r="A149" t="str">
        <f>'rockfish harvests'!A148</f>
        <v>SC</v>
      </c>
      <c r="B149">
        <f>'rockfish harvests'!B148</f>
        <v>2019</v>
      </c>
      <c r="C149" t="str">
        <f>'rockfish harvests'!C148</f>
        <v>NG</v>
      </c>
      <c r="D149">
        <f>'rockfish harvests'!D148</f>
        <v>64565</v>
      </c>
      <c r="E149">
        <v>9526</v>
      </c>
      <c r="F149">
        <v>5735</v>
      </c>
      <c r="I149" s="13">
        <f>F149</f>
        <v>5735</v>
      </c>
      <c r="J149">
        <f>(E149^2)*H149</f>
        <v>0</v>
      </c>
      <c r="K149">
        <f>SQRT(J149)</f>
        <v>0</v>
      </c>
      <c r="L149" s="6">
        <f>(1.96*K149)</f>
        <v>0</v>
      </c>
      <c r="N149" s="2">
        <f>'rockfish harvests'!O148</f>
        <v>30264.472570734768</v>
      </c>
      <c r="O149">
        <f>'rockfish harvests'!P148</f>
        <v>14426596.252648354</v>
      </c>
      <c r="P149">
        <v>0.19832983800000001</v>
      </c>
      <c r="Q149">
        <v>4.4288299999999998E-4</v>
      </c>
      <c r="T149" s="13">
        <f>N149*P149</f>
        <v>6002.3479421092707</v>
      </c>
      <c r="U149" s="14">
        <f t="shared" si="150"/>
        <v>979508.987446649</v>
      </c>
      <c r="V149">
        <f>SQRT(U149)</f>
        <v>989.70146379938683</v>
      </c>
      <c r="W149" s="6">
        <f>(1.96*V149)</f>
        <v>1939.8148690467981</v>
      </c>
      <c r="Y149" s="13">
        <f>T149+I149</f>
        <v>11737.347942109271</v>
      </c>
      <c r="Z149">
        <f>U149+J149</f>
        <v>979508.987446649</v>
      </c>
      <c r="AA149">
        <f>SQRT(Z149)</f>
        <v>989.70146379938683</v>
      </c>
      <c r="AB149" s="6">
        <f>(1.96*AA149)</f>
        <v>1939.8148690467981</v>
      </c>
      <c r="AC149" s="14">
        <f t="shared" si="151"/>
        <v>8.4320705893765266E-2</v>
      </c>
    </row>
    <row r="150" spans="1:29" x14ac:dyDescent="0.3">
      <c r="A150" t="str">
        <f>'rockfish harvests'!A149</f>
        <v>SC</v>
      </c>
      <c r="B150">
        <f>'rockfish harvests'!B149</f>
        <v>2020</v>
      </c>
      <c r="C150" t="str">
        <f>'rockfish harvests'!C149</f>
        <v>NG</v>
      </c>
      <c r="D150">
        <f>'rockfish harvests'!D149</f>
        <v>43363</v>
      </c>
      <c r="E150">
        <v>6211</v>
      </c>
      <c r="F150">
        <v>3649</v>
      </c>
      <c r="I150" s="13">
        <f t="shared" ref="I150:I152" si="153">F150</f>
        <v>3649</v>
      </c>
      <c r="J150">
        <f t="shared" ref="J150:J152" si="154">(E150^2)*H150</f>
        <v>0</v>
      </c>
      <c r="K150">
        <f t="shared" ref="K150:K152" si="155">SQRT(J150)</f>
        <v>0</v>
      </c>
      <c r="L150" s="6">
        <f t="shared" ref="L150:L152" si="156">(1.96*K150)</f>
        <v>0</v>
      </c>
      <c r="N150" s="2">
        <f>'rockfish harvests'!O149</f>
        <v>14406.767557261875</v>
      </c>
      <c r="O150">
        <f>'rockfish harvests'!P149</f>
        <v>3787465.8304927479</v>
      </c>
      <c r="P150">
        <v>0.24935194495573898</v>
      </c>
      <c r="Q150">
        <v>7.089983049338223E-4</v>
      </c>
      <c r="T150" s="13">
        <f t="shared" ref="T150:T151" si="157">N150*P150</f>
        <v>3592.3555109284894</v>
      </c>
      <c r="U150" s="14">
        <f t="shared" si="150"/>
        <v>385332.37749159755</v>
      </c>
      <c r="V150">
        <f t="shared" ref="V150:V151" si="158">SQRT(U150)</f>
        <v>620.75146193271064</v>
      </c>
      <c r="W150" s="6">
        <f t="shared" ref="W150:W151" si="159">(1.96*V150)</f>
        <v>1216.6728653881128</v>
      </c>
      <c r="Y150" s="13">
        <f t="shared" ref="Y150:Y151" si="160">T150+I150</f>
        <v>7241.3555109284898</v>
      </c>
      <c r="Z150">
        <f t="shared" ref="Z150:Z151" si="161">U150+J150</f>
        <v>385332.37749159755</v>
      </c>
      <c r="AA150">
        <f t="shared" ref="AA150:AA151" si="162">SQRT(Z150)</f>
        <v>620.75146193271064</v>
      </c>
      <c r="AB150" s="6">
        <f t="shared" ref="AB150:AB151" si="163">(1.96*AA150)</f>
        <v>1216.6728653881128</v>
      </c>
      <c r="AC150" s="14">
        <f t="shared" ref="AC150:AC151" si="164">AA150/Y150</f>
        <v>8.5723102669919546E-2</v>
      </c>
    </row>
    <row r="151" spans="1:29" x14ac:dyDescent="0.3">
      <c r="A151" t="str">
        <f>'rockfish harvests'!A150</f>
        <v>SC</v>
      </c>
      <c r="B151">
        <f>'rockfish harvests'!B150</f>
        <v>2021</v>
      </c>
      <c r="C151" t="str">
        <f>'rockfish harvests'!C150</f>
        <v>NG</v>
      </c>
      <c r="D151">
        <f>'rockfish harvests'!D150</f>
        <v>83097</v>
      </c>
      <c r="E151">
        <v>9825</v>
      </c>
      <c r="F151">
        <v>5467</v>
      </c>
      <c r="I151" s="13">
        <f t="shared" si="153"/>
        <v>5467</v>
      </c>
      <c r="J151">
        <f t="shared" si="154"/>
        <v>0</v>
      </c>
      <c r="K151">
        <f t="shared" si="155"/>
        <v>0</v>
      </c>
      <c r="L151" s="6">
        <f t="shared" si="156"/>
        <v>0</v>
      </c>
      <c r="N151" s="2">
        <f>'rockfish harvests'!O150</f>
        <v>24593.025482509038</v>
      </c>
      <c r="O151">
        <f>'rockfish harvests'!P150</f>
        <v>11012636.577756885</v>
      </c>
      <c r="P151">
        <v>0.17003623436794801</v>
      </c>
      <c r="Q151">
        <v>8.3505274183382416E-4</v>
      </c>
      <c r="T151" s="13">
        <f t="shared" si="157"/>
        <v>4181.7054447608243</v>
      </c>
      <c r="U151" s="14">
        <f t="shared" si="150"/>
        <v>832651.02878249565</v>
      </c>
      <c r="V151">
        <f t="shared" si="158"/>
        <v>912.49713905441683</v>
      </c>
      <c r="W151" s="6">
        <f t="shared" si="159"/>
        <v>1788.4943925466569</v>
      </c>
      <c r="Y151" s="13">
        <f t="shared" si="160"/>
        <v>9648.7054447608243</v>
      </c>
      <c r="Z151">
        <f t="shared" si="161"/>
        <v>832651.02878249565</v>
      </c>
      <c r="AA151">
        <f t="shared" si="162"/>
        <v>912.49713905441683</v>
      </c>
      <c r="AB151" s="6">
        <f t="shared" si="163"/>
        <v>1788.4943925466569</v>
      </c>
      <c r="AC151" s="14">
        <f t="shared" si="164"/>
        <v>9.4571975927599292E-2</v>
      </c>
    </row>
    <row r="152" spans="1:29" s="51" customFormat="1" x14ac:dyDescent="0.3">
      <c r="A152" s="51" t="s">
        <v>81</v>
      </c>
      <c r="B152" s="51">
        <v>2022</v>
      </c>
      <c r="C152" s="51" t="s">
        <v>49</v>
      </c>
      <c r="D152">
        <v>86545</v>
      </c>
      <c r="E152" s="51">
        <v>9737</v>
      </c>
      <c r="F152">
        <v>4797</v>
      </c>
      <c r="I152" s="13">
        <f t="shared" si="153"/>
        <v>4797</v>
      </c>
      <c r="J152" s="51">
        <f t="shared" si="154"/>
        <v>0</v>
      </c>
      <c r="K152" s="51">
        <f t="shared" si="155"/>
        <v>0</v>
      </c>
      <c r="L152" s="78">
        <f t="shared" si="156"/>
        <v>0</v>
      </c>
      <c r="N152" s="2">
        <f>'rockfish harvests'!O151</f>
        <v>23511.656725947614</v>
      </c>
      <c r="O152">
        <f>'rockfish harvests'!P151</f>
        <v>12484731.197476877</v>
      </c>
      <c r="P152" s="91">
        <v>0.15075340355242647</v>
      </c>
      <c r="Q152" s="91">
        <v>4.0643433291995468E-4</v>
      </c>
      <c r="T152" s="13">
        <f t="shared" ref="T152" si="165">N152*P152</f>
        <v>3544.4622745929028</v>
      </c>
      <c r="U152" s="14">
        <f t="shared" si="150"/>
        <v>513485.66131618648</v>
      </c>
      <c r="V152">
        <f t="shared" ref="V152" si="166">SQRT(U152)</f>
        <v>716.57913820888371</v>
      </c>
      <c r="W152" s="6">
        <f t="shared" ref="W152" si="167">(1.96*V152)</f>
        <v>1404.495110889412</v>
      </c>
      <c r="X152"/>
      <c r="Y152" s="13">
        <f t="shared" ref="Y152" si="168">T152+I152</f>
        <v>8341.4622745929028</v>
      </c>
      <c r="Z152">
        <f t="shared" ref="Z152" si="169">U152+J152</f>
        <v>513485.66131618648</v>
      </c>
      <c r="AA152">
        <f t="shared" ref="AA152" si="170">SQRT(Z152)</f>
        <v>716.57913820888371</v>
      </c>
      <c r="AB152" s="6">
        <f t="shared" ref="AB152" si="171">(1.96*AA152)</f>
        <v>1404.495110889412</v>
      </c>
      <c r="AC152" s="14">
        <f t="shared" ref="AC152" si="172">AA152/Y152</f>
        <v>8.5905697900414676E-2</v>
      </c>
    </row>
    <row r="153" spans="1:29" x14ac:dyDescent="0.3">
      <c r="A153" t="str">
        <f>'rockfish harvests'!A152</f>
        <v>SC</v>
      </c>
      <c r="B153">
        <f>'rockfish harvests'!B152</f>
        <v>1998</v>
      </c>
      <c r="C153" t="str">
        <f>'rockfish harvests'!C152</f>
        <v>NORTHEAS</v>
      </c>
      <c r="D153">
        <f>'rockfish harvests'!D152</f>
        <v>1488</v>
      </c>
      <c r="E153">
        <v>511</v>
      </c>
      <c r="F153" t="s">
        <v>159</v>
      </c>
      <c r="G153" s="38">
        <v>0.52164807028690008</v>
      </c>
      <c r="H153" s="39">
        <v>3.2490492583549309E-2</v>
      </c>
      <c r="I153" s="13">
        <f t="shared" ref="I153:I160" si="173">E153*G153</f>
        <v>266.56216391660593</v>
      </c>
      <c r="J153">
        <f t="shared" si="140"/>
        <v>8483.9499139089785</v>
      </c>
      <c r="K153">
        <f t="shared" si="141"/>
        <v>92.108359630974746</v>
      </c>
      <c r="L153" s="6">
        <f t="shared" si="142"/>
        <v>180.53238487671049</v>
      </c>
      <c r="N153" s="2">
        <f>'rockfish harvests'!O152</f>
        <v>1158.751507803267</v>
      </c>
      <c r="O153">
        <f>'rockfish harvests'!P152</f>
        <v>130721.74657888399</v>
      </c>
      <c r="P153">
        <f>IF([1]species_comp_Region2_forR!$D250&gt;49,[1]species_comp_Region2_forR!$J250,[1]species_comp_Region2_forR!$L250)</f>
        <v>3.3333333E-2</v>
      </c>
      <c r="Q153">
        <f>IF([1]species_comp_Region2_forR!$D250&gt;49,[1]species_comp_Region2_forR!$K250,[1]species_comp_Region2_forR!$M250)</f>
        <v>3.62047E-4</v>
      </c>
      <c r="T153" s="13">
        <f t="shared" si="143"/>
        <v>38.625049873858401</v>
      </c>
      <c r="U153" s="14">
        <f t="shared" si="150"/>
        <v>678.69613607879455</v>
      </c>
      <c r="V153">
        <f t="shared" si="144"/>
        <v>26.051797175603731</v>
      </c>
      <c r="W153" s="6">
        <f t="shared" si="145"/>
        <v>51.061522464183312</v>
      </c>
      <c r="Y153" s="13">
        <f t="shared" si="146"/>
        <v>305.18721379046434</v>
      </c>
      <c r="Z153">
        <f t="shared" si="147"/>
        <v>9162.6460499877721</v>
      </c>
      <c r="AA153">
        <f t="shared" si="148"/>
        <v>95.721711486933685</v>
      </c>
      <c r="AB153" s="6">
        <f t="shared" si="149"/>
        <v>187.61455451439002</v>
      </c>
      <c r="AC153" s="14">
        <f>AA153/Y153</f>
        <v>0.31364915422916234</v>
      </c>
    </row>
    <row r="154" spans="1:29" x14ac:dyDescent="0.3">
      <c r="A154" t="str">
        <f>'rockfish harvests'!A153</f>
        <v>SC</v>
      </c>
      <c r="B154">
        <f>'rockfish harvests'!B153</f>
        <v>1999</v>
      </c>
      <c r="C154" t="str">
        <f>'rockfish harvests'!C153</f>
        <v>NORTHEAS</v>
      </c>
      <c r="D154">
        <f>'rockfish harvests'!D153</f>
        <v>1866</v>
      </c>
      <c r="E154">
        <v>177</v>
      </c>
      <c r="F154" t="s">
        <v>159</v>
      </c>
      <c r="G154" s="38">
        <v>0.52164807028690008</v>
      </c>
      <c r="H154" s="39">
        <v>3.2490492583549309E-2</v>
      </c>
      <c r="I154" s="13">
        <f t="shared" si="173"/>
        <v>92.331708440781313</v>
      </c>
      <c r="J154">
        <f t="shared" si="140"/>
        <v>1017.8946421500164</v>
      </c>
      <c r="K154">
        <f t="shared" si="141"/>
        <v>31.904461163762292</v>
      </c>
      <c r="L154" s="6">
        <f t="shared" si="142"/>
        <v>62.532743880974088</v>
      </c>
      <c r="N154" s="2">
        <f>'rockfish harvests'!O153</f>
        <v>1453.1117698661938</v>
      </c>
      <c r="O154">
        <f>'rockfish harvests'!P153</f>
        <v>205572.61399024838</v>
      </c>
      <c r="P154">
        <f>IF([1]species_comp_Region2_forR!$D251&gt;49,[1]species_comp_Region2_forR!$J251,[1]species_comp_Region2_forR!$L251)</f>
        <v>2.6905829999999999E-2</v>
      </c>
      <c r="Q154">
        <f>IF([1]species_comp_Region2_forR!$D251&gt;49,[1]species_comp_Region2_forR!$K251,[1]species_comp_Region2_forR!$M251)</f>
        <v>1.1793700000000001E-4</v>
      </c>
      <c r="T154" s="13">
        <f t="shared" si="143"/>
        <v>39.097178251018931</v>
      </c>
      <c r="U154" s="14">
        <f t="shared" si="150"/>
        <v>422.09146587050867</v>
      </c>
      <c r="V154">
        <f t="shared" si="144"/>
        <v>20.544864708011797</v>
      </c>
      <c r="W154" s="6">
        <f t="shared" si="145"/>
        <v>40.267934827703122</v>
      </c>
      <c r="Y154" s="13">
        <f t="shared" si="146"/>
        <v>131.42888669180024</v>
      </c>
      <c r="Z154">
        <f t="shared" si="147"/>
        <v>1439.9861080205251</v>
      </c>
      <c r="AA154">
        <f t="shared" si="148"/>
        <v>37.947148878677631</v>
      </c>
      <c r="AB154" s="6">
        <f t="shared" si="149"/>
        <v>74.376411802208153</v>
      </c>
      <c r="AC154" s="14">
        <f t="shared" ref="AC154:AC174" si="174">AA154/Y154</f>
        <v>0.28872761410254816</v>
      </c>
    </row>
    <row r="155" spans="1:29" x14ac:dyDescent="0.3">
      <c r="A155" t="str">
        <f>'rockfish harvests'!A154</f>
        <v>SC</v>
      </c>
      <c r="B155">
        <f>'rockfish harvests'!B154</f>
        <v>2000</v>
      </c>
      <c r="C155" t="str">
        <f>'rockfish harvests'!C154</f>
        <v>NORTHEAS</v>
      </c>
      <c r="D155">
        <f>'rockfish harvests'!D154</f>
        <v>2115</v>
      </c>
      <c r="E155">
        <v>250</v>
      </c>
      <c r="F155" t="s">
        <v>159</v>
      </c>
      <c r="G155" s="38">
        <v>0.52164807028690008</v>
      </c>
      <c r="H155" s="39">
        <v>3.2490492583549309E-2</v>
      </c>
      <c r="I155" s="13">
        <f t="shared" si="173"/>
        <v>130.41201757172502</v>
      </c>
      <c r="J155">
        <f t="shared" si="140"/>
        <v>2030.6557864718318</v>
      </c>
      <c r="K155">
        <f t="shared" si="141"/>
        <v>45.062798253901541</v>
      </c>
      <c r="L155" s="6">
        <f t="shared" si="142"/>
        <v>88.323084577647023</v>
      </c>
      <c r="N155" s="2">
        <f>'rockfish harvests'!O154</f>
        <v>1647.0157520187568</v>
      </c>
      <c r="O155">
        <f>'rockfish harvests'!P154</f>
        <v>264096.54694560438</v>
      </c>
      <c r="P155">
        <f>IF([1]species_comp_Region2_forR!$D252&gt;49,[1]species_comp_Region2_forR!$J252,[1]species_comp_Region2_forR!$L252)</f>
        <v>5.1282050000000003E-3</v>
      </c>
      <c r="Q155">
        <f>IF([1]species_comp_Region2_forR!$D252&gt;49,[1]species_comp_Region2_forR!$K252,[1]species_comp_Region2_forR!$M252)</f>
        <v>2.6298499999999999E-5</v>
      </c>
      <c r="T155" s="13">
        <f t="shared" si="143"/>
        <v>8.4462344145813493</v>
      </c>
      <c r="U155" s="14">
        <f t="shared" si="150"/>
        <v>85.229594867445257</v>
      </c>
      <c r="V155">
        <f t="shared" si="144"/>
        <v>9.2319875902995694</v>
      </c>
      <c r="W155" s="6">
        <f t="shared" si="145"/>
        <v>18.094695676987154</v>
      </c>
      <c r="Y155" s="13">
        <f t="shared" si="146"/>
        <v>138.85825198630636</v>
      </c>
      <c r="Z155">
        <f t="shared" si="147"/>
        <v>2115.885381339277</v>
      </c>
      <c r="AA155">
        <f t="shared" si="148"/>
        <v>45.998754128120439</v>
      </c>
      <c r="AB155" s="6">
        <f t="shared" si="149"/>
        <v>90.157558091116059</v>
      </c>
      <c r="AC155" s="14">
        <f t="shared" si="174"/>
        <v>0.33126410184579203</v>
      </c>
    </row>
    <row r="156" spans="1:29" x14ac:dyDescent="0.3">
      <c r="A156" t="str">
        <f>'rockfish harvests'!A155</f>
        <v>SC</v>
      </c>
      <c r="B156">
        <f>'rockfish harvests'!B155</f>
        <v>2001</v>
      </c>
      <c r="C156" t="str">
        <f>'rockfish harvests'!C155</f>
        <v>NORTHEAS</v>
      </c>
      <c r="D156">
        <f>'rockfish harvests'!D155</f>
        <v>2081</v>
      </c>
      <c r="E156">
        <v>227</v>
      </c>
      <c r="F156" t="s">
        <v>159</v>
      </c>
      <c r="G156" s="38">
        <v>0.52164807028690008</v>
      </c>
      <c r="H156" s="39">
        <v>3.2490492583549309E-2</v>
      </c>
      <c r="I156" s="13">
        <f t="shared" si="173"/>
        <v>118.41411195512632</v>
      </c>
      <c r="J156">
        <f t="shared" si="140"/>
        <v>1674.2025923377123</v>
      </c>
      <c r="K156">
        <f t="shared" si="141"/>
        <v>40.917020814542596</v>
      </c>
      <c r="L156" s="6">
        <f t="shared" si="142"/>
        <v>80.197360796503489</v>
      </c>
      <c r="N156" s="2">
        <f>'rockfish harvests'!O155</f>
        <v>1620.5389030501337</v>
      </c>
      <c r="O156">
        <f>'rockfish harvests'!P155</f>
        <v>255673.74912670467</v>
      </c>
      <c r="P156">
        <f>IF([1]species_comp_Region2_forR!$D253&gt;49,[1]species_comp_Region2_forR!$J253,[1]species_comp_Region2_forR!$L253)</f>
        <v>0</v>
      </c>
      <c r="Q156">
        <f>IF([1]species_comp_Region2_forR!$D253&gt;49,[1]species_comp_Region2_forR!$K253,[1]species_comp_Region2_forR!$M253)</f>
        <v>0</v>
      </c>
      <c r="T156" s="13">
        <f t="shared" si="143"/>
        <v>0</v>
      </c>
      <c r="U156" s="14">
        <f t="shared" si="150"/>
        <v>0</v>
      </c>
      <c r="V156">
        <f t="shared" si="144"/>
        <v>0</v>
      </c>
      <c r="W156" s="6">
        <f t="shared" si="145"/>
        <v>0</v>
      </c>
      <c r="Y156" s="13">
        <f t="shared" si="146"/>
        <v>118.41411195512632</v>
      </c>
      <c r="Z156">
        <f t="shared" si="147"/>
        <v>1674.2025923377123</v>
      </c>
      <c r="AA156">
        <f t="shared" si="148"/>
        <v>40.917020814542596</v>
      </c>
      <c r="AB156" s="6">
        <f t="shared" si="149"/>
        <v>80.197360796503489</v>
      </c>
      <c r="AC156" s="14">
        <f t="shared" si="174"/>
        <v>0.34554176135736531</v>
      </c>
    </row>
    <row r="157" spans="1:29" x14ac:dyDescent="0.3">
      <c r="A157" t="str">
        <f>'rockfish harvests'!A156</f>
        <v>SC</v>
      </c>
      <c r="B157">
        <f>'rockfish harvests'!B156</f>
        <v>2002</v>
      </c>
      <c r="C157" t="str">
        <f>'rockfish harvests'!C156</f>
        <v>NORTHEAS</v>
      </c>
      <c r="D157">
        <f>'rockfish harvests'!D156</f>
        <v>2262</v>
      </c>
      <c r="E157">
        <v>210</v>
      </c>
      <c r="F157" t="s">
        <v>159</v>
      </c>
      <c r="G157" s="38">
        <v>0.52164807028690008</v>
      </c>
      <c r="H157" s="39">
        <v>3.2490492583549309E-2</v>
      </c>
      <c r="I157" s="13">
        <f t="shared" si="173"/>
        <v>109.54609476024902</v>
      </c>
      <c r="J157">
        <f t="shared" si="140"/>
        <v>1432.8307229345246</v>
      </c>
      <c r="K157">
        <f t="shared" si="141"/>
        <v>37.852750533277295</v>
      </c>
      <c r="L157" s="6">
        <f t="shared" si="142"/>
        <v>74.191391045223497</v>
      </c>
      <c r="N157" s="2">
        <f>'rockfish harvests'!O156</f>
        <v>1761.4891872654503</v>
      </c>
      <c r="O157">
        <f>'rockfish harvests'!P156</f>
        <v>302083.62252065231</v>
      </c>
      <c r="P157">
        <f>IF([1]species_comp_Region2_forR!$D254&gt;49,[1]species_comp_Region2_forR!$J254,[1]species_comp_Region2_forR!$L254)</f>
        <v>6.6265060000000001E-2</v>
      </c>
      <c r="Q157">
        <f>IF([1]species_comp_Region2_forR!$D254&gt;49,[1]species_comp_Region2_forR!$K254,[1]species_comp_Region2_forR!$M254)</f>
        <v>3.7499400000000002E-4</v>
      </c>
      <c r="T157" s="13">
        <f t="shared" si="143"/>
        <v>116.7251866834963</v>
      </c>
      <c r="U157" s="14">
        <f t="shared" si="150"/>
        <v>2603.2942484462424</v>
      </c>
      <c r="V157">
        <f t="shared" si="144"/>
        <v>51.022487674027055</v>
      </c>
      <c r="W157" s="6">
        <f t="shared" si="145"/>
        <v>100.00407584109303</v>
      </c>
      <c r="Y157" s="13">
        <f t="shared" si="146"/>
        <v>226.27128144374532</v>
      </c>
      <c r="Z157">
        <f t="shared" si="147"/>
        <v>4036.124971380767</v>
      </c>
      <c r="AA157">
        <f t="shared" si="148"/>
        <v>63.530504258826461</v>
      </c>
      <c r="AB157" s="6">
        <f t="shared" si="149"/>
        <v>124.51978834729987</v>
      </c>
      <c r="AC157" s="14">
        <f t="shared" si="174"/>
        <v>0.28077139906339005</v>
      </c>
    </row>
    <row r="158" spans="1:29" x14ac:dyDescent="0.3">
      <c r="A158" t="str">
        <f>'rockfish harvests'!A157</f>
        <v>SC</v>
      </c>
      <c r="B158">
        <f>'rockfish harvests'!B157</f>
        <v>2003</v>
      </c>
      <c r="C158" t="str">
        <f>'rockfish harvests'!C157</f>
        <v>NORTHEAS</v>
      </c>
      <c r="D158">
        <f>'rockfish harvests'!D157</f>
        <v>2743</v>
      </c>
      <c r="E158">
        <v>266</v>
      </c>
      <c r="F158" t="s">
        <v>159</v>
      </c>
      <c r="G158" s="38">
        <v>0.52164807028690008</v>
      </c>
      <c r="H158" s="39">
        <v>3.2490492583549309E-2</v>
      </c>
      <c r="I158" s="13">
        <f t="shared" si="173"/>
        <v>138.75838669631543</v>
      </c>
      <c r="J158">
        <f t="shared" si="140"/>
        <v>2298.897293241615</v>
      </c>
      <c r="K158">
        <f t="shared" si="141"/>
        <v>47.946817342151242</v>
      </c>
      <c r="L158" s="6">
        <f t="shared" si="142"/>
        <v>93.975761990616434</v>
      </c>
      <c r="N158" s="2">
        <f>'rockfish harvests'!O157</f>
        <v>2136.0587270862643</v>
      </c>
      <c r="O158">
        <f>'rockfish harvests'!P157</f>
        <v>444215.38374428463</v>
      </c>
      <c r="P158">
        <f>IF([1]species_comp_Region2_forR!$D255&gt;49,[1]species_comp_Region2_forR!$J255,[1]species_comp_Region2_forR!$L255)</f>
        <v>5.3475939999999998E-3</v>
      </c>
      <c r="Q158">
        <f>IF([1]species_comp_Region2_forR!$D255&gt;49,[1]species_comp_Region2_forR!$K255,[1]species_comp_Region2_forR!$M255)</f>
        <v>2.85968E-5</v>
      </c>
      <c r="T158" s="13">
        <f t="shared" si="143"/>
        <v>11.422774832614143</v>
      </c>
      <c r="U158" s="14">
        <f t="shared" si="150"/>
        <v>155.88622004590917</v>
      </c>
      <c r="V158">
        <f t="shared" si="144"/>
        <v>12.485440322467973</v>
      </c>
      <c r="W158" s="6">
        <f t="shared" si="145"/>
        <v>24.471463032037228</v>
      </c>
      <c r="Y158" s="13">
        <f t="shared" si="146"/>
        <v>150.18116152892958</v>
      </c>
      <c r="Z158">
        <f t="shared" si="147"/>
        <v>2454.7835132875243</v>
      </c>
      <c r="AA158">
        <f t="shared" si="148"/>
        <v>49.545771901218011</v>
      </c>
      <c r="AB158" s="6">
        <f t="shared" si="149"/>
        <v>97.109712926387303</v>
      </c>
      <c r="AC158" s="14">
        <f t="shared" si="174"/>
        <v>0.32990670332293276</v>
      </c>
    </row>
    <row r="159" spans="1:29" x14ac:dyDescent="0.3">
      <c r="A159" t="str">
        <f>'rockfish harvests'!A158</f>
        <v>SC</v>
      </c>
      <c r="B159">
        <f>'rockfish harvests'!B158</f>
        <v>2004</v>
      </c>
      <c r="C159" t="str">
        <f>'rockfish harvests'!C158</f>
        <v>NORTHEAS</v>
      </c>
      <c r="D159">
        <f>'rockfish harvests'!D158</f>
        <v>3291</v>
      </c>
      <c r="E159">
        <v>223</v>
      </c>
      <c r="F159" t="s">
        <v>159</v>
      </c>
      <c r="G159" s="38">
        <v>0.52164807028690008</v>
      </c>
      <c r="H159" s="39">
        <v>3.2490492583549309E-2</v>
      </c>
      <c r="I159" s="13">
        <f t="shared" si="173"/>
        <v>116.32751967397871</v>
      </c>
      <c r="J159">
        <f t="shared" si="140"/>
        <v>1615.7197056873235</v>
      </c>
      <c r="K159">
        <f t="shared" si="141"/>
        <v>40.196016042480174</v>
      </c>
      <c r="L159" s="6">
        <f t="shared" si="142"/>
        <v>78.784191443261136</v>
      </c>
      <c r="N159" s="2">
        <f>'rockfish harvests'!O158</f>
        <v>2562.8032339923066</v>
      </c>
      <c r="O159">
        <f>'rockfish harvests'!P158</f>
        <v>639436.97291537211</v>
      </c>
      <c r="P159">
        <f>IF([1]species_comp_Region2_forR!$D256&gt;49,[1]species_comp_Region2_forR!$J256,[1]species_comp_Region2_forR!$L256)</f>
        <v>4.2372881000000001E-2</v>
      </c>
      <c r="Q159">
        <f>IF([1]species_comp_Region2_forR!$D256&gt;49,[1]species_comp_Region2_forR!$K256,[1]species_comp_Region2_forR!$M256)</f>
        <v>3.4681600000000001E-4</v>
      </c>
      <c r="T159" s="13">
        <f t="shared" si="143"/>
        <v>108.59335646037117</v>
      </c>
      <c r="U159" s="14">
        <f t="shared" si="150"/>
        <v>3647.7249080064603</v>
      </c>
      <c r="V159">
        <f t="shared" si="144"/>
        <v>60.396398137690795</v>
      </c>
      <c r="W159" s="6">
        <f t="shared" si="145"/>
        <v>118.37694034987396</v>
      </c>
      <c r="Y159" s="13">
        <f t="shared" si="146"/>
        <v>224.9208761343499</v>
      </c>
      <c r="Z159">
        <f t="shared" si="147"/>
        <v>5263.444613693784</v>
      </c>
      <c r="AA159">
        <f t="shared" si="148"/>
        <v>72.549601058129767</v>
      </c>
      <c r="AB159" s="6">
        <f t="shared" si="149"/>
        <v>142.19721807393435</v>
      </c>
      <c r="AC159" s="14">
        <f t="shared" si="174"/>
        <v>0.32255610197247492</v>
      </c>
    </row>
    <row r="160" spans="1:29" x14ac:dyDescent="0.3">
      <c r="A160" t="str">
        <f>'rockfish harvests'!A159</f>
        <v>SC</v>
      </c>
      <c r="B160">
        <f>'rockfish harvests'!B159</f>
        <v>2005</v>
      </c>
      <c r="C160" t="str">
        <f>'rockfish harvests'!C159</f>
        <v>NORTHEAS</v>
      </c>
      <c r="D160">
        <f>'rockfish harvests'!D159</f>
        <v>4641</v>
      </c>
      <c r="E160">
        <v>316</v>
      </c>
      <c r="F160" t="s">
        <v>159</v>
      </c>
      <c r="G160" s="38">
        <v>0.52164807028690008</v>
      </c>
      <c r="H160" s="39">
        <v>3.2490492583549309E-2</v>
      </c>
      <c r="I160" s="13">
        <f t="shared" si="173"/>
        <v>164.84079021066043</v>
      </c>
      <c r="J160">
        <f t="shared" si="140"/>
        <v>3244.3706274228998</v>
      </c>
      <c r="K160">
        <f t="shared" si="141"/>
        <v>56.959376992931546</v>
      </c>
      <c r="L160" s="6">
        <f t="shared" si="142"/>
        <v>111.64037890614583</v>
      </c>
      <c r="N160" s="2">
        <f>'rockfish harvests'!O159</f>
        <v>3614.0898842170445</v>
      </c>
      <c r="O160">
        <f>'rockfish harvests'!P159</f>
        <v>1271642.7403433286</v>
      </c>
      <c r="P160">
        <f>IF([1]species_comp_Region2_forR!$D257&gt;49,[1]species_comp_Region2_forR!$J257,[1]species_comp_Region2_forR!$L257)</f>
        <v>5.747126E-3</v>
      </c>
      <c r="Q160">
        <f>IF([1]species_comp_Region2_forR!$D257&gt;49,[1]species_comp_Region2_forR!$K257,[1]species_comp_Region2_forR!$M257)</f>
        <v>3.3029499999999999E-5</v>
      </c>
      <c r="T160" s="13">
        <f t="shared" si="143"/>
        <v>20.770629939920767</v>
      </c>
      <c r="U160" s="14">
        <f t="shared" si="150"/>
        <v>515.42301979166086</v>
      </c>
      <c r="V160">
        <f t="shared" si="144"/>
        <v>22.702929762294136</v>
      </c>
      <c r="W160" s="6">
        <f t="shared" si="145"/>
        <v>44.497742334096507</v>
      </c>
      <c r="Y160" s="13">
        <f t="shared" si="146"/>
        <v>185.61142015058118</v>
      </c>
      <c r="Z160">
        <f t="shared" si="147"/>
        <v>3759.7936472145607</v>
      </c>
      <c r="AA160">
        <f t="shared" si="148"/>
        <v>61.317156222500735</v>
      </c>
      <c r="AB160" s="6">
        <f t="shared" si="149"/>
        <v>120.18162619610143</v>
      </c>
      <c r="AC160" s="14">
        <f t="shared" si="174"/>
        <v>0.33035228205654532</v>
      </c>
    </row>
    <row r="161" spans="1:29" x14ac:dyDescent="0.3">
      <c r="A161" t="str">
        <f>'rockfish harvests'!A160</f>
        <v>SC</v>
      </c>
      <c r="B161">
        <f>'rockfish harvests'!B160</f>
        <v>2006</v>
      </c>
      <c r="C161" t="str">
        <f>'rockfish harvests'!C160</f>
        <v>NORTHEAS</v>
      </c>
      <c r="D161">
        <f>'rockfish harvests'!D160</f>
        <v>3693</v>
      </c>
      <c r="E161">
        <v>174</v>
      </c>
      <c r="F161">
        <v>96</v>
      </c>
      <c r="I161" s="13">
        <f>F161</f>
        <v>96</v>
      </c>
      <c r="J161">
        <f t="shared" si="140"/>
        <v>0</v>
      </c>
      <c r="K161">
        <f t="shared" si="141"/>
        <v>0</v>
      </c>
      <c r="L161" s="6">
        <f t="shared" si="142"/>
        <v>0</v>
      </c>
      <c r="N161" s="2">
        <f>'rockfish harvests'!O160</f>
        <v>2875.8530365036731</v>
      </c>
      <c r="O161">
        <f>'rockfish harvests'!P160</f>
        <v>805194.11996587296</v>
      </c>
      <c r="P161">
        <f>IF([1]species_comp_Region2_forR!$D258&gt;49,[1]species_comp_Region2_forR!$J258,[1]species_comp_Region2_forR!$L258)</f>
        <v>3.8461538000000003E-2</v>
      </c>
      <c r="Q161">
        <f>IF([1]species_comp_Region2_forR!$D258&gt;49,[1]species_comp_Region2_forR!$K258,[1]species_comp_Region2_forR!$M258)</f>
        <v>3.5905099999999999E-4</v>
      </c>
      <c r="T161" s="13">
        <f t="shared" si="143"/>
        <v>110.60973084590142</v>
      </c>
      <c r="U161" s="14">
        <f t="shared" si="150"/>
        <v>4449.7636013625488</v>
      </c>
      <c r="V161">
        <f t="shared" si="144"/>
        <v>66.706548414398938</v>
      </c>
      <c r="W161" s="6">
        <f t="shared" si="145"/>
        <v>130.74483489222192</v>
      </c>
      <c r="Y161" s="13">
        <f t="shared" si="146"/>
        <v>206.60973084590142</v>
      </c>
      <c r="Z161">
        <f t="shared" si="147"/>
        <v>4449.7636013625488</v>
      </c>
      <c r="AA161">
        <f t="shared" si="148"/>
        <v>66.706548414398938</v>
      </c>
      <c r="AB161" s="6">
        <f t="shared" si="149"/>
        <v>130.74483489222192</v>
      </c>
      <c r="AC161" s="14">
        <f t="shared" si="174"/>
        <v>0.32286256867616558</v>
      </c>
    </row>
    <row r="162" spans="1:29" x14ac:dyDescent="0.3">
      <c r="A162" t="str">
        <f>'rockfish harvests'!A161</f>
        <v>SC</v>
      </c>
      <c r="B162">
        <f>'rockfish harvests'!B161</f>
        <v>2007</v>
      </c>
      <c r="C162" t="str">
        <f>'rockfish harvests'!C161</f>
        <v>NORTHEAS</v>
      </c>
      <c r="D162">
        <f>'rockfish harvests'!D161</f>
        <v>5080</v>
      </c>
      <c r="E162">
        <v>428</v>
      </c>
      <c r="F162">
        <v>156</v>
      </c>
      <c r="I162" s="13">
        <f t="shared" ref="I162:I173" si="175">F162</f>
        <v>156</v>
      </c>
      <c r="J162">
        <f t="shared" si="140"/>
        <v>0</v>
      </c>
      <c r="K162">
        <f t="shared" si="141"/>
        <v>0</v>
      </c>
      <c r="L162" s="6">
        <f t="shared" si="142"/>
        <v>0</v>
      </c>
      <c r="N162" s="2">
        <f>'rockfish harvests'!O161</f>
        <v>3955.9527282530889</v>
      </c>
      <c r="O162">
        <f>'rockfish harvests'!P161</f>
        <v>1523594.5272363999</v>
      </c>
      <c r="P162">
        <f>IF([1]species_comp_Region2_forR!$D259&gt;49,[1]species_comp_Region2_forR!$J259,[1]species_comp_Region2_forR!$L259)</f>
        <v>1.1764706E-2</v>
      </c>
      <c r="Q162">
        <f>IF([1]species_comp_Region2_forR!$D259&gt;49,[1]species_comp_Region2_forR!$K259,[1]species_comp_Region2_forR!$M259)</f>
        <v>1.3840799999999999E-4</v>
      </c>
      <c r="T162" s="13">
        <f t="shared" si="143"/>
        <v>46.540620797795484</v>
      </c>
      <c r="U162" s="14">
        <f t="shared" si="150"/>
        <v>2587.7803864599882</v>
      </c>
      <c r="V162">
        <f t="shared" si="144"/>
        <v>50.870230847323548</v>
      </c>
      <c r="W162" s="6">
        <f t="shared" si="145"/>
        <v>99.705652460754152</v>
      </c>
      <c r="Y162" s="13">
        <f t="shared" si="146"/>
        <v>202.5406207977955</v>
      </c>
      <c r="Z162">
        <f t="shared" si="147"/>
        <v>2587.7803864599882</v>
      </c>
      <c r="AA162">
        <f t="shared" si="148"/>
        <v>50.870230847323548</v>
      </c>
      <c r="AB162" s="6">
        <f t="shared" si="149"/>
        <v>99.705652460754152</v>
      </c>
      <c r="AC162" s="14">
        <f t="shared" si="174"/>
        <v>0.25116063457764037</v>
      </c>
    </row>
    <row r="163" spans="1:29" x14ac:dyDescent="0.3">
      <c r="A163" t="str">
        <f>'rockfish harvests'!A162</f>
        <v>SC</v>
      </c>
      <c r="B163">
        <f>'rockfish harvests'!B162</f>
        <v>2008</v>
      </c>
      <c r="C163" t="str">
        <f>'rockfish harvests'!C162</f>
        <v>NORTHEAS</v>
      </c>
      <c r="D163">
        <f>'rockfish harvests'!D162</f>
        <v>6260</v>
      </c>
      <c r="E163">
        <v>407</v>
      </c>
      <c r="F163">
        <v>268</v>
      </c>
      <c r="I163" s="13">
        <f t="shared" si="175"/>
        <v>268</v>
      </c>
      <c r="J163">
        <f t="shared" si="140"/>
        <v>0</v>
      </c>
      <c r="K163">
        <f t="shared" si="141"/>
        <v>0</v>
      </c>
      <c r="L163" s="6">
        <f t="shared" si="142"/>
        <v>0</v>
      </c>
      <c r="N163" s="2">
        <f>'rockfish harvests'!O162</f>
        <v>4874.8551336347118</v>
      </c>
      <c r="O163">
        <f>'rockfish harvests'!P162</f>
        <v>2313612.6269270084</v>
      </c>
      <c r="P163">
        <f>IF([1]species_comp_Region2_forR!$D260&gt;49,[1]species_comp_Region2_forR!$J260,[1]species_comp_Region2_forR!$L260)</f>
        <v>1.3333332999999999E-2</v>
      </c>
      <c r="Q163">
        <f>IF([1]species_comp_Region2_forR!$D260&gt;49,[1]species_comp_Region2_forR!$K260,[1]species_comp_Region2_forR!$M260)</f>
        <v>1.7777799999999999E-4</v>
      </c>
      <c r="T163" s="13">
        <f t="shared" si="143"/>
        <v>64.99806682351111</v>
      </c>
      <c r="U163" s="14">
        <f t="shared" si="150"/>
        <v>5047.3724994452605</v>
      </c>
      <c r="V163">
        <f t="shared" si="144"/>
        <v>71.044862583055647</v>
      </c>
      <c r="W163" s="6">
        <f t="shared" si="145"/>
        <v>139.24793066278906</v>
      </c>
      <c r="Y163" s="13">
        <f t="shared" si="146"/>
        <v>332.99806682351112</v>
      </c>
      <c r="Z163">
        <f t="shared" si="147"/>
        <v>5047.3724994452605</v>
      </c>
      <c r="AA163">
        <f t="shared" si="148"/>
        <v>71.044862583055647</v>
      </c>
      <c r="AB163" s="6">
        <f t="shared" si="149"/>
        <v>139.24793066278906</v>
      </c>
      <c r="AC163" s="14">
        <f t="shared" si="174"/>
        <v>0.2133491742482379</v>
      </c>
    </row>
    <row r="164" spans="1:29" x14ac:dyDescent="0.3">
      <c r="A164" t="str">
        <f>'rockfish harvests'!A163</f>
        <v>SC</v>
      </c>
      <c r="B164">
        <f>'rockfish harvests'!B163</f>
        <v>2009</v>
      </c>
      <c r="C164" t="str">
        <f>'rockfish harvests'!C163</f>
        <v>NORTHEAS</v>
      </c>
      <c r="D164">
        <f>'rockfish harvests'!D163</f>
        <v>6369</v>
      </c>
      <c r="E164">
        <v>282</v>
      </c>
      <c r="F164">
        <v>190</v>
      </c>
      <c r="I164" s="13">
        <f t="shared" si="175"/>
        <v>190</v>
      </c>
      <c r="J164">
        <f t="shared" si="140"/>
        <v>0</v>
      </c>
      <c r="K164">
        <f t="shared" si="141"/>
        <v>0</v>
      </c>
      <c r="L164" s="6">
        <f t="shared" si="142"/>
        <v>0</v>
      </c>
      <c r="N164" s="2">
        <f>'rockfish harvests'!O163</f>
        <v>4959.7367965047106</v>
      </c>
      <c r="O164">
        <f>'rockfish harvests'!P163</f>
        <v>2394883.9707024693</v>
      </c>
      <c r="P164">
        <f>IF([1]species_comp_Region2_forR!$D261&gt;49,[1]species_comp_Region2_forR!$J261,[1]species_comp_Region2_forR!$L261)</f>
        <v>0.102941176</v>
      </c>
      <c r="Q164">
        <f>IF([1]species_comp_Region2_forR!$D261&gt;49,[1]species_comp_Region2_forR!$K261,[1]species_comp_Region2_forR!$M261)</f>
        <v>1.378273E-3</v>
      </c>
      <c r="T164" s="13">
        <f t="shared" ref="T164:T203" si="176">N164*P164</f>
        <v>510.56113848266756</v>
      </c>
      <c r="U164" s="14">
        <f t="shared" si="150"/>
        <v>62583.238147068565</v>
      </c>
      <c r="V164">
        <f t="shared" si="144"/>
        <v>250.16642090230368</v>
      </c>
      <c r="W164" s="6">
        <f t="shared" si="145"/>
        <v>490.32618496851524</v>
      </c>
      <c r="Y164" s="13">
        <f t="shared" si="146"/>
        <v>700.5611384826675</v>
      </c>
      <c r="Z164">
        <f t="shared" si="147"/>
        <v>62583.238147068565</v>
      </c>
      <c r="AA164">
        <f t="shared" si="148"/>
        <v>250.16642090230368</v>
      </c>
      <c r="AB164" s="6">
        <f t="shared" si="149"/>
        <v>490.32618496851524</v>
      </c>
      <c r="AC164" s="14">
        <f t="shared" si="174"/>
        <v>0.357094345033375</v>
      </c>
    </row>
    <row r="165" spans="1:29" x14ac:dyDescent="0.3">
      <c r="A165" t="str">
        <f>'rockfish harvests'!A164</f>
        <v>SC</v>
      </c>
      <c r="B165">
        <f>'rockfish harvests'!B164</f>
        <v>2010</v>
      </c>
      <c r="C165" t="str">
        <f>'rockfish harvests'!C164</f>
        <v>NORTHEAS</v>
      </c>
      <c r="D165">
        <f>'rockfish harvests'!D164</f>
        <v>8141</v>
      </c>
      <c r="E165">
        <v>1433</v>
      </c>
      <c r="F165">
        <v>288</v>
      </c>
      <c r="I165" s="13">
        <f t="shared" si="175"/>
        <v>288</v>
      </c>
      <c r="J165">
        <f t="shared" si="140"/>
        <v>0</v>
      </c>
      <c r="K165">
        <f t="shared" si="141"/>
        <v>0</v>
      </c>
      <c r="L165" s="6">
        <f t="shared" si="142"/>
        <v>0</v>
      </c>
      <c r="N165" s="2">
        <f>'rockfish harvests'!O164</f>
        <v>6339.6478662811805</v>
      </c>
      <c r="O165">
        <f>'rockfish harvests'!P164</f>
        <v>3912888.6469779164</v>
      </c>
      <c r="P165" s="32">
        <v>3.0296109000000002E-2</v>
      </c>
      <c r="Q165" s="32">
        <v>7.3547800000000002E-4</v>
      </c>
      <c r="T165" s="13">
        <f t="shared" si="176"/>
        <v>192.06666277847208</v>
      </c>
      <c r="U165" s="14">
        <f t="shared" si="150"/>
        <v>36029.000513301995</v>
      </c>
      <c r="V165">
        <f t="shared" si="144"/>
        <v>189.81306728806106</v>
      </c>
      <c r="W165" s="6">
        <f t="shared" si="145"/>
        <v>372.03361188459968</v>
      </c>
      <c r="Y165" s="13">
        <f t="shared" si="146"/>
        <v>480.06666277847205</v>
      </c>
      <c r="Z165">
        <f t="shared" si="147"/>
        <v>36029.000513301995</v>
      </c>
      <c r="AA165">
        <f t="shared" si="148"/>
        <v>189.81306728806106</v>
      </c>
      <c r="AB165" s="6">
        <f t="shared" si="149"/>
        <v>372.03361188459968</v>
      </c>
      <c r="AC165" s="14">
        <f t="shared" si="174"/>
        <v>0.39538897825040348</v>
      </c>
    </row>
    <row r="166" spans="1:29" x14ac:dyDescent="0.3">
      <c r="A166" t="str">
        <f>'rockfish harvests'!A165</f>
        <v>SC</v>
      </c>
      <c r="B166">
        <f>'rockfish harvests'!B165</f>
        <v>2011</v>
      </c>
      <c r="C166" t="str">
        <f>'rockfish harvests'!C165</f>
        <v>NORTHEAS</v>
      </c>
      <c r="D166">
        <f>'rockfish harvests'!D165</f>
        <v>6904</v>
      </c>
      <c r="E166">
        <v>293</v>
      </c>
      <c r="F166">
        <v>140</v>
      </c>
      <c r="I166" s="13">
        <f t="shared" si="175"/>
        <v>140</v>
      </c>
      <c r="J166">
        <f t="shared" si="140"/>
        <v>0</v>
      </c>
      <c r="K166">
        <f t="shared" si="141"/>
        <v>0</v>
      </c>
      <c r="L166" s="6">
        <f t="shared" si="142"/>
        <v>0</v>
      </c>
      <c r="N166" s="2">
        <f>'rockfish harvests'!O165</f>
        <v>6000.5227354099534</v>
      </c>
      <c r="O166">
        <f>'rockfish harvests'!P165</f>
        <v>2122890.1028359062</v>
      </c>
      <c r="P166">
        <f>IF([1]species_comp_Region2_forR!$D263&gt;49,[1]species_comp_Region2_forR!$J263,[1]species_comp_Region2_forR!$L263)</f>
        <v>4.2253521000000002E-2</v>
      </c>
      <c r="Q166">
        <f>IF([1]species_comp_Region2_forR!$D263&gt;49,[1]species_comp_Region2_forR!$K263,[1]species_comp_Region2_forR!$M263)</f>
        <v>5.7811699999999995E-4</v>
      </c>
      <c r="T166" s="13">
        <f t="shared" si="176"/>
        <v>253.54321341162193</v>
      </c>
      <c r="U166" s="14">
        <f t="shared" si="150"/>
        <v>25833.240594605268</v>
      </c>
      <c r="V166">
        <f t="shared" si="144"/>
        <v>160.72722418621331</v>
      </c>
      <c r="W166" s="6">
        <f t="shared" si="145"/>
        <v>315.02535940497808</v>
      </c>
      <c r="Y166" s="13">
        <f t="shared" si="146"/>
        <v>393.54321341162193</v>
      </c>
      <c r="Z166">
        <f t="shared" si="147"/>
        <v>25833.240594605268</v>
      </c>
      <c r="AA166">
        <f t="shared" si="148"/>
        <v>160.72722418621331</v>
      </c>
      <c r="AB166" s="6">
        <f t="shared" si="149"/>
        <v>315.02535940497808</v>
      </c>
      <c r="AC166" s="14">
        <f t="shared" si="174"/>
        <v>0.40841061085228914</v>
      </c>
    </row>
    <row r="167" spans="1:29" x14ac:dyDescent="0.3">
      <c r="A167" t="str">
        <f>'rockfish harvests'!A166</f>
        <v>SC</v>
      </c>
      <c r="B167">
        <f>'rockfish harvests'!B166</f>
        <v>2012</v>
      </c>
      <c r="C167" t="str">
        <f>'rockfish harvests'!C166</f>
        <v>NORTHEAS</v>
      </c>
      <c r="D167">
        <f>'rockfish harvests'!D166</f>
        <v>6813</v>
      </c>
      <c r="E167">
        <v>556</v>
      </c>
      <c r="F167">
        <v>205</v>
      </c>
      <c r="I167" s="13">
        <f t="shared" si="175"/>
        <v>205</v>
      </c>
      <c r="J167">
        <f t="shared" si="140"/>
        <v>0</v>
      </c>
      <c r="K167">
        <f t="shared" si="141"/>
        <v>0</v>
      </c>
      <c r="L167" s="6">
        <f t="shared" si="142"/>
        <v>0</v>
      </c>
      <c r="N167" s="2">
        <f>'rockfish harvests'!O166</f>
        <v>4938.4793337446008</v>
      </c>
      <c r="O167">
        <f>'rockfish harvests'!P166</f>
        <v>2023168.1052428612</v>
      </c>
      <c r="P167">
        <f>IF([1]species_comp_Region2_forR!$D264&gt;49,[1]species_comp_Region2_forR!$J264,[1]species_comp_Region2_forR!$L264)</f>
        <v>1.3071895E-2</v>
      </c>
      <c r="Q167">
        <f>IF([1]species_comp_Region2_forR!$D264&gt;49,[1]species_comp_Region2_forR!$K264,[1]species_comp_Region2_forR!$M264)</f>
        <v>8.4875099999999997E-5</v>
      </c>
      <c r="T167" s="13">
        <f t="shared" si="176"/>
        <v>64.55528331037938</v>
      </c>
      <c r="U167" s="14">
        <f t="shared" si="150"/>
        <v>2587.4073176413895</v>
      </c>
      <c r="V167">
        <f t="shared" si="144"/>
        <v>50.866563847397728</v>
      </c>
      <c r="W167" s="6">
        <f t="shared" si="145"/>
        <v>99.698465140899543</v>
      </c>
      <c r="Y167" s="13">
        <f t="shared" si="146"/>
        <v>269.55528331037937</v>
      </c>
      <c r="Z167">
        <f t="shared" si="147"/>
        <v>2587.4073176413895</v>
      </c>
      <c r="AA167">
        <f t="shared" si="148"/>
        <v>50.866563847397728</v>
      </c>
      <c r="AB167" s="6">
        <f t="shared" si="149"/>
        <v>99.698465140899543</v>
      </c>
      <c r="AC167" s="14">
        <f t="shared" si="174"/>
        <v>0.18870549752433319</v>
      </c>
    </row>
    <row r="168" spans="1:29" x14ac:dyDescent="0.3">
      <c r="A168" t="str">
        <f>'rockfish harvests'!A167</f>
        <v>SC</v>
      </c>
      <c r="B168">
        <f>'rockfish harvests'!B167</f>
        <v>2013</v>
      </c>
      <c r="C168" t="str">
        <f>'rockfish harvests'!C167</f>
        <v>NORTHEAS</v>
      </c>
      <c r="D168">
        <f>'rockfish harvests'!D167</f>
        <v>9965</v>
      </c>
      <c r="E168">
        <v>638</v>
      </c>
      <c r="F168">
        <v>361</v>
      </c>
      <c r="I168" s="13">
        <f t="shared" si="175"/>
        <v>361</v>
      </c>
      <c r="J168">
        <f t="shared" si="140"/>
        <v>0</v>
      </c>
      <c r="K168">
        <f t="shared" si="141"/>
        <v>0</v>
      </c>
      <c r="L168" s="6">
        <f t="shared" si="142"/>
        <v>0</v>
      </c>
      <c r="N168" s="2">
        <f>'rockfish harvests'!O167</f>
        <v>8625.830039525692</v>
      </c>
      <c r="O168">
        <f>'rockfish harvests'!P167</f>
        <v>4761147.9363994701</v>
      </c>
      <c r="P168">
        <f>IF([1]species_comp_Region2_forR!$D265&gt;49,[1]species_comp_Region2_forR!$J265,[1]species_comp_Region2_forR!$L265)</f>
        <v>3.6809816000000002E-2</v>
      </c>
      <c r="Q168">
        <f>IF([1]species_comp_Region2_forR!$D265&gt;49,[1]species_comp_Region2_forR!$K265,[1]species_comp_Region2_forR!$M265)</f>
        <v>2.1885700000000001E-4</v>
      </c>
      <c r="T168" s="13">
        <f t="shared" si="176"/>
        <v>317.51521660221346</v>
      </c>
      <c r="U168" s="14">
        <f t="shared" si="150"/>
        <v>23777.230522300666</v>
      </c>
      <c r="V168">
        <f t="shared" si="144"/>
        <v>154.1986722455828</v>
      </c>
      <c r="W168" s="6">
        <f t="shared" si="145"/>
        <v>302.22939760134227</v>
      </c>
      <c r="Y168" s="13">
        <f t="shared" si="146"/>
        <v>678.51521660221351</v>
      </c>
      <c r="Z168">
        <f t="shared" si="147"/>
        <v>23777.230522300666</v>
      </c>
      <c r="AA168">
        <f t="shared" si="148"/>
        <v>154.1986722455828</v>
      </c>
      <c r="AB168" s="6">
        <f t="shared" si="149"/>
        <v>302.22939760134227</v>
      </c>
      <c r="AC168" s="14">
        <f t="shared" si="174"/>
        <v>0.22725897440850371</v>
      </c>
    </row>
    <row r="169" spans="1:29" x14ac:dyDescent="0.3">
      <c r="A169" t="str">
        <f>'rockfish harvests'!A168</f>
        <v>SC</v>
      </c>
      <c r="B169">
        <f>'rockfish harvests'!B168</f>
        <v>2014</v>
      </c>
      <c r="C169" t="str">
        <f>'rockfish harvests'!C168</f>
        <v>NORTHEAS</v>
      </c>
      <c r="D169">
        <f>'rockfish harvests'!D168</f>
        <v>11896</v>
      </c>
      <c r="E169">
        <v>1536</v>
      </c>
      <c r="F169">
        <v>392</v>
      </c>
      <c r="I169" s="13">
        <f t="shared" si="175"/>
        <v>392</v>
      </c>
      <c r="J169">
        <f t="shared" si="140"/>
        <v>0</v>
      </c>
      <c r="K169">
        <f t="shared" si="141"/>
        <v>0</v>
      </c>
      <c r="L169" s="6">
        <f t="shared" si="142"/>
        <v>0</v>
      </c>
      <c r="N169" s="2">
        <f>'rockfish harvests'!O168</f>
        <v>5411.0074000986679</v>
      </c>
      <c r="O169">
        <f>'rockfish harvests'!P168</f>
        <v>1633143.8585763292</v>
      </c>
      <c r="P169">
        <f>IF([1]species_comp_Region2_forR!$D266&gt;49,[1]species_comp_Region2_forR!$J266,[1]species_comp_Region2_forR!$L266)</f>
        <v>7.9365079000000005E-2</v>
      </c>
      <c r="Q169">
        <f>IF([1]species_comp_Region2_forR!$D266&gt;49,[1]species_comp_Region2_forR!$K266,[1]species_comp_Region2_forR!$M266)</f>
        <v>5.8452999999999999E-4</v>
      </c>
      <c r="T169" s="13">
        <f t="shared" si="176"/>
        <v>429.4450297784154</v>
      </c>
      <c r="U169" s="14">
        <f t="shared" si="150"/>
        <v>28355.948365623633</v>
      </c>
      <c r="V169">
        <f t="shared" si="144"/>
        <v>168.3922455626257</v>
      </c>
      <c r="W169" s="6">
        <f t="shared" si="145"/>
        <v>330.04880130274637</v>
      </c>
      <c r="Y169" s="13">
        <f t="shared" si="146"/>
        <v>821.44502977841535</v>
      </c>
      <c r="Z169">
        <f t="shared" si="147"/>
        <v>28355.948365623633</v>
      </c>
      <c r="AA169">
        <f t="shared" si="148"/>
        <v>168.3922455626257</v>
      </c>
      <c r="AB169" s="6">
        <f t="shared" si="149"/>
        <v>330.04880130274637</v>
      </c>
      <c r="AC169" s="14">
        <f t="shared" si="174"/>
        <v>0.20499514813310085</v>
      </c>
    </row>
    <row r="170" spans="1:29" x14ac:dyDescent="0.3">
      <c r="A170" t="str">
        <f>'rockfish harvests'!A169</f>
        <v>SC</v>
      </c>
      <c r="B170">
        <f>'rockfish harvests'!B169</f>
        <v>2015</v>
      </c>
      <c r="C170" t="str">
        <f>'rockfish harvests'!C169</f>
        <v>NORTHEAS</v>
      </c>
      <c r="D170">
        <f>'rockfish harvests'!D169</f>
        <v>12377</v>
      </c>
      <c r="E170">
        <v>578</v>
      </c>
      <c r="F170">
        <v>394</v>
      </c>
      <c r="I170" s="13">
        <f t="shared" si="175"/>
        <v>394</v>
      </c>
      <c r="J170">
        <f t="shared" si="140"/>
        <v>0</v>
      </c>
      <c r="K170">
        <f t="shared" si="141"/>
        <v>0</v>
      </c>
      <c r="L170" s="6">
        <f t="shared" si="142"/>
        <v>0</v>
      </c>
      <c r="N170" s="2">
        <f>'rockfish harvests'!O169</f>
        <v>10776.477406902814</v>
      </c>
      <c r="O170">
        <f>'rockfish harvests'!P169</f>
        <v>10110394.020791385</v>
      </c>
      <c r="P170">
        <f>IF([1]species_comp_Region2_forR!$D267&gt;49,[1]species_comp_Region2_forR!$J267,[1]species_comp_Region2_forR!$L267)</f>
        <v>2.8947368000000001E-2</v>
      </c>
      <c r="Q170">
        <f>IF([1]species_comp_Region2_forR!$D267&gt;49,[1]species_comp_Region2_forR!$K267,[1]species_comp_Region2_forR!$M267)</f>
        <v>7.4167300000000004E-5</v>
      </c>
      <c r="T170" s="13">
        <f t="shared" si="176"/>
        <v>311.95065724130149</v>
      </c>
      <c r="U170" s="14">
        <f t="shared" si="150"/>
        <v>17835.097843808573</v>
      </c>
      <c r="V170">
        <f t="shared" si="144"/>
        <v>133.54811059617643</v>
      </c>
      <c r="W170" s="6">
        <f t="shared" si="145"/>
        <v>261.75429676850581</v>
      </c>
      <c r="Y170" s="13">
        <f t="shared" si="146"/>
        <v>705.95065724130154</v>
      </c>
      <c r="Z170">
        <f t="shared" si="147"/>
        <v>17835.097843808573</v>
      </c>
      <c r="AA170">
        <f t="shared" si="148"/>
        <v>133.54811059617643</v>
      </c>
      <c r="AB170" s="6">
        <f t="shared" si="149"/>
        <v>261.75429676850581</v>
      </c>
      <c r="AC170" s="14">
        <f t="shared" si="174"/>
        <v>0.18917485128217432</v>
      </c>
    </row>
    <row r="171" spans="1:29" x14ac:dyDescent="0.3">
      <c r="A171" t="str">
        <f>'rockfish harvests'!A170</f>
        <v>SC</v>
      </c>
      <c r="B171">
        <f>'rockfish harvests'!B170</f>
        <v>2016</v>
      </c>
      <c r="C171" t="str">
        <f>'rockfish harvests'!C170</f>
        <v>NORTHEAS</v>
      </c>
      <c r="D171">
        <f>'rockfish harvests'!D170</f>
        <v>13580</v>
      </c>
      <c r="E171">
        <v>719</v>
      </c>
      <c r="F171">
        <v>425</v>
      </c>
      <c r="I171" s="13">
        <f t="shared" si="175"/>
        <v>425</v>
      </c>
      <c r="J171">
        <f t="shared" si="140"/>
        <v>0</v>
      </c>
      <c r="K171">
        <f t="shared" si="141"/>
        <v>0</v>
      </c>
      <c r="L171" s="6">
        <f t="shared" si="142"/>
        <v>0</v>
      </c>
      <c r="N171" s="2">
        <f>'rockfish harvests'!O170</f>
        <v>14147.366319691999</v>
      </c>
      <c r="O171">
        <f>'rockfish harvests'!P170</f>
        <v>22590691.391820997</v>
      </c>
      <c r="P171">
        <f>IF([1]species_comp_Region2_forR!$D268&gt;49,[1]species_comp_Region2_forR!$J268,[1]species_comp_Region2_forR!$L268)</f>
        <v>1.5625E-2</v>
      </c>
      <c r="Q171">
        <f>IF([1]species_comp_Region2_forR!$D268&gt;49,[1]species_comp_Region2_forR!$K268,[1]species_comp_Region2_forR!$M268)</f>
        <v>4.82159E-5</v>
      </c>
      <c r="T171" s="13">
        <f t="shared" si="176"/>
        <v>221.05259874518748</v>
      </c>
      <c r="U171" s="14">
        <f t="shared" si="150"/>
        <v>16254.850721810735</v>
      </c>
      <c r="V171">
        <f t="shared" si="144"/>
        <v>127.49451251646376</v>
      </c>
      <c r="W171" s="6">
        <f t="shared" si="145"/>
        <v>249.88924453226895</v>
      </c>
      <c r="Y171" s="13">
        <f t="shared" si="146"/>
        <v>646.05259874518742</v>
      </c>
      <c r="Z171">
        <f t="shared" si="147"/>
        <v>16254.850721810735</v>
      </c>
      <c r="AA171">
        <f t="shared" si="148"/>
        <v>127.49451251646376</v>
      </c>
      <c r="AB171" s="6">
        <f t="shared" si="149"/>
        <v>249.88924453226895</v>
      </c>
      <c r="AC171" s="14">
        <f t="shared" si="174"/>
        <v>0.19734385832375462</v>
      </c>
    </row>
    <row r="172" spans="1:29" x14ac:dyDescent="0.3">
      <c r="A172" t="str">
        <f>'rockfish harvests'!A171</f>
        <v>SC</v>
      </c>
      <c r="B172">
        <f>'rockfish harvests'!B171</f>
        <v>2017</v>
      </c>
      <c r="C172" t="str">
        <f>'rockfish harvests'!C171</f>
        <v>NORTHEAS</v>
      </c>
      <c r="D172">
        <f>'rockfish harvests'!D171</f>
        <v>6719</v>
      </c>
      <c r="E172">
        <v>241</v>
      </c>
      <c r="F172">
        <v>176</v>
      </c>
      <c r="I172" s="13">
        <f t="shared" si="175"/>
        <v>176</v>
      </c>
      <c r="J172">
        <f t="shared" si="140"/>
        <v>0</v>
      </c>
      <c r="K172">
        <f t="shared" si="141"/>
        <v>0</v>
      </c>
      <c r="L172" s="6">
        <f t="shared" si="142"/>
        <v>0</v>
      </c>
      <c r="N172" s="2">
        <f>'rockfish harvests'!O171</f>
        <v>3758.2825709322533</v>
      </c>
      <c r="O172">
        <f>'rockfish harvests'!P171</f>
        <v>1035822.3149322054</v>
      </c>
      <c r="P172">
        <f>IF([1]species_comp_Region2_forR!$D269&gt;49,[1]species_comp_Region2_forR!$J269,[1]species_comp_Region2_forR!$L269)</f>
        <v>1.8181817999999999E-2</v>
      </c>
      <c r="Q172">
        <f>IF([1]species_comp_Region2_forR!$D269&gt;49,[1]species_comp_Region2_forR!$K269,[1]species_comp_Region2_forR!$M269)</f>
        <v>5.4259099999999997E-5</v>
      </c>
      <c r="T172" s="13">
        <f t="shared" si="176"/>
        <v>68.332409697262321</v>
      </c>
      <c r="U172" s="14">
        <f t="shared" si="150"/>
        <v>1165.0162320083427</v>
      </c>
      <c r="V172">
        <f t="shared" si="144"/>
        <v>34.132334113100775</v>
      </c>
      <c r="W172" s="6">
        <f t="shared" si="145"/>
        <v>66.899374861677515</v>
      </c>
      <c r="Y172" s="13">
        <f t="shared" si="146"/>
        <v>244.33240969726234</v>
      </c>
      <c r="Z172">
        <f t="shared" si="147"/>
        <v>1165.0162320083427</v>
      </c>
      <c r="AA172">
        <f t="shared" si="148"/>
        <v>34.132334113100775</v>
      </c>
      <c r="AB172" s="6">
        <f t="shared" si="149"/>
        <v>66.899374861677515</v>
      </c>
      <c r="AC172" s="14">
        <f t="shared" si="174"/>
        <v>0.13969630208039985</v>
      </c>
    </row>
    <row r="173" spans="1:29" x14ac:dyDescent="0.3">
      <c r="A173" t="str">
        <f>'rockfish harvests'!A172</f>
        <v>SC</v>
      </c>
      <c r="B173">
        <f>'rockfish harvests'!B172</f>
        <v>2018</v>
      </c>
      <c r="C173" t="str">
        <f>'rockfish harvests'!C172</f>
        <v>NORTHEAS</v>
      </c>
      <c r="D173">
        <f>'rockfish harvests'!D172</f>
        <v>8479</v>
      </c>
      <c r="E173">
        <v>316</v>
      </c>
      <c r="F173">
        <v>209</v>
      </c>
      <c r="I173" s="13">
        <f t="shared" si="175"/>
        <v>209</v>
      </c>
      <c r="J173">
        <f t="shared" si="140"/>
        <v>0</v>
      </c>
      <c r="K173">
        <f t="shared" si="141"/>
        <v>0</v>
      </c>
      <c r="L173" s="6">
        <f t="shared" si="142"/>
        <v>0</v>
      </c>
      <c r="N173" s="2">
        <f>'rockfish harvests'!O172</f>
        <v>8690.7789084181313</v>
      </c>
      <c r="O173">
        <f>'rockfish harvests'!P172</f>
        <v>6090869.3085533688</v>
      </c>
      <c r="P173">
        <f>IF([1]species_comp_Region2_forR!$D270&gt;49,[1]species_comp_Region2_forR!$J270,[1]species_comp_Region2_forR!$L270)</f>
        <v>2.006689E-2</v>
      </c>
      <c r="Q173">
        <f>IF([1]species_comp_Region2_forR!$D270&gt;49,[1]species_comp_Region2_forR!$K270,[1]species_comp_Region2_forR!$M270)</f>
        <v>6.5987299999999998E-5</v>
      </c>
      <c r="T173" s="13">
        <f t="shared" si="176"/>
        <v>174.39690436954672</v>
      </c>
      <c r="U173" s="14">
        <f t="shared" si="150"/>
        <v>7838.5886097815437</v>
      </c>
      <c r="V173">
        <f t="shared" si="144"/>
        <v>88.535804112130492</v>
      </c>
      <c r="W173" s="6">
        <f t="shared" si="145"/>
        <v>173.53017605977575</v>
      </c>
      <c r="Y173" s="13">
        <f t="shared" si="146"/>
        <v>383.39690436954675</v>
      </c>
      <c r="Z173">
        <f t="shared" si="147"/>
        <v>7838.5886097815437</v>
      </c>
      <c r="AA173">
        <f t="shared" si="148"/>
        <v>88.535804112130492</v>
      </c>
      <c r="AB173" s="6">
        <f t="shared" si="149"/>
        <v>173.53017605977575</v>
      </c>
      <c r="AC173" s="14">
        <f t="shared" si="174"/>
        <v>0.23092467128214741</v>
      </c>
    </row>
    <row r="174" spans="1:29" x14ac:dyDescent="0.3">
      <c r="A174" t="str">
        <f>'rockfish harvests'!A173</f>
        <v>SC</v>
      </c>
      <c r="B174">
        <f>'rockfish harvests'!B173</f>
        <v>2019</v>
      </c>
      <c r="C174" t="str">
        <f>'rockfish harvests'!C173</f>
        <v>NORTHEAS</v>
      </c>
      <c r="D174">
        <f>'rockfish harvests'!D173</f>
        <v>9881</v>
      </c>
      <c r="E174">
        <v>435</v>
      </c>
      <c r="F174">
        <v>277</v>
      </c>
      <c r="I174" s="13">
        <f>F174</f>
        <v>277</v>
      </c>
      <c r="J174">
        <f>(E174^2)*H174</f>
        <v>0</v>
      </c>
      <c r="K174">
        <f>SQRT(J174)</f>
        <v>0</v>
      </c>
      <c r="L174" s="6">
        <f>(1.96*K174)</f>
        <v>0</v>
      </c>
      <c r="N174" s="2">
        <f>'rockfish harvests'!O173</f>
        <v>10303.660072182862</v>
      </c>
      <c r="O174">
        <f>'rockfish harvests'!P173</f>
        <v>5030013.8598571327</v>
      </c>
      <c r="P174">
        <f>IF([1]species_comp_Region2_forR!$D271&gt;49,[1]species_comp_Region2_forR!$J271,[1]species_comp_Region2_forR!$L271)</f>
        <v>3.7499999999999999E-2</v>
      </c>
      <c r="Q174">
        <f>IF([1]species_comp_Region2_forR!$D271&gt;49,[1]species_comp_Region2_forR!$K271,[1]species_comp_Region2_forR!$M271)</f>
        <v>1.5102E-4</v>
      </c>
      <c r="T174" s="13">
        <f>N174*P174</f>
        <v>386.38725270685728</v>
      </c>
      <c r="U174" s="14">
        <f t="shared" si="150"/>
        <v>23866.190035104777</v>
      </c>
      <c r="V174">
        <f>SQRT(U174)</f>
        <v>154.48686039629641</v>
      </c>
      <c r="W174" s="6">
        <f>(1.96*V174)</f>
        <v>302.79424637674094</v>
      </c>
      <c r="Y174" s="13">
        <f>T174+I174</f>
        <v>663.38725270685723</v>
      </c>
      <c r="Z174">
        <f>U174+J174</f>
        <v>23866.190035104777</v>
      </c>
      <c r="AA174">
        <f>SQRT(Z174)</f>
        <v>154.48686039629641</v>
      </c>
      <c r="AB174" s="6">
        <f>(1.96*AA174)</f>
        <v>302.79424637674094</v>
      </c>
      <c r="AC174" s="14">
        <f t="shared" si="174"/>
        <v>0.23287583499070078</v>
      </c>
    </row>
    <row r="175" spans="1:29" x14ac:dyDescent="0.3">
      <c r="A175" t="str">
        <f>'rockfish harvests'!A174</f>
        <v>SC</v>
      </c>
      <c r="B175">
        <f>'rockfish harvests'!B174</f>
        <v>2020</v>
      </c>
      <c r="C175" t="str">
        <f>'rockfish harvests'!C174</f>
        <v>NORTHEAS</v>
      </c>
      <c r="D175">
        <f>'rockfish harvests'!D174</f>
        <v>4479</v>
      </c>
      <c r="E175">
        <v>296</v>
      </c>
      <c r="F175">
        <v>227</v>
      </c>
      <c r="I175" s="13">
        <f t="shared" ref="I175:I177" si="177">F175</f>
        <v>227</v>
      </c>
      <c r="J175">
        <f t="shared" ref="J175:J177" si="178">(E175^2)*H175</f>
        <v>0</v>
      </c>
      <c r="K175">
        <f t="shared" ref="K175:K177" si="179">SQRT(J175)</f>
        <v>0</v>
      </c>
      <c r="L175" s="6">
        <f t="shared" ref="L175:L177" si="180">(1.96*K175)</f>
        <v>0</v>
      </c>
      <c r="N175" s="2">
        <f>'rockfish harvests'!O174</f>
        <v>5425.9695845697333</v>
      </c>
      <c r="O175">
        <f>'rockfish harvests'!P174</f>
        <v>2642689.7102351333</v>
      </c>
      <c r="P175">
        <v>7.407407407407407E-2</v>
      </c>
      <c r="Q175">
        <v>6.4100098714152019E-4</v>
      </c>
      <c r="T175" s="13">
        <f t="shared" ref="T175:T176" si="181">N175*P175</f>
        <v>401.92367293109135</v>
      </c>
      <c r="U175" s="14">
        <f t="shared" si="150"/>
        <v>35066.125381410791</v>
      </c>
      <c r="V175">
        <f t="shared" ref="V175:V176" si="182">SQRT(U175)</f>
        <v>187.25951346036013</v>
      </c>
      <c r="W175" s="6">
        <f t="shared" ref="W175:W176" si="183">(1.96*V175)</f>
        <v>367.02864638230585</v>
      </c>
      <c r="Y175" s="13">
        <f t="shared" ref="Y175:Y176" si="184">T175+I175</f>
        <v>628.92367293109135</v>
      </c>
      <c r="Z175">
        <f t="shared" ref="Z175:Z176" si="185">U175+J175</f>
        <v>35066.125381410791</v>
      </c>
      <c r="AA175">
        <f t="shared" ref="AA175:AA176" si="186">SQRT(Z175)</f>
        <v>187.25951346036013</v>
      </c>
      <c r="AB175" s="6">
        <f t="shared" ref="AB175:AB176" si="187">(1.96*AA175)</f>
        <v>367.02864638230585</v>
      </c>
      <c r="AC175" s="14">
        <f t="shared" ref="AC175:AC176" si="188">AA175/Y175</f>
        <v>0.2977460088084129</v>
      </c>
    </row>
    <row r="176" spans="1:29" x14ac:dyDescent="0.3">
      <c r="A176" t="str">
        <f>'rockfish harvests'!A175</f>
        <v>SC</v>
      </c>
      <c r="B176">
        <f>'rockfish harvests'!B175</f>
        <v>2021</v>
      </c>
      <c r="C176" t="str">
        <f>'rockfish harvests'!C175</f>
        <v>NORTHEAS</v>
      </c>
      <c r="D176">
        <f>'rockfish harvests'!D175</f>
        <v>9680</v>
      </c>
      <c r="E176">
        <v>701</v>
      </c>
      <c r="F176">
        <v>421</v>
      </c>
      <c r="I176" s="13">
        <f t="shared" si="177"/>
        <v>421</v>
      </c>
      <c r="J176">
        <f t="shared" si="178"/>
        <v>0</v>
      </c>
      <c r="K176">
        <f t="shared" si="179"/>
        <v>0</v>
      </c>
      <c r="L176" s="6">
        <f t="shared" si="180"/>
        <v>0</v>
      </c>
      <c r="N176" s="2">
        <f>'rockfish harvests'!O175</f>
        <v>6922.7471252241812</v>
      </c>
      <c r="O176">
        <f>'rockfish harvests'!P175</f>
        <v>2666714.9901529583</v>
      </c>
      <c r="P176">
        <v>4.9019607843137254E-3</v>
      </c>
      <c r="Q176">
        <v>2.4029219530949632E-5</v>
      </c>
      <c r="T176" s="13">
        <f t="shared" si="181"/>
        <v>33.935034927569518</v>
      </c>
      <c r="U176" s="14">
        <f t="shared" si="150"/>
        <v>1279.744755385082</v>
      </c>
      <c r="V176">
        <f t="shared" si="182"/>
        <v>35.77352031021104</v>
      </c>
      <c r="W176" s="6">
        <f t="shared" si="183"/>
        <v>70.116099808013644</v>
      </c>
      <c r="Y176" s="13">
        <f t="shared" si="184"/>
        <v>454.93503492756952</v>
      </c>
      <c r="Z176">
        <f t="shared" si="185"/>
        <v>1279.744755385082</v>
      </c>
      <c r="AA176">
        <f t="shared" si="186"/>
        <v>35.77352031021104</v>
      </c>
      <c r="AB176" s="6">
        <f t="shared" si="187"/>
        <v>70.116099808013644</v>
      </c>
      <c r="AC176" s="14">
        <f t="shared" si="188"/>
        <v>7.8634349003053952E-2</v>
      </c>
    </row>
    <row r="177" spans="1:29" s="51" customFormat="1" x14ac:dyDescent="0.3">
      <c r="A177" s="51" t="s">
        <v>81</v>
      </c>
      <c r="B177" s="51">
        <v>2022</v>
      </c>
      <c r="C177" s="51" t="s">
        <v>50</v>
      </c>
      <c r="D177" s="6">
        <v>10973</v>
      </c>
      <c r="E177" s="51">
        <v>622</v>
      </c>
      <c r="F177" s="51">
        <v>362</v>
      </c>
      <c r="I177" s="71">
        <f t="shared" si="177"/>
        <v>362</v>
      </c>
      <c r="J177" s="51">
        <f t="shared" si="178"/>
        <v>0</v>
      </c>
      <c r="K177" s="51">
        <f t="shared" si="179"/>
        <v>0</v>
      </c>
      <c r="L177" s="78">
        <f t="shared" si="180"/>
        <v>0</v>
      </c>
      <c r="N177" s="2">
        <f>'rockfish harvests'!O176</f>
        <v>3514.0968005724208</v>
      </c>
      <c r="O177">
        <f>'rockfish harvests'!P176</f>
        <v>1054686.774762708</v>
      </c>
      <c r="P177" s="90">
        <v>1.7857142999999999E-2</v>
      </c>
      <c r="Q177">
        <v>1.58002E-4</v>
      </c>
      <c r="T177" s="13">
        <f t="shared" ref="T177" si="189">N177*P177</f>
        <v>62.751729083664195</v>
      </c>
      <c r="U177" s="14">
        <f t="shared" si="150"/>
        <v>2454.1057179090503</v>
      </c>
      <c r="V177">
        <f t="shared" ref="V177" si="190">SQRT(U177)</f>
        <v>49.538931335960918</v>
      </c>
      <c r="W177" s="6">
        <f t="shared" ref="W177" si="191">(1.96*V177)</f>
        <v>97.096305418483396</v>
      </c>
      <c r="X177"/>
      <c r="Y177" s="13">
        <f t="shared" ref="Y177" si="192">T177+I177</f>
        <v>424.7517290836642</v>
      </c>
      <c r="Z177">
        <f t="shared" ref="Z177" si="193">U177+J177</f>
        <v>2454.1057179090503</v>
      </c>
      <c r="AA177">
        <f t="shared" ref="AA177" si="194">SQRT(Z177)</f>
        <v>49.538931335960918</v>
      </c>
      <c r="AB177" s="6">
        <f t="shared" ref="AB177" si="195">(1.96*AA177)</f>
        <v>97.096305418483396</v>
      </c>
      <c r="AC177" s="14">
        <f t="shared" ref="AC177" si="196">AA177/Y177</f>
        <v>0.11663032294849854</v>
      </c>
    </row>
    <row r="178" spans="1:29" x14ac:dyDescent="0.3">
      <c r="A178" t="str">
        <f>'rockfish harvests'!A177</f>
        <v>SC</v>
      </c>
      <c r="B178">
        <f>'rockfish harvests'!B177</f>
        <v>1998</v>
      </c>
      <c r="C178" t="str">
        <f>'rockfish harvests'!C177</f>
        <v>PWSI</v>
      </c>
      <c r="D178">
        <f>'rockfish harvests'!D177</f>
        <v>3821</v>
      </c>
      <c r="E178">
        <v>1723</v>
      </c>
      <c r="F178" t="s">
        <v>159</v>
      </c>
      <c r="G178">
        <v>0.81819702999999999</v>
      </c>
      <c r="H178">
        <v>1.430295E-3</v>
      </c>
      <c r="I178" s="13">
        <f t="shared" ref="I178:I185" si="197">E178*G178</f>
        <v>1409.7534826900001</v>
      </c>
      <c r="J178">
        <f t="shared" si="140"/>
        <v>4246.1582450550004</v>
      </c>
      <c r="K178">
        <f t="shared" si="141"/>
        <v>65.16255247498367</v>
      </c>
      <c r="L178" s="6">
        <f t="shared" si="142"/>
        <v>127.718602850968</v>
      </c>
      <c r="N178" s="2">
        <f>'rockfish harvests'!O177</f>
        <v>9768.3550806147941</v>
      </c>
      <c r="O178">
        <f>'rockfish harvests'!P177</f>
        <v>8755809.3695013113</v>
      </c>
      <c r="P178" s="32">
        <v>0.29826472199999998</v>
      </c>
      <c r="Q178" s="32">
        <v>3.0740847000000002E-2</v>
      </c>
      <c r="T178" s="13">
        <f t="shared" si="176"/>
        <v>2913.5557125168589</v>
      </c>
      <c r="U178" s="14">
        <f t="shared" si="150"/>
        <v>3981408.9607644421</v>
      </c>
      <c r="V178">
        <f t="shared" si="144"/>
        <v>1995.3468271868032</v>
      </c>
      <c r="W178" s="6">
        <f t="shared" si="145"/>
        <v>3910.8797812861344</v>
      </c>
      <c r="Y178" s="13">
        <f t="shared" si="146"/>
        <v>4323.3091952068589</v>
      </c>
      <c r="Z178">
        <f t="shared" si="147"/>
        <v>3985655.1190094971</v>
      </c>
      <c r="AA178">
        <f t="shared" si="148"/>
        <v>1996.410558730217</v>
      </c>
      <c r="AB178" s="6">
        <f t="shared" si="149"/>
        <v>3912.964695111225</v>
      </c>
      <c r="AC178" s="14">
        <f>AA178/Y178</f>
        <v>0.46177834352990199</v>
      </c>
    </row>
    <row r="179" spans="1:29" x14ac:dyDescent="0.3">
      <c r="A179" t="str">
        <f>'rockfish harvests'!A178</f>
        <v>SC</v>
      </c>
      <c r="B179">
        <f>'rockfish harvests'!B178</f>
        <v>1999</v>
      </c>
      <c r="C179" t="str">
        <f>'rockfish harvests'!C178</f>
        <v>PWSI</v>
      </c>
      <c r="D179">
        <f>'rockfish harvests'!D178</f>
        <v>4514</v>
      </c>
      <c r="E179">
        <v>1905</v>
      </c>
      <c r="F179" t="s">
        <v>159</v>
      </c>
      <c r="G179">
        <v>0.70560085500000003</v>
      </c>
      <c r="H179">
        <v>8.2105999999999998E-4</v>
      </c>
      <c r="I179" s="13">
        <f t="shared" si="197"/>
        <v>1344.1696287750001</v>
      </c>
      <c r="J179">
        <f t="shared" si="140"/>
        <v>2979.6472665000001</v>
      </c>
      <c r="K179">
        <f t="shared" si="141"/>
        <v>54.586145371330261</v>
      </c>
      <c r="L179" s="6">
        <f t="shared" si="142"/>
        <v>106.98884492780731</v>
      </c>
      <c r="N179" s="2">
        <f>'rockfish harvests'!O178</f>
        <v>11540.003882202349</v>
      </c>
      <c r="O179">
        <f>'rockfish harvests'!P178</f>
        <v>12219834.714956973</v>
      </c>
      <c r="P179">
        <v>0.42359815299999998</v>
      </c>
      <c r="Q179">
        <v>1.265092E-3</v>
      </c>
      <c r="T179" s="13">
        <f t="shared" si="176"/>
        <v>4888.3243301137445</v>
      </c>
      <c r="U179" s="14">
        <f t="shared" si="150"/>
        <v>2376604.5259428523</v>
      </c>
      <c r="V179">
        <f t="shared" si="144"/>
        <v>1541.6239898051833</v>
      </c>
      <c r="W179" s="6">
        <f t="shared" si="145"/>
        <v>3021.5830200181595</v>
      </c>
      <c r="Y179" s="13">
        <f t="shared" si="146"/>
        <v>6232.4939588887446</v>
      </c>
      <c r="Z179">
        <f t="shared" si="147"/>
        <v>2379584.1732093524</v>
      </c>
      <c r="AA179">
        <f t="shared" si="148"/>
        <v>1542.5900859299441</v>
      </c>
      <c r="AB179" s="6">
        <f t="shared" si="149"/>
        <v>3023.4765684226904</v>
      </c>
      <c r="AC179" s="14">
        <f t="shared" ref="AC179:AC253" si="198">AA179/Y179</f>
        <v>0.24750767447273841</v>
      </c>
    </row>
    <row r="180" spans="1:29" x14ac:dyDescent="0.3">
      <c r="A180" t="str">
        <f>'rockfish harvests'!A179</f>
        <v>SC</v>
      </c>
      <c r="B180">
        <f>'rockfish harvests'!B179</f>
        <v>2000</v>
      </c>
      <c r="C180" t="str">
        <f>'rockfish harvests'!C179</f>
        <v>PWSI</v>
      </c>
      <c r="D180">
        <f>'rockfish harvests'!D179</f>
        <v>6011</v>
      </c>
      <c r="E180">
        <v>2620</v>
      </c>
      <c r="F180" t="s">
        <v>159</v>
      </c>
      <c r="G180">
        <v>0.48587041600000003</v>
      </c>
      <c r="H180">
        <v>9.2518600000000004E-4</v>
      </c>
      <c r="I180" s="13">
        <f t="shared" si="197"/>
        <v>1272.9804899200001</v>
      </c>
      <c r="J180">
        <f t="shared" si="140"/>
        <v>6350.8467784000004</v>
      </c>
      <c r="K180">
        <f t="shared" si="141"/>
        <v>79.692200235656685</v>
      </c>
      <c r="L180" s="6">
        <f t="shared" si="142"/>
        <v>156.1967124618871</v>
      </c>
      <c r="N180" s="2">
        <f>'rockfish harvests'!O179</f>
        <v>15367.072072644733</v>
      </c>
      <c r="O180">
        <f>'rockfish harvests'!P179</f>
        <v>21668840.765019432</v>
      </c>
      <c r="P180">
        <v>0.190055742</v>
      </c>
      <c r="Q180">
        <v>8.7462800000000002E-4</v>
      </c>
      <c r="T180" s="13">
        <f t="shared" si="176"/>
        <v>2920.6002851339726</v>
      </c>
      <c r="U180" s="14">
        <f t="shared" si="150"/>
        <v>1008197.0767517495</v>
      </c>
      <c r="V180">
        <f t="shared" si="144"/>
        <v>1004.0901736157712</v>
      </c>
      <c r="W180" s="6">
        <f t="shared" si="145"/>
        <v>1968.0167402869115</v>
      </c>
      <c r="Y180" s="13">
        <f t="shared" si="146"/>
        <v>4193.5807750539725</v>
      </c>
      <c r="Z180">
        <f t="shared" si="147"/>
        <v>1014547.9235301495</v>
      </c>
      <c r="AA180">
        <f t="shared" si="148"/>
        <v>1007.2476972076678</v>
      </c>
      <c r="AB180" s="6">
        <f t="shared" si="149"/>
        <v>1974.2054865270288</v>
      </c>
      <c r="AC180" s="14">
        <f t="shared" si="198"/>
        <v>0.24018798044845202</v>
      </c>
    </row>
    <row r="181" spans="1:29" x14ac:dyDescent="0.3">
      <c r="A181" t="str">
        <f>'rockfish harvests'!A180</f>
        <v>SC</v>
      </c>
      <c r="B181">
        <f>'rockfish harvests'!B180</f>
        <v>2001</v>
      </c>
      <c r="C181" t="str">
        <f>'rockfish harvests'!C180</f>
        <v>PWSI</v>
      </c>
      <c r="D181">
        <f>'rockfish harvests'!D180</f>
        <v>7036</v>
      </c>
      <c r="E181">
        <v>2827</v>
      </c>
      <c r="F181" t="s">
        <v>159</v>
      </c>
      <c r="G181">
        <v>0.51894945100000001</v>
      </c>
      <c r="H181">
        <v>1.2118490000000001E-3</v>
      </c>
      <c r="I181" s="13">
        <f t="shared" si="197"/>
        <v>1467.0700979769999</v>
      </c>
      <c r="J181">
        <f t="shared" si="140"/>
        <v>9685.0111667210003</v>
      </c>
      <c r="K181">
        <f t="shared" si="141"/>
        <v>98.412454327290305</v>
      </c>
      <c r="L181" s="6">
        <f t="shared" si="142"/>
        <v>192.88841048148899</v>
      </c>
      <c r="N181" s="2">
        <f>'rockfish harvests'!O180</f>
        <v>17987.476144256918</v>
      </c>
      <c r="O181">
        <f>'rockfish harvests'!P180</f>
        <v>29688884.747428846</v>
      </c>
      <c r="P181">
        <v>0.80829467899999996</v>
      </c>
      <c r="Q181">
        <v>6.4030700000000001E-4</v>
      </c>
      <c r="T181" s="13">
        <f t="shared" si="176"/>
        <v>14539.181256042302</v>
      </c>
      <c r="U181" s="14">
        <f t="shared" si="150"/>
        <v>19623125.395350546</v>
      </c>
      <c r="V181">
        <f t="shared" si="144"/>
        <v>4429.7997014933471</v>
      </c>
      <c r="W181" s="6">
        <f t="shared" si="145"/>
        <v>8682.40741492696</v>
      </c>
      <c r="Y181" s="13">
        <f t="shared" ref="Y181:Y223" si="199">T181+I181</f>
        <v>16006.251354019303</v>
      </c>
      <c r="Z181">
        <f t="shared" ref="Z181:Z223" si="200">U181+J181</f>
        <v>19632810.406517267</v>
      </c>
      <c r="AA181">
        <f t="shared" si="148"/>
        <v>4430.8927324544056</v>
      </c>
      <c r="AB181" s="6">
        <f t="shared" si="149"/>
        <v>8684.5497556106347</v>
      </c>
      <c r="AC181" s="14">
        <f t="shared" si="198"/>
        <v>0.27682263850878308</v>
      </c>
    </row>
    <row r="182" spans="1:29" x14ac:dyDescent="0.3">
      <c r="A182" t="str">
        <f>'rockfish harvests'!A181</f>
        <v>SC</v>
      </c>
      <c r="B182">
        <f>'rockfish harvests'!B181</f>
        <v>2002</v>
      </c>
      <c r="C182" t="str">
        <f>'rockfish harvests'!C181</f>
        <v>PWSI</v>
      </c>
      <c r="D182">
        <f>'rockfish harvests'!D181</f>
        <v>7398</v>
      </c>
      <c r="E182">
        <v>2518</v>
      </c>
      <c r="F182" t="s">
        <v>159</v>
      </c>
      <c r="G182">
        <v>0.68596919199999995</v>
      </c>
      <c r="H182">
        <v>1.23802E-3</v>
      </c>
      <c r="I182" s="13">
        <f t="shared" si="197"/>
        <v>1727.2704254559999</v>
      </c>
      <c r="J182">
        <f t="shared" ref="J182:J223" si="201">(E182^2)*H182</f>
        <v>7849.4479184800002</v>
      </c>
      <c r="K182">
        <f t="shared" ref="K182:K223" si="202">SQRT(J182)</f>
        <v>88.597110102305251</v>
      </c>
      <c r="L182" s="6">
        <f t="shared" ref="L182:L223" si="203">(1.96*K182)</f>
        <v>173.65033580051829</v>
      </c>
      <c r="N182" s="2">
        <f>'rockfish harvests'!O181</f>
        <v>18912.926167597027</v>
      </c>
      <c r="O182">
        <f>'rockfish harvests'!P181</f>
        <v>32822440.987651471</v>
      </c>
      <c r="P182">
        <v>0.583589943</v>
      </c>
      <c r="Q182">
        <v>1.265691E-3</v>
      </c>
      <c r="T182" s="13">
        <f t="shared" si="176"/>
        <v>11037.393504111156</v>
      </c>
      <c r="U182" s="14">
        <f t="shared" si="150"/>
        <v>11672854.946674027</v>
      </c>
      <c r="V182">
        <f t="shared" ref="V182:V223" si="204">SQRT(U182)</f>
        <v>3416.5560066643175</v>
      </c>
      <c r="W182" s="6">
        <f t="shared" ref="W182:W223" si="205">(1.96*V182)</f>
        <v>6696.4497730620624</v>
      </c>
      <c r="Y182" s="13">
        <f t="shared" si="199"/>
        <v>12764.663929567156</v>
      </c>
      <c r="Z182">
        <f t="shared" si="200"/>
        <v>11680704.394592507</v>
      </c>
      <c r="AA182">
        <f t="shared" ref="AA182:AA223" si="206">SQRT(Z182)</f>
        <v>3417.7045505123037</v>
      </c>
      <c r="AB182" s="6">
        <f t="shared" ref="AB182:AB223" si="207">(1.96*AA182)</f>
        <v>6698.7009190041153</v>
      </c>
      <c r="AC182" s="14">
        <f t="shared" si="198"/>
        <v>0.26774731942576074</v>
      </c>
    </row>
    <row r="183" spans="1:29" x14ac:dyDescent="0.3">
      <c r="A183" t="str">
        <f>'rockfish harvests'!A182</f>
        <v>SC</v>
      </c>
      <c r="B183">
        <f>'rockfish harvests'!B182</f>
        <v>2003</v>
      </c>
      <c r="C183" t="str">
        <f>'rockfish harvests'!C182</f>
        <v>PWSI</v>
      </c>
      <c r="D183">
        <f>'rockfish harvests'!D182</f>
        <v>11932</v>
      </c>
      <c r="E183">
        <v>3187</v>
      </c>
      <c r="F183" t="s">
        <v>159</v>
      </c>
      <c r="G183">
        <v>0.68654841300000002</v>
      </c>
      <c r="H183">
        <v>7.2457800000000003E-4</v>
      </c>
      <c r="I183" s="13">
        <f t="shared" si="197"/>
        <v>2188.0297922310001</v>
      </c>
      <c r="J183">
        <f t="shared" si="201"/>
        <v>7359.5162840820003</v>
      </c>
      <c r="K183">
        <f t="shared" si="202"/>
        <v>85.787623140415775</v>
      </c>
      <c r="L183" s="6">
        <f t="shared" si="203"/>
        <v>168.14374135521493</v>
      </c>
      <c r="N183" s="2">
        <f>'rockfish harvests'!O182</f>
        <v>30504.059885343027</v>
      </c>
      <c r="O183">
        <f>'rockfish harvests'!P182</f>
        <v>85382469.486194402</v>
      </c>
      <c r="P183">
        <v>0.175889405</v>
      </c>
      <c r="Q183">
        <v>3.8245999999999999E-4</v>
      </c>
      <c r="T183" s="13">
        <f t="shared" si="176"/>
        <v>5365.3409433173529</v>
      </c>
      <c r="U183" s="14">
        <f t="shared" si="150"/>
        <v>3030018.0453684139</v>
      </c>
      <c r="V183">
        <f t="shared" si="204"/>
        <v>1740.6947019418465</v>
      </c>
      <c r="W183" s="6">
        <f t="shared" si="205"/>
        <v>3411.7616158060191</v>
      </c>
      <c r="Y183" s="13">
        <f t="shared" si="199"/>
        <v>7553.370735548353</v>
      </c>
      <c r="Z183">
        <f t="shared" si="200"/>
        <v>3037377.561652496</v>
      </c>
      <c r="AA183">
        <f t="shared" si="206"/>
        <v>1742.8073793889259</v>
      </c>
      <c r="AB183" s="6">
        <f t="shared" si="207"/>
        <v>3415.9024636022946</v>
      </c>
      <c r="AC183" s="14">
        <f t="shared" si="198"/>
        <v>0.23073240284456964</v>
      </c>
    </row>
    <row r="184" spans="1:29" x14ac:dyDescent="0.3">
      <c r="A184" t="str">
        <f>'rockfish harvests'!A183</f>
        <v>SC</v>
      </c>
      <c r="B184">
        <f>'rockfish harvests'!B183</f>
        <v>2004</v>
      </c>
      <c r="C184" t="str">
        <f>'rockfish harvests'!C183</f>
        <v>PWSI</v>
      </c>
      <c r="D184">
        <f>'rockfish harvests'!D183</f>
        <v>10310</v>
      </c>
      <c r="E184">
        <v>2872</v>
      </c>
      <c r="F184" t="s">
        <v>159</v>
      </c>
      <c r="G184">
        <v>0.68483738199999999</v>
      </c>
      <c r="H184">
        <v>7.2917299999999995E-4</v>
      </c>
      <c r="I184" s="13">
        <f t="shared" si="197"/>
        <v>1966.8529611040001</v>
      </c>
      <c r="J184">
        <f t="shared" si="201"/>
        <v>6014.4989064319998</v>
      </c>
      <c r="K184">
        <f t="shared" si="202"/>
        <v>77.553200491224089</v>
      </c>
      <c r="L184" s="6">
        <f t="shared" si="203"/>
        <v>152.00427296279921</v>
      </c>
      <c r="N184" s="2">
        <f>'rockfish harvests'!O183</f>
        <v>26357.430222752817</v>
      </c>
      <c r="O184">
        <f>'rockfish harvests'!P183</f>
        <v>63746970.869564563</v>
      </c>
      <c r="P184">
        <v>0.33339285800000001</v>
      </c>
      <c r="Q184">
        <v>9.1835599999999995E-4</v>
      </c>
      <c r="T184" s="13">
        <f t="shared" si="176"/>
        <v>8787.3789914991394</v>
      </c>
      <c r="U184" s="14">
        <f t="shared" si="150"/>
        <v>7782063.9681453826</v>
      </c>
      <c r="V184">
        <f t="shared" si="204"/>
        <v>2789.6350958764092</v>
      </c>
      <c r="W184" s="6">
        <f t="shared" si="205"/>
        <v>5467.6847879177622</v>
      </c>
      <c r="Y184" s="13">
        <f t="shared" si="199"/>
        <v>10754.231952603139</v>
      </c>
      <c r="Z184">
        <f t="shared" si="200"/>
        <v>7788078.4670518143</v>
      </c>
      <c r="AA184">
        <f t="shared" si="206"/>
        <v>2790.7128958479075</v>
      </c>
      <c r="AB184" s="6">
        <f t="shared" si="207"/>
        <v>5469.7972758618989</v>
      </c>
      <c r="AC184" s="14">
        <f t="shared" si="198"/>
        <v>0.25949904262315965</v>
      </c>
    </row>
    <row r="185" spans="1:29" x14ac:dyDescent="0.3">
      <c r="A185" t="str">
        <f>'rockfish harvests'!A184</f>
        <v>SC</v>
      </c>
      <c r="B185">
        <f>'rockfish harvests'!B184</f>
        <v>2005</v>
      </c>
      <c r="C185" t="str">
        <f>'rockfish harvests'!C184</f>
        <v>PWSI</v>
      </c>
      <c r="D185">
        <f>'rockfish harvests'!D184</f>
        <v>10930</v>
      </c>
      <c r="E185">
        <v>2754</v>
      </c>
      <c r="F185" t="s">
        <v>159</v>
      </c>
      <c r="G185">
        <v>0.70733318000000001</v>
      </c>
      <c r="H185">
        <v>1.1966069999999999E-3</v>
      </c>
      <c r="I185" s="13">
        <f t="shared" si="197"/>
        <v>1947.99557772</v>
      </c>
      <c r="J185">
        <f t="shared" si="201"/>
        <v>9075.6849372119996</v>
      </c>
      <c r="K185">
        <f t="shared" si="202"/>
        <v>95.266389336491599</v>
      </c>
      <c r="L185" s="6">
        <f t="shared" si="203"/>
        <v>186.72212309952354</v>
      </c>
      <c r="N185" s="2">
        <f>'rockfish harvests'!O184</f>
        <v>27942.455124606044</v>
      </c>
      <c r="O185">
        <f>'rockfish harvests'!P184</f>
        <v>71644448.857817397</v>
      </c>
      <c r="P185">
        <v>0.48188212899999999</v>
      </c>
      <c r="Q185">
        <v>9.0134199999999996E-4</v>
      </c>
      <c r="T185" s="13">
        <f t="shared" si="176"/>
        <v>13464.969764932121</v>
      </c>
      <c r="U185" s="14">
        <f t="shared" si="150"/>
        <v>17404911.819116931</v>
      </c>
      <c r="V185">
        <f t="shared" si="204"/>
        <v>4171.9194406312463</v>
      </c>
      <c r="W185" s="6">
        <f t="shared" si="205"/>
        <v>8176.9621036372428</v>
      </c>
      <c r="Y185" s="13">
        <f t="shared" si="199"/>
        <v>15412.96534265212</v>
      </c>
      <c r="Z185">
        <f t="shared" si="200"/>
        <v>17413987.504054144</v>
      </c>
      <c r="AA185">
        <f t="shared" si="206"/>
        <v>4173.0070098256656</v>
      </c>
      <c r="AB185" s="6">
        <f t="shared" si="207"/>
        <v>8179.0937392583046</v>
      </c>
      <c r="AC185" s="14">
        <f t="shared" si="198"/>
        <v>0.27074653819390299</v>
      </c>
    </row>
    <row r="186" spans="1:29" x14ac:dyDescent="0.3">
      <c r="A186" t="str">
        <f>'rockfish harvests'!A185</f>
        <v>SC</v>
      </c>
      <c r="B186">
        <f>'rockfish harvests'!B185</f>
        <v>2006</v>
      </c>
      <c r="C186" t="str">
        <f>'rockfish harvests'!C185</f>
        <v>PWSI</v>
      </c>
      <c r="D186">
        <f>'rockfish harvests'!D185</f>
        <v>7578</v>
      </c>
      <c r="E186">
        <v>2985</v>
      </c>
      <c r="F186">
        <v>1907</v>
      </c>
      <c r="I186" s="13">
        <f>F186</f>
        <v>1907</v>
      </c>
      <c r="J186">
        <f t="shared" si="201"/>
        <v>0</v>
      </c>
      <c r="K186">
        <f t="shared" si="202"/>
        <v>0</v>
      </c>
      <c r="L186" s="6">
        <f t="shared" si="203"/>
        <v>0</v>
      </c>
      <c r="N186" s="2">
        <f>'rockfish harvests'!O185</f>
        <v>19373.094687489898</v>
      </c>
      <c r="O186">
        <f>'rockfish harvests'!P185</f>
        <v>34439070.708155498</v>
      </c>
      <c r="P186">
        <v>0.26586483900000002</v>
      </c>
      <c r="Q186">
        <v>5.86128E-4</v>
      </c>
      <c r="T186" s="13">
        <f t="shared" si="176"/>
        <v>5150.6247000212579</v>
      </c>
      <c r="U186" s="14">
        <f t="shared" si="150"/>
        <v>2674464.5400223569</v>
      </c>
      <c r="V186">
        <f t="shared" si="204"/>
        <v>1635.3790202954044</v>
      </c>
      <c r="W186" s="6">
        <f t="shared" si="205"/>
        <v>3205.3428797789925</v>
      </c>
      <c r="Y186" s="13">
        <f t="shared" si="199"/>
        <v>7057.6247000212579</v>
      </c>
      <c r="Z186">
        <f t="shared" si="200"/>
        <v>2674464.5400223569</v>
      </c>
      <c r="AA186">
        <f t="shared" si="206"/>
        <v>1635.3790202954044</v>
      </c>
      <c r="AB186" s="6">
        <f t="shared" si="207"/>
        <v>3205.3428797789925</v>
      </c>
      <c r="AC186" s="14">
        <f t="shared" si="198"/>
        <v>0.23171804818276587</v>
      </c>
    </row>
    <row r="187" spans="1:29" x14ac:dyDescent="0.3">
      <c r="A187" t="str">
        <f>'rockfish harvests'!A186</f>
        <v>SC</v>
      </c>
      <c r="B187">
        <f>'rockfish harvests'!B186</f>
        <v>2007</v>
      </c>
      <c r="C187" t="str">
        <f>'rockfish harvests'!C186</f>
        <v>PWSI</v>
      </c>
      <c r="D187">
        <f>'rockfish harvests'!D186</f>
        <v>12404</v>
      </c>
      <c r="E187">
        <v>3115</v>
      </c>
      <c r="F187">
        <v>1944</v>
      </c>
      <c r="I187" s="13">
        <f t="shared" ref="I187:I198" si="208">F187</f>
        <v>1944</v>
      </c>
      <c r="J187">
        <f t="shared" si="201"/>
        <v>0</v>
      </c>
      <c r="K187">
        <f t="shared" si="202"/>
        <v>0</v>
      </c>
      <c r="L187" s="6">
        <f t="shared" si="203"/>
        <v>0</v>
      </c>
      <c r="N187" s="2">
        <f>'rockfish harvests'!O186</f>
        <v>31710.724004173229</v>
      </c>
      <c r="O187">
        <f>'rockfish harvests'!P186</f>
        <v>92271108.350786552</v>
      </c>
      <c r="P187">
        <v>0.15352934300000001</v>
      </c>
      <c r="Q187">
        <v>4.0996199999999999E-4</v>
      </c>
      <c r="T187" s="13">
        <f t="shared" si="176"/>
        <v>4868.5266224150455</v>
      </c>
      <c r="U187" s="14">
        <f t="shared" si="150"/>
        <v>2625019.3514797394</v>
      </c>
      <c r="V187">
        <f t="shared" si="204"/>
        <v>1620.1911465872597</v>
      </c>
      <c r="W187" s="6">
        <f t="shared" si="205"/>
        <v>3175.5746473110289</v>
      </c>
      <c r="Y187" s="13">
        <f t="shared" si="199"/>
        <v>6812.5266224150455</v>
      </c>
      <c r="Z187">
        <f t="shared" si="200"/>
        <v>2625019.3514797394</v>
      </c>
      <c r="AA187">
        <f t="shared" si="206"/>
        <v>1620.1911465872597</v>
      </c>
      <c r="AB187" s="6">
        <f t="shared" si="207"/>
        <v>3175.5746473110289</v>
      </c>
      <c r="AC187" s="14">
        <f t="shared" si="198"/>
        <v>0.23782529396015789</v>
      </c>
    </row>
    <row r="188" spans="1:29" x14ac:dyDescent="0.3">
      <c r="A188" t="str">
        <f>'rockfish harvests'!A187</f>
        <v>SC</v>
      </c>
      <c r="B188">
        <f>'rockfish harvests'!B187</f>
        <v>2008</v>
      </c>
      <c r="C188" t="str">
        <f>'rockfish harvests'!C187</f>
        <v>PWSI</v>
      </c>
      <c r="D188">
        <f>'rockfish harvests'!D187</f>
        <v>9522</v>
      </c>
      <c r="E188">
        <v>2623</v>
      </c>
      <c r="F188">
        <v>1495</v>
      </c>
      <c r="I188" s="13">
        <f t="shared" si="208"/>
        <v>1495</v>
      </c>
      <c r="J188">
        <f t="shared" si="201"/>
        <v>0</v>
      </c>
      <c r="K188">
        <f t="shared" si="202"/>
        <v>0</v>
      </c>
      <c r="L188" s="6">
        <f t="shared" si="203"/>
        <v>0</v>
      </c>
      <c r="N188" s="2">
        <f>'rockfish harvests'!O187</f>
        <v>24342.914702332913</v>
      </c>
      <c r="O188">
        <f>'rockfish harvests'!P187</f>
        <v>54374913.17494791</v>
      </c>
      <c r="P188">
        <v>0.185900606</v>
      </c>
      <c r="Q188">
        <v>2.8447699999999999E-4</v>
      </c>
      <c r="T188" s="13">
        <f t="shared" si="176"/>
        <v>4525.3625949699981</v>
      </c>
      <c r="U188" s="14">
        <f t="shared" si="150"/>
        <v>2063187.6250178725</v>
      </c>
      <c r="V188">
        <f t="shared" si="204"/>
        <v>1436.3800419867553</v>
      </c>
      <c r="W188" s="6">
        <f t="shared" si="205"/>
        <v>2815.3048822940405</v>
      </c>
      <c r="Y188" s="13">
        <f t="shared" si="199"/>
        <v>6020.3625949699981</v>
      </c>
      <c r="Z188">
        <f t="shared" si="200"/>
        <v>2063187.6250178725</v>
      </c>
      <c r="AA188">
        <f t="shared" si="206"/>
        <v>1436.3800419867553</v>
      </c>
      <c r="AB188" s="6">
        <f t="shared" si="207"/>
        <v>2815.3048822940405</v>
      </c>
      <c r="AC188" s="14">
        <f t="shared" si="198"/>
        <v>0.23858696537428628</v>
      </c>
    </row>
    <row r="189" spans="1:29" x14ac:dyDescent="0.3">
      <c r="A189" t="str">
        <f>'rockfish harvests'!A188</f>
        <v>SC</v>
      </c>
      <c r="B189">
        <f>'rockfish harvests'!B188</f>
        <v>2009</v>
      </c>
      <c r="C189" t="str">
        <f>'rockfish harvests'!C188</f>
        <v>PWSI</v>
      </c>
      <c r="D189">
        <f>'rockfish harvests'!D188</f>
        <v>8197</v>
      </c>
      <c r="E189">
        <v>2224</v>
      </c>
      <c r="F189">
        <v>1306</v>
      </c>
      <c r="I189" s="13">
        <f t="shared" si="208"/>
        <v>1306</v>
      </c>
      <c r="J189">
        <f t="shared" si="201"/>
        <v>0</v>
      </c>
      <c r="K189">
        <f t="shared" si="202"/>
        <v>0</v>
      </c>
      <c r="L189" s="6">
        <f t="shared" si="203"/>
        <v>0</v>
      </c>
      <c r="N189" s="2">
        <f>'rockfish harvests'!O188</f>
        <v>20955.563097565941</v>
      </c>
      <c r="O189">
        <f>'rockfish harvests'!P188</f>
        <v>40295086.4991799</v>
      </c>
      <c r="P189">
        <v>0.255321721</v>
      </c>
      <c r="Q189">
        <v>3.9776699999999999E-4</v>
      </c>
      <c r="T189" s="13">
        <f t="shared" si="176"/>
        <v>5350.4104345946271</v>
      </c>
      <c r="U189" s="14">
        <f t="shared" si="150"/>
        <v>2817505.4115609461</v>
      </c>
      <c r="V189">
        <f t="shared" si="204"/>
        <v>1678.5426451421918</v>
      </c>
      <c r="W189" s="6">
        <f t="shared" si="205"/>
        <v>3289.9435844786958</v>
      </c>
      <c r="Y189" s="13">
        <f t="shared" si="199"/>
        <v>6656.4104345946271</v>
      </c>
      <c r="Z189">
        <f t="shared" si="200"/>
        <v>2817505.4115609461</v>
      </c>
      <c r="AA189">
        <f t="shared" si="206"/>
        <v>1678.5426451421918</v>
      </c>
      <c r="AB189" s="6">
        <f t="shared" si="207"/>
        <v>3289.9435844786958</v>
      </c>
      <c r="AC189" s="14">
        <f t="shared" si="198"/>
        <v>0.2521693428666128</v>
      </c>
    </row>
    <row r="190" spans="1:29" x14ac:dyDescent="0.3">
      <c r="A190" t="str">
        <f>'rockfish harvests'!A189</f>
        <v>SC</v>
      </c>
      <c r="B190">
        <f>'rockfish harvests'!B189</f>
        <v>2010</v>
      </c>
      <c r="C190" t="str">
        <f>'rockfish harvests'!C189</f>
        <v>PWSI</v>
      </c>
      <c r="D190">
        <f>'rockfish harvests'!D189</f>
        <v>11909</v>
      </c>
      <c r="E190">
        <v>3828</v>
      </c>
      <c r="F190">
        <v>1880</v>
      </c>
      <c r="I190" s="13">
        <f t="shared" si="208"/>
        <v>1880</v>
      </c>
      <c r="J190">
        <f t="shared" si="201"/>
        <v>0</v>
      </c>
      <c r="K190">
        <f t="shared" si="202"/>
        <v>0</v>
      </c>
      <c r="L190" s="6">
        <f t="shared" si="203"/>
        <v>0</v>
      </c>
      <c r="N190" s="2">
        <f>'rockfish harvests'!O189</f>
        <v>30445.260574467829</v>
      </c>
      <c r="O190">
        <f>'rockfish harvests'!P189</f>
        <v>85053622.000279784</v>
      </c>
      <c r="P190">
        <v>0.13172895300000001</v>
      </c>
      <c r="Q190">
        <v>2.4597099999999999E-4</v>
      </c>
      <c r="T190" s="13">
        <f t="shared" si="176"/>
        <v>4010.5222992868262</v>
      </c>
      <c r="U190" s="14">
        <f t="shared" si="150"/>
        <v>1724809.0878952439</v>
      </c>
      <c r="V190">
        <f t="shared" si="204"/>
        <v>1313.3198726491744</v>
      </c>
      <c r="W190" s="6">
        <f t="shared" si="205"/>
        <v>2574.1069503923818</v>
      </c>
      <c r="Y190" s="13">
        <f t="shared" si="199"/>
        <v>5890.5222992868257</v>
      </c>
      <c r="Z190">
        <f t="shared" si="200"/>
        <v>1724809.0878952439</v>
      </c>
      <c r="AA190">
        <f t="shared" si="206"/>
        <v>1313.3198726491744</v>
      </c>
      <c r="AB190" s="6">
        <f t="shared" si="207"/>
        <v>2574.1069503923818</v>
      </c>
      <c r="AC190" s="14">
        <f t="shared" si="198"/>
        <v>0.2229547408399048</v>
      </c>
    </row>
    <row r="191" spans="1:29" x14ac:dyDescent="0.3">
      <c r="A191" t="str">
        <f>'rockfish harvests'!A190</f>
        <v>SC</v>
      </c>
      <c r="B191">
        <f>'rockfish harvests'!B190</f>
        <v>2011</v>
      </c>
      <c r="C191" t="str">
        <f>'rockfish harvests'!C190</f>
        <v>PWSI</v>
      </c>
      <c r="D191">
        <f>'rockfish harvests'!D190</f>
        <v>11367</v>
      </c>
      <c r="E191">
        <v>3175</v>
      </c>
      <c r="F191">
        <v>1443</v>
      </c>
      <c r="I191" s="13">
        <f t="shared" si="208"/>
        <v>1443</v>
      </c>
      <c r="J191">
        <f t="shared" si="201"/>
        <v>0</v>
      </c>
      <c r="K191">
        <f t="shared" si="202"/>
        <v>0</v>
      </c>
      <c r="L191" s="6">
        <f t="shared" si="203"/>
        <v>0</v>
      </c>
      <c r="N191" s="2">
        <f>'rockfish harvests'!O190</f>
        <v>58599.987281399051</v>
      </c>
      <c r="O191">
        <f>'rockfish harvests'!P190</f>
        <v>100066036.13433234</v>
      </c>
      <c r="P191">
        <v>0.14624831299999999</v>
      </c>
      <c r="Q191">
        <v>2.5072199999999999E-4</v>
      </c>
      <c r="T191" s="13">
        <f t="shared" si="176"/>
        <v>8570.1492817260678</v>
      </c>
      <c r="U191" s="14">
        <f t="shared" si="150"/>
        <v>3026327.0260543893</v>
      </c>
      <c r="V191">
        <f t="shared" si="204"/>
        <v>1739.6341644306683</v>
      </c>
      <c r="W191" s="6">
        <f t="shared" si="205"/>
        <v>3409.6829622841096</v>
      </c>
      <c r="Y191" s="13">
        <f t="shared" si="199"/>
        <v>10013.149281726068</v>
      </c>
      <c r="Z191">
        <f t="shared" si="200"/>
        <v>3026327.0260543893</v>
      </c>
      <c r="AA191">
        <f t="shared" si="206"/>
        <v>1739.6341644306683</v>
      </c>
      <c r="AB191" s="6">
        <f t="shared" si="207"/>
        <v>3409.6829622841096</v>
      </c>
      <c r="AC191" s="14">
        <f t="shared" si="198"/>
        <v>0.17373496743981329</v>
      </c>
    </row>
    <row r="192" spans="1:29" x14ac:dyDescent="0.3">
      <c r="A192" t="str">
        <f>'rockfish harvests'!A191</f>
        <v>SC</v>
      </c>
      <c r="B192">
        <f>'rockfish harvests'!B191</f>
        <v>2012</v>
      </c>
      <c r="C192" t="str">
        <f>'rockfish harvests'!C191</f>
        <v>PWSI</v>
      </c>
      <c r="D192">
        <f>'rockfish harvests'!D191</f>
        <v>13580</v>
      </c>
      <c r="E192">
        <v>4267</v>
      </c>
      <c r="F192">
        <v>1727</v>
      </c>
      <c r="I192" s="13">
        <f t="shared" si="208"/>
        <v>1727</v>
      </c>
      <c r="J192">
        <f t="shared" si="201"/>
        <v>0</v>
      </c>
      <c r="K192">
        <f t="shared" si="202"/>
        <v>0</v>
      </c>
      <c r="L192" s="6">
        <f t="shared" si="203"/>
        <v>0</v>
      </c>
      <c r="N192" s="2">
        <f>'rockfish harvests'!O191</f>
        <v>31117.154090427939</v>
      </c>
      <c r="O192">
        <f>'rockfish harvests'!P191</f>
        <v>29413124.019685954</v>
      </c>
      <c r="P192">
        <v>0.30745004300000001</v>
      </c>
      <c r="Q192">
        <v>4.70032E-4</v>
      </c>
      <c r="T192" s="13">
        <f t="shared" si="176"/>
        <v>9566.9703631396951</v>
      </c>
      <c r="U192" s="14">
        <f t="shared" si="150"/>
        <v>3249237.5211245115</v>
      </c>
      <c r="V192">
        <f t="shared" si="204"/>
        <v>1802.564151736218</v>
      </c>
      <c r="W192" s="6">
        <f t="shared" si="205"/>
        <v>3533.0257374029875</v>
      </c>
      <c r="Y192" s="13">
        <f t="shared" si="199"/>
        <v>11293.970363139695</v>
      </c>
      <c r="Z192">
        <f t="shared" si="200"/>
        <v>3249237.5211245115</v>
      </c>
      <c r="AA192">
        <f t="shared" si="206"/>
        <v>1802.564151736218</v>
      </c>
      <c r="AB192" s="6">
        <f t="shared" si="207"/>
        <v>3533.0257374029875</v>
      </c>
      <c r="AC192" s="14">
        <f t="shared" si="198"/>
        <v>0.15960411562786408</v>
      </c>
    </row>
    <row r="193" spans="1:29" x14ac:dyDescent="0.3">
      <c r="A193" t="str">
        <f>'rockfish harvests'!A192</f>
        <v>SC</v>
      </c>
      <c r="B193">
        <f>'rockfish harvests'!B192</f>
        <v>2013</v>
      </c>
      <c r="C193" t="str">
        <f>'rockfish harvests'!C192</f>
        <v>PWSI</v>
      </c>
      <c r="D193">
        <f>'rockfish harvests'!D192</f>
        <v>14209</v>
      </c>
      <c r="E193">
        <v>3334</v>
      </c>
      <c r="F193">
        <v>1384</v>
      </c>
      <c r="I193" s="13">
        <f t="shared" si="208"/>
        <v>1384</v>
      </c>
      <c r="J193">
        <f t="shared" si="201"/>
        <v>0</v>
      </c>
      <c r="K193">
        <f t="shared" si="202"/>
        <v>0</v>
      </c>
      <c r="L193" s="6">
        <f t="shared" si="203"/>
        <v>0</v>
      </c>
      <c r="N193" s="2">
        <f>'rockfish harvests'!O192</f>
        <v>46247.943133398883</v>
      </c>
      <c r="O193">
        <f>'rockfish harvests'!P192</f>
        <v>49601334.787597425</v>
      </c>
      <c r="P193">
        <v>0.15489728999999999</v>
      </c>
      <c r="Q193">
        <v>2.0139100000000001E-4</v>
      </c>
      <c r="T193" s="13">
        <f t="shared" si="176"/>
        <v>7163.6810594375947</v>
      </c>
      <c r="U193" s="14">
        <f t="shared" ref="U193:U256" si="209">(N193^2)*Q193+(P193^2)*O193+(Q193*O193)</f>
        <v>1630832.1625935361</v>
      </c>
      <c r="V193">
        <f t="shared" si="204"/>
        <v>1277.0403919193536</v>
      </c>
      <c r="W193" s="6">
        <f t="shared" si="205"/>
        <v>2502.9991681619331</v>
      </c>
      <c r="Y193" s="13">
        <f t="shared" si="199"/>
        <v>8547.6810594375947</v>
      </c>
      <c r="Z193">
        <f t="shared" si="200"/>
        <v>1630832.1625935361</v>
      </c>
      <c r="AA193">
        <f t="shared" si="206"/>
        <v>1277.0403919193536</v>
      </c>
      <c r="AB193" s="6">
        <f t="shared" si="207"/>
        <v>2502.9991681619331</v>
      </c>
      <c r="AC193" s="14">
        <f t="shared" si="198"/>
        <v>0.1494019703167748</v>
      </c>
    </row>
    <row r="194" spans="1:29" x14ac:dyDescent="0.3">
      <c r="A194" t="str">
        <f>'rockfish harvests'!A193</f>
        <v>SC</v>
      </c>
      <c r="B194">
        <f>'rockfish harvests'!B193</f>
        <v>2014</v>
      </c>
      <c r="C194" t="str">
        <f>'rockfish harvests'!C193</f>
        <v>PWSI</v>
      </c>
      <c r="D194">
        <f>'rockfish harvests'!D193</f>
        <v>14913</v>
      </c>
      <c r="E194">
        <v>4184</v>
      </c>
      <c r="F194">
        <v>1470</v>
      </c>
      <c r="I194" s="13">
        <f t="shared" si="208"/>
        <v>1470</v>
      </c>
      <c r="J194">
        <f t="shared" si="201"/>
        <v>0</v>
      </c>
      <c r="K194">
        <f t="shared" si="202"/>
        <v>0</v>
      </c>
      <c r="L194" s="6">
        <f t="shared" si="203"/>
        <v>0</v>
      </c>
      <c r="N194" s="2">
        <f>'rockfish harvests'!O193</f>
        <v>37953.469599823133</v>
      </c>
      <c r="O194">
        <f>'rockfish harvests'!P193</f>
        <v>47097436.38695576</v>
      </c>
      <c r="P194">
        <v>0.35337700599999999</v>
      </c>
      <c r="Q194">
        <v>4.62554E-4</v>
      </c>
      <c r="T194" s="13">
        <f t="shared" si="176"/>
        <v>13411.883454497516</v>
      </c>
      <c r="U194" s="14">
        <f t="shared" si="209"/>
        <v>6569385.2427642494</v>
      </c>
      <c r="V194">
        <f t="shared" si="204"/>
        <v>2563.0812009696942</v>
      </c>
      <c r="W194" s="6">
        <f t="shared" si="205"/>
        <v>5023.6391539006008</v>
      </c>
      <c r="Y194" s="13">
        <f t="shared" si="199"/>
        <v>14881.883454497516</v>
      </c>
      <c r="Z194">
        <f t="shared" si="200"/>
        <v>6569385.2427642494</v>
      </c>
      <c r="AA194">
        <f t="shared" si="206"/>
        <v>2563.0812009696942</v>
      </c>
      <c r="AB194" s="6">
        <f t="shared" si="207"/>
        <v>5023.6391539006008</v>
      </c>
      <c r="AC194" s="14">
        <f t="shared" si="198"/>
        <v>0.17222828070159996</v>
      </c>
    </row>
    <row r="195" spans="1:29" x14ac:dyDescent="0.3">
      <c r="A195" t="str">
        <f>'rockfish harvests'!A194</f>
        <v>SC</v>
      </c>
      <c r="B195">
        <f>'rockfish harvests'!B194</f>
        <v>2015</v>
      </c>
      <c r="C195" t="str">
        <f>'rockfish harvests'!C194</f>
        <v>PWSI</v>
      </c>
      <c r="D195">
        <f>'rockfish harvests'!D194</f>
        <v>20073</v>
      </c>
      <c r="E195">
        <v>5220</v>
      </c>
      <c r="F195">
        <v>1742</v>
      </c>
      <c r="I195" s="13">
        <f t="shared" si="208"/>
        <v>1742</v>
      </c>
      <c r="J195">
        <f t="shared" si="201"/>
        <v>0</v>
      </c>
      <c r="K195">
        <f t="shared" si="202"/>
        <v>0</v>
      </c>
      <c r="L195" s="6">
        <f t="shared" si="203"/>
        <v>0</v>
      </c>
      <c r="N195" s="2">
        <f>'rockfish harvests'!O194</f>
        <v>52130.446754112942</v>
      </c>
      <c r="O195">
        <f>'rockfish harvests'!P194</f>
        <v>59819505.590102598</v>
      </c>
      <c r="P195">
        <v>0.42477820100000002</v>
      </c>
      <c r="Q195">
        <v>4.9662899999999995E-4</v>
      </c>
      <c r="T195" s="13">
        <f t="shared" si="176"/>
        <v>22143.877389538386</v>
      </c>
      <c r="U195" s="14">
        <f t="shared" si="209"/>
        <v>12172962.286204793</v>
      </c>
      <c r="V195">
        <f t="shared" si="204"/>
        <v>3488.9772550426283</v>
      </c>
      <c r="W195" s="6">
        <f t="shared" si="205"/>
        <v>6838.3954198835509</v>
      </c>
      <c r="Y195" s="13">
        <f t="shared" si="199"/>
        <v>23885.877389538386</v>
      </c>
      <c r="Z195">
        <f t="shared" si="200"/>
        <v>12172962.286204793</v>
      </c>
      <c r="AA195">
        <f t="shared" si="206"/>
        <v>3488.9772550426283</v>
      </c>
      <c r="AB195" s="6">
        <f t="shared" si="207"/>
        <v>6838.3954198835509</v>
      </c>
      <c r="AC195" s="14">
        <f t="shared" si="198"/>
        <v>0.14606862449066835</v>
      </c>
    </row>
    <row r="196" spans="1:29" x14ac:dyDescent="0.3">
      <c r="A196" t="str">
        <f>'rockfish harvests'!A195</f>
        <v>SC</v>
      </c>
      <c r="B196">
        <f>'rockfish harvests'!B195</f>
        <v>2016</v>
      </c>
      <c r="C196" t="str">
        <f>'rockfish harvests'!C195</f>
        <v>PWSI</v>
      </c>
      <c r="D196">
        <f>'rockfish harvests'!D195</f>
        <v>28893</v>
      </c>
      <c r="E196">
        <v>6695</v>
      </c>
      <c r="F196">
        <v>2486</v>
      </c>
      <c r="I196" s="13">
        <f t="shared" si="208"/>
        <v>2486</v>
      </c>
      <c r="J196">
        <f t="shared" si="201"/>
        <v>0</v>
      </c>
      <c r="K196">
        <f t="shared" si="202"/>
        <v>0</v>
      </c>
      <c r="L196" s="6">
        <f t="shared" si="203"/>
        <v>0</v>
      </c>
      <c r="N196" s="2">
        <f>'rockfish harvests'!O195</f>
        <v>64825.548631333717</v>
      </c>
      <c r="O196">
        <f>'rockfish harvests'!P195</f>
        <v>114245520.83381788</v>
      </c>
      <c r="P196">
        <v>0.14767520000000001</v>
      </c>
      <c r="Q196">
        <v>9.9894599999999991E-4</v>
      </c>
      <c r="T196" s="13">
        <f t="shared" si="176"/>
        <v>9573.1258592419326</v>
      </c>
      <c r="U196" s="14">
        <f t="shared" si="209"/>
        <v>6803509.8675684854</v>
      </c>
      <c r="V196">
        <f t="shared" si="204"/>
        <v>2608.3538616469364</v>
      </c>
      <c r="W196" s="6">
        <f t="shared" si="205"/>
        <v>5112.3735688279949</v>
      </c>
      <c r="Y196" s="13">
        <f t="shared" si="199"/>
        <v>12059.125859241933</v>
      </c>
      <c r="Z196">
        <f t="shared" si="200"/>
        <v>6803509.8675684854</v>
      </c>
      <c r="AA196">
        <f t="shared" si="206"/>
        <v>2608.3538616469364</v>
      </c>
      <c r="AB196" s="6">
        <f t="shared" si="207"/>
        <v>5112.3735688279949</v>
      </c>
      <c r="AC196" s="14">
        <f t="shared" si="198"/>
        <v>0.21629709251669624</v>
      </c>
    </row>
    <row r="197" spans="1:29" x14ac:dyDescent="0.3">
      <c r="A197" t="str">
        <f>'rockfish harvests'!A196</f>
        <v>SC</v>
      </c>
      <c r="B197">
        <f>'rockfish harvests'!B196</f>
        <v>2017</v>
      </c>
      <c r="C197" t="str">
        <f>'rockfish harvests'!C196</f>
        <v>PWSI</v>
      </c>
      <c r="D197">
        <f>'rockfish harvests'!D196</f>
        <v>16300</v>
      </c>
      <c r="E197">
        <v>4734</v>
      </c>
      <c r="F197">
        <v>1833</v>
      </c>
      <c r="I197" s="13">
        <f t="shared" si="208"/>
        <v>1833</v>
      </c>
      <c r="J197">
        <f t="shared" si="201"/>
        <v>0</v>
      </c>
      <c r="K197">
        <f t="shared" si="202"/>
        <v>0</v>
      </c>
      <c r="L197" s="6">
        <f t="shared" si="203"/>
        <v>0</v>
      </c>
      <c r="N197" s="2">
        <f>'rockfish harvests'!O196</f>
        <v>33515.774784613517</v>
      </c>
      <c r="O197">
        <f>'rockfish harvests'!P196</f>
        <v>29331655.3806163</v>
      </c>
      <c r="P197">
        <v>0.26616483800000001</v>
      </c>
      <c r="Q197">
        <v>1.75965E-3</v>
      </c>
      <c r="T197" s="13">
        <f t="shared" si="176"/>
        <v>8920.7207659911419</v>
      </c>
      <c r="U197" s="14">
        <f t="shared" si="209"/>
        <v>4106204.5003393004</v>
      </c>
      <c r="V197">
        <f t="shared" si="204"/>
        <v>2026.3771860982101</v>
      </c>
      <c r="W197" s="6">
        <f t="shared" si="205"/>
        <v>3971.6992847524916</v>
      </c>
      <c r="Y197" s="13">
        <f t="shared" si="199"/>
        <v>10753.720765991142</v>
      </c>
      <c r="Z197">
        <f t="shared" si="200"/>
        <v>4106204.5003393004</v>
      </c>
      <c r="AA197">
        <f t="shared" si="206"/>
        <v>2026.3771860982101</v>
      </c>
      <c r="AB197" s="6">
        <f t="shared" si="207"/>
        <v>3971.6992847524916</v>
      </c>
      <c r="AC197" s="14">
        <f t="shared" si="198"/>
        <v>0.18843498266262118</v>
      </c>
    </row>
    <row r="198" spans="1:29" x14ac:dyDescent="0.3">
      <c r="A198" t="str">
        <f>'rockfish harvests'!A197</f>
        <v>SC</v>
      </c>
      <c r="B198">
        <f>'rockfish harvests'!B197</f>
        <v>2018</v>
      </c>
      <c r="C198" t="str">
        <f>'rockfish harvests'!C197</f>
        <v>PWSI</v>
      </c>
      <c r="D198">
        <f>'rockfish harvests'!D197</f>
        <v>12107</v>
      </c>
      <c r="E198">
        <v>3366</v>
      </c>
      <c r="F198">
        <v>1314</v>
      </c>
      <c r="I198" s="13">
        <f t="shared" si="208"/>
        <v>1314</v>
      </c>
      <c r="J198">
        <f t="shared" si="201"/>
        <v>0</v>
      </c>
      <c r="K198">
        <f t="shared" si="202"/>
        <v>0</v>
      </c>
      <c r="L198" s="6">
        <f t="shared" si="203"/>
        <v>0</v>
      </c>
      <c r="N198" s="2">
        <f>'rockfish harvests'!O197</f>
        <v>22239.009039310491</v>
      </c>
      <c r="O198">
        <f>'rockfish harvests'!P197</f>
        <v>18423976.825865198</v>
      </c>
      <c r="P198">
        <v>0.175655169</v>
      </c>
      <c r="Q198">
        <v>5.9588700000000002E-4</v>
      </c>
      <c r="T198" s="13">
        <f t="shared" si="176"/>
        <v>3906.3968911926117</v>
      </c>
      <c r="U198" s="14">
        <f t="shared" si="209"/>
        <v>874155.52639259642</v>
      </c>
      <c r="V198">
        <f t="shared" si="204"/>
        <v>934.96284760015806</v>
      </c>
      <c r="W198" s="6">
        <f t="shared" si="205"/>
        <v>1832.5271812963097</v>
      </c>
      <c r="Y198" s="13">
        <f t="shared" si="199"/>
        <v>5220.3968911926113</v>
      </c>
      <c r="Z198">
        <f t="shared" si="200"/>
        <v>874155.52639259642</v>
      </c>
      <c r="AA198">
        <f t="shared" si="206"/>
        <v>934.96284760015806</v>
      </c>
      <c r="AB198" s="6">
        <f t="shared" si="207"/>
        <v>1832.5271812963097</v>
      </c>
      <c r="AC198" s="14">
        <f t="shared" si="198"/>
        <v>0.17909803930378246</v>
      </c>
    </row>
    <row r="199" spans="1:29" x14ac:dyDescent="0.3">
      <c r="A199" t="str">
        <f>'rockfish harvests'!A198</f>
        <v>SC</v>
      </c>
      <c r="B199">
        <f>'rockfish harvests'!B198</f>
        <v>2019</v>
      </c>
      <c r="C199" t="str">
        <f>'rockfish harvests'!C198</f>
        <v>PWSI</v>
      </c>
      <c r="D199">
        <f>'rockfish harvests'!D198</f>
        <v>15083</v>
      </c>
      <c r="E199">
        <v>3663</v>
      </c>
      <c r="F199">
        <v>1633</v>
      </c>
      <c r="I199" s="13">
        <f>F199</f>
        <v>1633</v>
      </c>
      <c r="J199">
        <f>(E199^2)*H199</f>
        <v>0</v>
      </c>
      <c r="K199">
        <f>SQRT(J199)</f>
        <v>0</v>
      </c>
      <c r="L199" s="6">
        <f>(1.96*K199)</f>
        <v>0</v>
      </c>
      <c r="N199" s="2">
        <f>'rockfish harvests'!O198</f>
        <v>32001.722103820983</v>
      </c>
      <c r="O199">
        <f>'rockfish harvests'!P198</f>
        <v>26016565.548853625</v>
      </c>
      <c r="P199">
        <v>0.32677969299999998</v>
      </c>
      <c r="Q199">
        <v>6.9618600000000001E-4</v>
      </c>
      <c r="T199" s="13">
        <f>N199*P199</f>
        <v>10457.512924557934</v>
      </c>
      <c r="U199" s="14">
        <f t="shared" si="209"/>
        <v>3509261.6779471026</v>
      </c>
      <c r="V199">
        <f>SQRT(U199)</f>
        <v>1873.3023455777507</v>
      </c>
      <c r="W199" s="6">
        <f>(1.96*V199)</f>
        <v>3671.6725973323914</v>
      </c>
      <c r="Y199" s="13">
        <f>T199+I199</f>
        <v>12090.512924557934</v>
      </c>
      <c r="Z199">
        <f>U199+J199</f>
        <v>3509261.6779471026</v>
      </c>
      <c r="AA199">
        <f>SQRT(Z199)</f>
        <v>1873.3023455777507</v>
      </c>
      <c r="AB199" s="6">
        <f>(1.96*AA199)</f>
        <v>3671.6725973323914</v>
      </c>
      <c r="AC199" s="14">
        <f t="shared" si="198"/>
        <v>0.15493985716459951</v>
      </c>
    </row>
    <row r="200" spans="1:29" x14ac:dyDescent="0.3">
      <c r="A200" t="str">
        <f>'rockfish harvests'!A199</f>
        <v>SC</v>
      </c>
      <c r="B200">
        <f>'rockfish harvests'!B199</f>
        <v>2020</v>
      </c>
      <c r="C200" t="str">
        <f>'rockfish harvests'!C199</f>
        <v>PWSI</v>
      </c>
      <c r="D200">
        <f>'rockfish harvests'!D199</f>
        <v>9001</v>
      </c>
      <c r="E200">
        <v>2287</v>
      </c>
      <c r="F200">
        <v>925</v>
      </c>
      <c r="I200" s="13">
        <f t="shared" ref="I200:I202" si="210">F200</f>
        <v>925</v>
      </c>
      <c r="J200">
        <f t="shared" ref="J200:J202" si="211">(E200^2)*H200</f>
        <v>0</v>
      </c>
      <c r="K200">
        <f t="shared" ref="K200:K202" si="212">SQRT(J200)</f>
        <v>0</v>
      </c>
      <c r="L200" s="6">
        <f t="shared" ref="L200:L202" si="213">(1.96*K200)</f>
        <v>0</v>
      </c>
      <c r="N200" s="2">
        <f>'rockfish harvests'!O199</f>
        <v>18605.884326200114</v>
      </c>
      <c r="O200">
        <f>'rockfish harvests'!P199</f>
        <v>9865637.9851696268</v>
      </c>
      <c r="P200">
        <v>0.26722008416806881</v>
      </c>
      <c r="Q200">
        <v>7.4737981215755361E-4</v>
      </c>
      <c r="T200" s="13">
        <f t="shared" ref="T200:T201" si="214">N200*P200</f>
        <v>4971.8659756685465</v>
      </c>
      <c r="U200" s="14">
        <f t="shared" si="209"/>
        <v>970571.92626239348</v>
      </c>
      <c r="V200">
        <f t="shared" ref="V200:V201" si="215">SQRT(U200)</f>
        <v>985.17608896196498</v>
      </c>
      <c r="W200" s="6">
        <f t="shared" ref="W200:W201" si="216">(1.96*V200)</f>
        <v>1930.9451343654514</v>
      </c>
      <c r="Y200" s="13">
        <f t="shared" ref="Y200:Y201" si="217">T200+I200</f>
        <v>5896.8659756685465</v>
      </c>
      <c r="Z200">
        <f t="shared" ref="Z200:Z201" si="218">U200+J200</f>
        <v>970571.92626239348</v>
      </c>
      <c r="AA200">
        <f t="shared" ref="AA200:AA201" si="219">SQRT(Z200)</f>
        <v>985.17608896196498</v>
      </c>
      <c r="AB200" s="6">
        <f t="shared" ref="AB200:AB201" si="220">(1.96*AA200)</f>
        <v>1930.9451343654514</v>
      </c>
      <c r="AC200" s="14">
        <f t="shared" ref="AC200:AC201" si="221">AA200/Y200</f>
        <v>0.16706774293785309</v>
      </c>
    </row>
    <row r="201" spans="1:29" x14ac:dyDescent="0.3">
      <c r="A201" t="str">
        <f>'rockfish harvests'!A200</f>
        <v>SC</v>
      </c>
      <c r="B201">
        <f>'rockfish harvests'!B200</f>
        <v>2021</v>
      </c>
      <c r="C201" t="str">
        <f>'rockfish harvests'!C200</f>
        <v>PWSI</v>
      </c>
      <c r="D201">
        <f>'rockfish harvests'!D200</f>
        <v>16848</v>
      </c>
      <c r="E201">
        <v>3647</v>
      </c>
      <c r="F201">
        <v>1380</v>
      </c>
      <c r="I201" s="13">
        <f t="shared" si="210"/>
        <v>1380</v>
      </c>
      <c r="J201">
        <f t="shared" si="211"/>
        <v>0</v>
      </c>
      <c r="K201">
        <f t="shared" si="212"/>
        <v>0</v>
      </c>
      <c r="L201" s="6">
        <f t="shared" si="213"/>
        <v>0</v>
      </c>
      <c r="N201" s="2">
        <f>'rockfish harvests'!O200</f>
        <v>26712.114727976325</v>
      </c>
      <c r="O201">
        <f>'rockfish harvests'!P200</f>
        <v>21799295.268585149</v>
      </c>
      <c r="P201">
        <v>0.25673143036175855</v>
      </c>
      <c r="Q201">
        <v>7.7255223897232427E-4</v>
      </c>
      <c r="T201" s="13">
        <f t="shared" si="214"/>
        <v>6857.8394221007584</v>
      </c>
      <c r="U201" s="14">
        <f t="shared" si="209"/>
        <v>2004899.7042339367</v>
      </c>
      <c r="V201">
        <f t="shared" si="215"/>
        <v>1415.9448097415157</v>
      </c>
      <c r="W201" s="6">
        <f t="shared" si="216"/>
        <v>2775.2518270933706</v>
      </c>
      <c r="Y201" s="13">
        <f t="shared" si="217"/>
        <v>8237.8394221007584</v>
      </c>
      <c r="Z201">
        <f t="shared" si="218"/>
        <v>2004899.7042339367</v>
      </c>
      <c r="AA201">
        <f t="shared" si="219"/>
        <v>1415.9448097415157</v>
      </c>
      <c r="AB201" s="6">
        <f t="shared" si="220"/>
        <v>2775.2518270933706</v>
      </c>
      <c r="AC201" s="14">
        <f t="shared" si="221"/>
        <v>0.17188303111890849</v>
      </c>
    </row>
    <row r="202" spans="1:29" s="51" customFormat="1" x14ac:dyDescent="0.3">
      <c r="A202" s="51" t="s">
        <v>81</v>
      </c>
      <c r="B202" s="51">
        <v>2022</v>
      </c>
      <c r="C202" s="51" t="s">
        <v>51</v>
      </c>
      <c r="D202" s="43">
        <v>21685</v>
      </c>
      <c r="E202" s="51">
        <v>3746</v>
      </c>
      <c r="F202" s="51">
        <v>1380</v>
      </c>
      <c r="I202" s="71">
        <f t="shared" si="210"/>
        <v>1380</v>
      </c>
      <c r="J202" s="51">
        <f t="shared" si="211"/>
        <v>0</v>
      </c>
      <c r="K202" s="51">
        <f t="shared" si="212"/>
        <v>0</v>
      </c>
      <c r="L202" s="78">
        <f t="shared" si="213"/>
        <v>0</v>
      </c>
      <c r="N202" s="2">
        <f>'rockfish harvests'!O201</f>
        <v>25116.853981705674</v>
      </c>
      <c r="O202">
        <f>'rockfish harvests'!P201</f>
        <v>15249701.106684575</v>
      </c>
      <c r="P202" s="91">
        <v>0.48237390227023919</v>
      </c>
      <c r="Q202" s="91">
        <v>6.6230589039475052E-4</v>
      </c>
      <c r="T202" s="13">
        <f t="shared" ref="T202" si="222">N202*P202</f>
        <v>12115.71486790716</v>
      </c>
      <c r="U202" s="14">
        <f t="shared" si="209"/>
        <v>3976290.1674791127</v>
      </c>
      <c r="V202">
        <f t="shared" ref="V202" si="223">SQRT(U202)</f>
        <v>1994.0637320504861</v>
      </c>
      <c r="W202" s="6">
        <f t="shared" ref="W202" si="224">(1.96*V202)</f>
        <v>3908.3649148189529</v>
      </c>
      <c r="X202"/>
      <c r="Y202" s="13">
        <f t="shared" ref="Y202" si="225">T202+I202</f>
        <v>13495.71486790716</v>
      </c>
      <c r="Z202">
        <f t="shared" ref="Z202" si="226">U202+J202</f>
        <v>3976290.1674791127</v>
      </c>
      <c r="AA202">
        <f t="shared" ref="AA202" si="227">SQRT(Z202)</f>
        <v>1994.0637320504861</v>
      </c>
      <c r="AB202" s="6">
        <f t="shared" ref="AB202" si="228">(1.96*AA202)</f>
        <v>3908.3649148189529</v>
      </c>
      <c r="AC202" s="14">
        <f t="shared" ref="AC202" si="229">AA202/Y202</f>
        <v>0.14775532467660341</v>
      </c>
    </row>
    <row r="203" spans="1:29" x14ac:dyDescent="0.3">
      <c r="A203" t="str">
        <f>'rockfish harvests'!A202</f>
        <v>SC</v>
      </c>
      <c r="B203">
        <f>'rockfish harvests'!B202</f>
        <v>1998</v>
      </c>
      <c r="C203" t="str">
        <f>'rockfish harvests'!C202</f>
        <v>PWSO</v>
      </c>
      <c r="D203">
        <f>'rockfish harvests'!D202</f>
        <v>7091</v>
      </c>
      <c r="E203">
        <v>1652</v>
      </c>
      <c r="F203" t="s">
        <v>159</v>
      </c>
      <c r="G203">
        <v>0.782436986</v>
      </c>
      <c r="H203">
        <v>1.54754E-3</v>
      </c>
      <c r="I203" s="13">
        <f t="shared" ref="I203:I210" si="230">E203*G203</f>
        <v>1292.5859008719999</v>
      </c>
      <c r="J203">
        <f t="shared" si="201"/>
        <v>4223.3976041599999</v>
      </c>
      <c r="K203">
        <f t="shared" si="202"/>
        <v>64.987672709214635</v>
      </c>
      <c r="L203" s="6">
        <f t="shared" si="203"/>
        <v>127.37583851006069</v>
      </c>
      <c r="N203" s="2">
        <f>'rockfish harvests'!O202</f>
        <v>1471.2039985303945</v>
      </c>
      <c r="O203">
        <f>'rockfish harvests'!P202</f>
        <v>494154.9077878145</v>
      </c>
      <c r="P203" s="32">
        <v>0.15778043999999999</v>
      </c>
      <c r="Q203" s="32">
        <v>6.0110550000000004E-3</v>
      </c>
      <c r="T203" s="13">
        <f t="shared" si="176"/>
        <v>232.12721421788498</v>
      </c>
      <c r="U203" s="14">
        <f t="shared" si="209"/>
        <v>28282.789456156694</v>
      </c>
      <c r="V203">
        <f t="shared" si="204"/>
        <v>168.17487760113485</v>
      </c>
      <c r="W203" s="6">
        <f t="shared" si="205"/>
        <v>329.62276009822432</v>
      </c>
      <c r="Y203" s="13">
        <f t="shared" si="199"/>
        <v>1524.7131150898849</v>
      </c>
      <c r="Z203">
        <f t="shared" si="200"/>
        <v>32506.187060316694</v>
      </c>
      <c r="AA203">
        <f t="shared" si="206"/>
        <v>180.29472277445254</v>
      </c>
      <c r="AB203" s="6">
        <f t="shared" si="207"/>
        <v>353.37765663792698</v>
      </c>
      <c r="AC203" s="14">
        <f>AA203/Y203</f>
        <v>0.1182482927378924</v>
      </c>
    </row>
    <row r="204" spans="1:29" x14ac:dyDescent="0.3">
      <c r="A204" t="str">
        <f>'rockfish harvests'!A203</f>
        <v>SC</v>
      </c>
      <c r="B204">
        <f>'rockfish harvests'!B203</f>
        <v>1999</v>
      </c>
      <c r="C204" t="str">
        <f>'rockfish harvests'!C203</f>
        <v>PWSO</v>
      </c>
      <c r="D204">
        <f>'rockfish harvests'!D203</f>
        <v>4594</v>
      </c>
      <c r="E204">
        <v>1341</v>
      </c>
      <c r="F204" t="s">
        <v>159</v>
      </c>
      <c r="G204">
        <v>0.91128804699999999</v>
      </c>
      <c r="H204">
        <v>4.61955E-4</v>
      </c>
      <c r="I204" s="13">
        <f t="shared" si="230"/>
        <v>1222.0372710270001</v>
      </c>
      <c r="J204">
        <f t="shared" si="201"/>
        <v>830.72489935500005</v>
      </c>
      <c r="K204">
        <f t="shared" si="202"/>
        <v>28.82229864800863</v>
      </c>
      <c r="L204" s="6">
        <f t="shared" si="203"/>
        <v>56.491705350096915</v>
      </c>
      <c r="N204" s="2">
        <f>'rockfish harvests'!O203</f>
        <v>953.13935541512274</v>
      </c>
      <c r="O204">
        <f>'rockfish harvests'!P203</f>
        <v>207410.20653889881</v>
      </c>
      <c r="P204" s="32">
        <v>0.15778043999999999</v>
      </c>
      <c r="Q204" s="32">
        <v>6.0110550000000004E-3</v>
      </c>
      <c r="T204" s="13">
        <f t="shared" ref="T204:T223" si="231">N204*P204</f>
        <v>150.38674687871443</v>
      </c>
      <c r="U204" s="14">
        <f t="shared" si="209"/>
        <v>11871.053206490702</v>
      </c>
      <c r="V204">
        <f t="shared" si="204"/>
        <v>108.9543629529846</v>
      </c>
      <c r="W204" s="6">
        <f t="shared" si="205"/>
        <v>213.55055138784979</v>
      </c>
      <c r="Y204" s="13">
        <f t="shared" si="199"/>
        <v>1372.4240179057144</v>
      </c>
      <c r="Z204">
        <f t="shared" si="200"/>
        <v>12701.778105845702</v>
      </c>
      <c r="AA204">
        <f t="shared" si="206"/>
        <v>112.702165488715</v>
      </c>
      <c r="AB204" s="6">
        <f t="shared" si="207"/>
        <v>220.89624435788139</v>
      </c>
      <c r="AC204" s="14">
        <f t="shared" si="198"/>
        <v>8.211905651483406E-2</v>
      </c>
    </row>
    <row r="205" spans="1:29" x14ac:dyDescent="0.3">
      <c r="A205" t="str">
        <f>'rockfish harvests'!A204</f>
        <v>SC</v>
      </c>
      <c r="B205">
        <f>'rockfish harvests'!B204</f>
        <v>2000</v>
      </c>
      <c r="C205" t="str">
        <f>'rockfish harvests'!C204</f>
        <v>PWSO</v>
      </c>
      <c r="D205">
        <f>'rockfish harvests'!D204</f>
        <v>9244</v>
      </c>
      <c r="E205">
        <v>2206</v>
      </c>
      <c r="F205" t="s">
        <v>159</v>
      </c>
      <c r="G205">
        <v>0.87511098499999995</v>
      </c>
      <c r="H205">
        <v>3.7686799999999998E-4</v>
      </c>
      <c r="I205" s="13">
        <f t="shared" si="230"/>
        <v>1930.4948329099998</v>
      </c>
      <c r="J205">
        <f t="shared" si="201"/>
        <v>1834.0040024479999</v>
      </c>
      <c r="K205">
        <f t="shared" si="202"/>
        <v>42.825272940729754</v>
      </c>
      <c r="L205" s="6">
        <f t="shared" si="203"/>
        <v>83.937534963830316</v>
      </c>
      <c r="N205" s="2">
        <f>'rockfish harvests'!O204</f>
        <v>1917.897301144405</v>
      </c>
      <c r="O205">
        <f>'rockfish harvests'!P204</f>
        <v>839784.81191828009</v>
      </c>
      <c r="P205" s="32">
        <v>0.15778043999999999</v>
      </c>
      <c r="Q205" s="32">
        <v>6.0110550000000004E-3</v>
      </c>
      <c r="T205" s="13">
        <f t="shared" si="231"/>
        <v>302.60668004937673</v>
      </c>
      <c r="U205" s="14">
        <f t="shared" si="209"/>
        <v>48064.800429264455</v>
      </c>
      <c r="V205">
        <f t="shared" si="204"/>
        <v>219.23685919403346</v>
      </c>
      <c r="W205" s="6">
        <f t="shared" si="205"/>
        <v>429.70424402030557</v>
      </c>
      <c r="Y205" s="13">
        <f t="shared" si="199"/>
        <v>2233.1015129593766</v>
      </c>
      <c r="Z205">
        <f t="shared" si="200"/>
        <v>49898.804431712451</v>
      </c>
      <c r="AA205">
        <f t="shared" si="206"/>
        <v>223.3804029715061</v>
      </c>
      <c r="AB205" s="6">
        <f t="shared" si="207"/>
        <v>437.82558982415196</v>
      </c>
      <c r="AC205" s="14">
        <f t="shared" si="198"/>
        <v>0.10003145923960946</v>
      </c>
    </row>
    <row r="206" spans="1:29" x14ac:dyDescent="0.3">
      <c r="A206" t="str">
        <f>'rockfish harvests'!A205</f>
        <v>SC</v>
      </c>
      <c r="B206">
        <f>'rockfish harvests'!B205</f>
        <v>2001</v>
      </c>
      <c r="C206" t="str">
        <f>'rockfish harvests'!C205</f>
        <v>PWSO</v>
      </c>
      <c r="D206">
        <f>'rockfish harvests'!D205</f>
        <v>11235</v>
      </c>
      <c r="E206">
        <v>3024</v>
      </c>
      <c r="F206" t="s">
        <v>159</v>
      </c>
      <c r="G206">
        <v>0.81360226899999999</v>
      </c>
      <c r="H206">
        <v>5.5146800000000005E-4</v>
      </c>
      <c r="I206" s="13">
        <f t="shared" si="230"/>
        <v>2460.3332614559999</v>
      </c>
      <c r="J206">
        <f t="shared" si="201"/>
        <v>5042.9410375680009</v>
      </c>
      <c r="K206">
        <f t="shared" si="202"/>
        <v>71.013667963061877</v>
      </c>
      <c r="L206" s="6">
        <f t="shared" si="203"/>
        <v>139.18678920760127</v>
      </c>
      <c r="N206" s="2">
        <f>'rockfish harvests'!O205</f>
        <v>2330.979681778168</v>
      </c>
      <c r="O206">
        <f>'rockfish harvests'!P205</f>
        <v>1240492.9366742759</v>
      </c>
      <c r="P206">
        <f>IF([1]species_comp_Region2_forR!$D361&gt;49,[1]species_comp_Region2_forR!$J361,[1]species_comp_Region2_forR!$L361)</f>
        <v>0.348890796</v>
      </c>
      <c r="Q206">
        <f>IF([1]species_comp_Region2_forR!$D361&gt;49,[1]species_comp_Region2_forR!$K361,[1]species_comp_Region2_forR!$M361)</f>
        <v>4.454235E-3</v>
      </c>
      <c r="T206" s="13">
        <f t="shared" si="231"/>
        <v>813.25735663541172</v>
      </c>
      <c r="U206" s="14">
        <f t="shared" si="209"/>
        <v>180726.12187100927</v>
      </c>
      <c r="V206">
        <f t="shared" si="204"/>
        <v>425.11895026099376</v>
      </c>
      <c r="W206" s="6">
        <f t="shared" si="205"/>
        <v>833.23314251154773</v>
      </c>
      <c r="Y206" s="13">
        <f t="shared" si="199"/>
        <v>3273.5906180914117</v>
      </c>
      <c r="Z206">
        <f t="shared" si="200"/>
        <v>185769.06290857727</v>
      </c>
      <c r="AA206">
        <f t="shared" si="206"/>
        <v>431.00935362075063</v>
      </c>
      <c r="AB206" s="6">
        <f t="shared" si="207"/>
        <v>844.77833309667119</v>
      </c>
      <c r="AC206" s="14">
        <f t="shared" si="198"/>
        <v>0.13166256991292341</v>
      </c>
    </row>
    <row r="207" spans="1:29" x14ac:dyDescent="0.3">
      <c r="A207" t="str">
        <f>'rockfish harvests'!A206</f>
        <v>SC</v>
      </c>
      <c r="B207">
        <f>'rockfish harvests'!B206</f>
        <v>2002</v>
      </c>
      <c r="C207" t="str">
        <f>'rockfish harvests'!C206</f>
        <v>PWSO</v>
      </c>
      <c r="D207">
        <f>'rockfish harvests'!D206</f>
        <v>9018</v>
      </c>
      <c r="E207">
        <v>2386</v>
      </c>
      <c r="F207" t="s">
        <v>159</v>
      </c>
      <c r="G207">
        <v>0.88427394800000003</v>
      </c>
      <c r="H207">
        <v>3.61603E-4</v>
      </c>
      <c r="I207" s="13">
        <f t="shared" si="230"/>
        <v>2109.877639928</v>
      </c>
      <c r="J207">
        <f t="shared" si="201"/>
        <v>2058.6044325879998</v>
      </c>
      <c r="K207">
        <f t="shared" si="202"/>
        <v>45.371846255007078</v>
      </c>
      <c r="L207" s="6">
        <f t="shared" si="203"/>
        <v>88.928818659813871</v>
      </c>
      <c r="N207" s="2">
        <f>'rockfish harvests'!O206</f>
        <v>1871.0079902336911</v>
      </c>
      <c r="O207">
        <f>'rockfish harvests'!P206</f>
        <v>799224.16063675296</v>
      </c>
      <c r="P207" s="32">
        <v>0.15778043999999999</v>
      </c>
      <c r="Q207" s="32">
        <v>6.0110550000000004E-3</v>
      </c>
      <c r="T207" s="13">
        <f t="shared" si="231"/>
        <v>295.20846394258746</v>
      </c>
      <c r="U207" s="14">
        <f t="shared" si="209"/>
        <v>45743.325235310462</v>
      </c>
      <c r="V207">
        <f t="shared" si="204"/>
        <v>213.87689271005988</v>
      </c>
      <c r="W207" s="6">
        <f t="shared" si="205"/>
        <v>419.19870971171736</v>
      </c>
      <c r="Y207" s="13">
        <f t="shared" si="199"/>
        <v>2405.0861038705875</v>
      </c>
      <c r="Z207">
        <f t="shared" si="200"/>
        <v>47801.929667898461</v>
      </c>
      <c r="AA207">
        <f t="shared" si="206"/>
        <v>218.63652409398222</v>
      </c>
      <c r="AB207" s="6">
        <f t="shared" si="207"/>
        <v>428.52758722420515</v>
      </c>
      <c r="AC207" s="14">
        <f t="shared" si="198"/>
        <v>9.090590301200567E-2</v>
      </c>
    </row>
    <row r="208" spans="1:29" x14ac:dyDescent="0.3">
      <c r="A208" t="str">
        <f>'rockfish harvests'!A207</f>
        <v>SC</v>
      </c>
      <c r="B208">
        <f>'rockfish harvests'!B207</f>
        <v>2003</v>
      </c>
      <c r="C208" t="str">
        <f>'rockfish harvests'!C207</f>
        <v>PWSO</v>
      </c>
      <c r="D208">
        <f>'rockfish harvests'!D207</f>
        <v>9696</v>
      </c>
      <c r="E208">
        <v>2448</v>
      </c>
      <c r="F208" t="s">
        <v>159</v>
      </c>
      <c r="G208">
        <v>0.84754753500000002</v>
      </c>
      <c r="H208">
        <v>4.5021200000000002E-4</v>
      </c>
      <c r="I208" s="13">
        <f t="shared" si="230"/>
        <v>2074.7963656800002</v>
      </c>
      <c r="J208">
        <f t="shared" si="201"/>
        <v>2697.9872532479999</v>
      </c>
      <c r="K208">
        <f t="shared" si="202"/>
        <v>51.942152951605692</v>
      </c>
      <c r="L208" s="6">
        <f t="shared" si="203"/>
        <v>101.80661978514715</v>
      </c>
      <c r="N208" s="2">
        <f>'rockfish harvests'!O207</f>
        <v>2011.675922965831</v>
      </c>
      <c r="O208">
        <f>'rockfish harvests'!P207</f>
        <v>923917.84611739591</v>
      </c>
      <c r="P208">
        <f>IF([1]species_comp_Region2_forR!$D363&gt;49,[1]species_comp_Region2_forR!$J363,[1]species_comp_Region2_forR!$L363)</f>
        <v>7.0760806999999995E-2</v>
      </c>
      <c r="Q208">
        <f>IF([1]species_comp_Region2_forR!$D363&gt;49,[1]species_comp_Region2_forR!$K363,[1]species_comp_Region2_forR!$M363)</f>
        <v>1.0958949999999999E-3</v>
      </c>
      <c r="T208" s="13">
        <f t="shared" si="231"/>
        <v>142.34781173153203</v>
      </c>
      <c r="U208" s="14">
        <f t="shared" si="209"/>
        <v>10073.570168541723</v>
      </c>
      <c r="V208">
        <f t="shared" si="204"/>
        <v>100.36717674888401</v>
      </c>
      <c r="W208" s="6">
        <f t="shared" si="205"/>
        <v>196.71966642781265</v>
      </c>
      <c r="Y208" s="13">
        <f t="shared" si="199"/>
        <v>2217.1441774115324</v>
      </c>
      <c r="Z208">
        <f t="shared" si="200"/>
        <v>12771.557421789723</v>
      </c>
      <c r="AA208">
        <f t="shared" si="206"/>
        <v>113.01131545907128</v>
      </c>
      <c r="AB208" s="6">
        <f t="shared" si="207"/>
        <v>221.5021782997797</v>
      </c>
      <c r="AC208" s="14">
        <f t="shared" si="198"/>
        <v>5.0971568114713019E-2</v>
      </c>
    </row>
    <row r="209" spans="1:29" x14ac:dyDescent="0.3">
      <c r="A209" t="str">
        <f>'rockfish harvests'!A208</f>
        <v>SC</v>
      </c>
      <c r="B209">
        <f>'rockfish harvests'!B208</f>
        <v>2004</v>
      </c>
      <c r="C209" t="str">
        <f>'rockfish harvests'!C208</f>
        <v>PWSO</v>
      </c>
      <c r="D209">
        <f>'rockfish harvests'!D208</f>
        <v>12216</v>
      </c>
      <c r="E209">
        <v>2976</v>
      </c>
      <c r="F209" t="s">
        <v>159</v>
      </c>
      <c r="G209">
        <v>0.87092449199999999</v>
      </c>
      <c r="H209">
        <v>3.6617300000000002E-4</v>
      </c>
      <c r="I209" s="13">
        <f t="shared" si="230"/>
        <v>2591.8712881920001</v>
      </c>
      <c r="J209">
        <f t="shared" si="201"/>
        <v>3243.0390036480003</v>
      </c>
      <c r="K209">
        <f t="shared" si="202"/>
        <v>56.947686552203329</v>
      </c>
      <c r="L209" s="6">
        <f t="shared" si="203"/>
        <v>111.61746564231852</v>
      </c>
      <c r="N209" s="2">
        <f>'rockfish harvests'!O208</f>
        <v>2534.5124871029911</v>
      </c>
      <c r="O209">
        <f>'rockfish harvests'!P208</f>
        <v>1466581.4594766509</v>
      </c>
      <c r="P209">
        <f>IF([1]species_comp_Region2_forR!$D364&gt;49,[1]species_comp_Region2_forR!$J364,[1]species_comp_Region2_forR!$L364)</f>
        <v>7.6303002999999994E-2</v>
      </c>
      <c r="Q209">
        <f>IF([1]species_comp_Region2_forR!$D364&gt;49,[1]species_comp_Region2_forR!$K364,[1]species_comp_Region2_forR!$M364)</f>
        <v>1.305201E-3</v>
      </c>
      <c r="T209" s="13">
        <f t="shared" si="231"/>
        <v>193.39091390695697</v>
      </c>
      <c r="U209" s="14">
        <f t="shared" si="209"/>
        <v>18837.127843594488</v>
      </c>
      <c r="V209">
        <f t="shared" si="204"/>
        <v>137.2484165431226</v>
      </c>
      <c r="W209" s="6">
        <f t="shared" si="205"/>
        <v>269.00689642452028</v>
      </c>
      <c r="Y209" s="13">
        <f t="shared" si="199"/>
        <v>2785.262202098957</v>
      </c>
      <c r="Z209">
        <f t="shared" si="200"/>
        <v>22080.166847242486</v>
      </c>
      <c r="AA209">
        <f t="shared" si="206"/>
        <v>148.59396638909161</v>
      </c>
      <c r="AB209" s="6">
        <f t="shared" si="207"/>
        <v>291.24417412261954</v>
      </c>
      <c r="AC209" s="14">
        <f t="shared" si="198"/>
        <v>5.3350081826088788E-2</v>
      </c>
    </row>
    <row r="210" spans="1:29" x14ac:dyDescent="0.3">
      <c r="A210" t="str">
        <f>'rockfish harvests'!A209</f>
        <v>SC</v>
      </c>
      <c r="B210">
        <f>'rockfish harvests'!B209</f>
        <v>2005</v>
      </c>
      <c r="C210" t="str">
        <f>'rockfish harvests'!C209</f>
        <v>PWSO</v>
      </c>
      <c r="D210">
        <f>'rockfish harvests'!D209</f>
        <v>9664</v>
      </c>
      <c r="E210">
        <v>2177</v>
      </c>
      <c r="F210" t="s">
        <v>159</v>
      </c>
      <c r="G210">
        <v>0.71818884400000005</v>
      </c>
      <c r="H210">
        <v>1.9649870000000001E-3</v>
      </c>
      <c r="I210" s="13">
        <f t="shared" si="230"/>
        <v>1563.4971133880001</v>
      </c>
      <c r="J210">
        <f t="shared" si="201"/>
        <v>9312.719873723001</v>
      </c>
      <c r="K210">
        <f t="shared" si="202"/>
        <v>96.502434548165681</v>
      </c>
      <c r="L210" s="6">
        <f t="shared" si="203"/>
        <v>189.14477171440473</v>
      </c>
      <c r="N210" s="2">
        <f>'rockfish harvests'!O209</f>
        <v>2005.0367285005977</v>
      </c>
      <c r="O210">
        <f>'rockfish harvests'!P209</f>
        <v>917829.44196419709</v>
      </c>
      <c r="P210">
        <f>IF([1]species_comp_Region2_forR!$D365&gt;49,[1]species_comp_Region2_forR!$J365,[1]species_comp_Region2_forR!$L365)</f>
        <v>7.7582278000000005E-2</v>
      </c>
      <c r="Q210">
        <f>IF([1]species_comp_Region2_forR!$D365&gt;49,[1]species_comp_Region2_forR!$K365,[1]species_comp_Region2_forR!$M365)</f>
        <v>1.233849E-3</v>
      </c>
      <c r="T210" s="13">
        <f t="shared" si="231"/>
        <v>155.55531687074389</v>
      </c>
      <c r="U210" s="14">
        <f t="shared" si="209"/>
        <v>11617.172950573957</v>
      </c>
      <c r="V210">
        <f t="shared" si="204"/>
        <v>107.78299007994701</v>
      </c>
      <c r="W210" s="6">
        <f t="shared" si="205"/>
        <v>211.25466055669614</v>
      </c>
      <c r="Y210" s="13">
        <f t="shared" si="199"/>
        <v>1719.0524302587439</v>
      </c>
      <c r="Z210">
        <f t="shared" si="200"/>
        <v>20929.892824296956</v>
      </c>
      <c r="AA210">
        <f t="shared" si="206"/>
        <v>144.6716725012086</v>
      </c>
      <c r="AB210" s="6">
        <f t="shared" si="207"/>
        <v>283.55647810236889</v>
      </c>
      <c r="AC210" s="14">
        <f t="shared" si="198"/>
        <v>8.4157801097103996E-2</v>
      </c>
    </row>
    <row r="211" spans="1:29" x14ac:dyDescent="0.3">
      <c r="A211" t="str">
        <f>'rockfish harvests'!A210</f>
        <v>SC</v>
      </c>
      <c r="B211">
        <f>'rockfish harvests'!B210</f>
        <v>2006</v>
      </c>
      <c r="C211" t="str">
        <f>'rockfish harvests'!C210</f>
        <v>PWSO</v>
      </c>
      <c r="D211">
        <f>'rockfish harvests'!D210</f>
        <v>9129</v>
      </c>
      <c r="E211">
        <v>2934</v>
      </c>
      <c r="F211">
        <v>2437</v>
      </c>
      <c r="I211" s="13">
        <f>F211</f>
        <v>2437</v>
      </c>
      <c r="J211">
        <f t="shared" si="201"/>
        <v>0</v>
      </c>
      <c r="K211">
        <f t="shared" si="202"/>
        <v>0</v>
      </c>
      <c r="L211" s="6">
        <f t="shared" si="203"/>
        <v>0</v>
      </c>
      <c r="N211" s="2">
        <f>'rockfish harvests'!O210</f>
        <v>1894.0376960349713</v>
      </c>
      <c r="O211">
        <f>'rockfish harvests'!P210</f>
        <v>819020.09295315738</v>
      </c>
      <c r="P211" s="32">
        <v>0.15778043999999999</v>
      </c>
      <c r="Q211" s="32">
        <v>6.0110550000000004E-3</v>
      </c>
      <c r="T211" s="13">
        <f t="shared" si="231"/>
        <v>298.84210105698401</v>
      </c>
      <c r="U211" s="14">
        <f t="shared" si="209"/>
        <v>46876.33874376602</v>
      </c>
      <c r="V211">
        <f t="shared" si="204"/>
        <v>216.50944262033011</v>
      </c>
      <c r="W211" s="6">
        <f t="shared" si="205"/>
        <v>424.35850753584702</v>
      </c>
      <c r="Y211" s="13">
        <f t="shared" si="199"/>
        <v>2735.8421010569841</v>
      </c>
      <c r="Z211">
        <f t="shared" si="200"/>
        <v>46876.33874376602</v>
      </c>
      <c r="AA211">
        <f t="shared" si="206"/>
        <v>216.50944262033011</v>
      </c>
      <c r="AB211" s="6">
        <f t="shared" si="207"/>
        <v>424.35850753584702</v>
      </c>
      <c r="AC211" s="14">
        <f t="shared" si="198"/>
        <v>7.9138135397756451E-2</v>
      </c>
    </row>
    <row r="212" spans="1:29" x14ac:dyDescent="0.3">
      <c r="A212" t="str">
        <f>'rockfish harvests'!A211</f>
        <v>SC</v>
      </c>
      <c r="B212">
        <f>'rockfish harvests'!B211</f>
        <v>2007</v>
      </c>
      <c r="C212" t="str">
        <f>'rockfish harvests'!C211</f>
        <v>PWSO</v>
      </c>
      <c r="D212">
        <f>'rockfish harvests'!D211</f>
        <v>12198</v>
      </c>
      <c r="E212">
        <v>3859</v>
      </c>
      <c r="F212">
        <v>3287</v>
      </c>
      <c r="I212" s="13">
        <f t="shared" ref="I212:I223" si="232">F212</f>
        <v>3287</v>
      </c>
      <c r="J212">
        <f t="shared" si="201"/>
        <v>0</v>
      </c>
      <c r="K212">
        <f t="shared" si="202"/>
        <v>0</v>
      </c>
      <c r="L212" s="6">
        <f t="shared" si="203"/>
        <v>0</v>
      </c>
      <c r="N212" s="2">
        <f>'rockfish harvests'!O211</f>
        <v>2530.7779402162978</v>
      </c>
      <c r="O212">
        <f>'rockfish harvests'!P211</f>
        <v>1462262.6943327789</v>
      </c>
      <c r="P212" s="32">
        <v>0.15778043999999999</v>
      </c>
      <c r="Q212" s="32">
        <v>6.0110550000000004E-3</v>
      </c>
      <c r="T212" s="13">
        <f t="shared" si="231"/>
        <v>399.30725694962115</v>
      </c>
      <c r="U212" s="14">
        <f t="shared" si="209"/>
        <v>83692.112051560733</v>
      </c>
      <c r="V212">
        <f t="shared" si="204"/>
        <v>289.29589013942234</v>
      </c>
      <c r="W212" s="6">
        <f t="shared" si="205"/>
        <v>567.01994467326779</v>
      </c>
      <c r="Y212" s="13">
        <f t="shared" si="199"/>
        <v>3686.3072569496212</v>
      </c>
      <c r="Z212">
        <f t="shared" si="200"/>
        <v>83692.112051560733</v>
      </c>
      <c r="AA212">
        <f t="shared" si="206"/>
        <v>289.29589013942234</v>
      </c>
      <c r="AB212" s="6">
        <f t="shared" si="207"/>
        <v>567.01994467326779</v>
      </c>
      <c r="AC212" s="14">
        <f t="shared" si="198"/>
        <v>7.8478507073447668E-2</v>
      </c>
    </row>
    <row r="213" spans="1:29" x14ac:dyDescent="0.3">
      <c r="A213" t="str">
        <f>'rockfish harvests'!A212</f>
        <v>SC</v>
      </c>
      <c r="B213">
        <f>'rockfish harvests'!B212</f>
        <v>2008</v>
      </c>
      <c r="C213" t="str">
        <f>'rockfish harvests'!C212</f>
        <v>PWSO</v>
      </c>
      <c r="D213">
        <f>'rockfish harvests'!D212</f>
        <v>13387</v>
      </c>
      <c r="E213">
        <v>3569</v>
      </c>
      <c r="F213">
        <v>2906</v>
      </c>
      <c r="I213" s="13">
        <f t="shared" si="232"/>
        <v>2906</v>
      </c>
      <c r="J213">
        <f t="shared" si="201"/>
        <v>0</v>
      </c>
      <c r="K213">
        <f t="shared" si="202"/>
        <v>0</v>
      </c>
      <c r="L213" s="6">
        <f t="shared" si="203"/>
        <v>0</v>
      </c>
      <c r="N213" s="2">
        <f>'rockfish harvests'!O212</f>
        <v>2777.4655095651397</v>
      </c>
      <c r="O213">
        <f>'rockfish harvests'!P212</f>
        <v>1761224.3005580062</v>
      </c>
      <c r="P213" s="32">
        <v>0.15778043999999999</v>
      </c>
      <c r="Q213" s="32">
        <v>6.0110550000000004E-3</v>
      </c>
      <c r="T213" s="13">
        <f t="shared" si="231"/>
        <v>438.22973018401194</v>
      </c>
      <c r="U213" s="14">
        <f t="shared" si="209"/>
        <v>100803.07873647167</v>
      </c>
      <c r="V213">
        <f t="shared" si="204"/>
        <v>317.49500584492927</v>
      </c>
      <c r="W213" s="6">
        <f t="shared" si="205"/>
        <v>622.29021145606134</v>
      </c>
      <c r="Y213" s="13">
        <f t="shared" si="199"/>
        <v>3344.2297301840117</v>
      </c>
      <c r="Z213">
        <f t="shared" si="200"/>
        <v>100803.07873647167</v>
      </c>
      <c r="AA213">
        <f t="shared" si="206"/>
        <v>317.49500584492927</v>
      </c>
      <c r="AB213" s="6">
        <f t="shared" si="207"/>
        <v>622.29021145606134</v>
      </c>
      <c r="AC213" s="14">
        <f t="shared" si="198"/>
        <v>9.4938156604289128E-2</v>
      </c>
    </row>
    <row r="214" spans="1:29" x14ac:dyDescent="0.3">
      <c r="A214" t="str">
        <f>'rockfish harvests'!A213</f>
        <v>SC</v>
      </c>
      <c r="B214">
        <f>'rockfish harvests'!B213</f>
        <v>2009</v>
      </c>
      <c r="C214" t="str">
        <f>'rockfish harvests'!C213</f>
        <v>PWSO</v>
      </c>
      <c r="D214">
        <f>'rockfish harvests'!D213</f>
        <v>13724</v>
      </c>
      <c r="E214">
        <v>3376</v>
      </c>
      <c r="F214">
        <v>2889</v>
      </c>
      <c r="I214" s="13">
        <f t="shared" si="232"/>
        <v>2889</v>
      </c>
      <c r="J214">
        <f t="shared" si="201"/>
        <v>0</v>
      </c>
      <c r="K214">
        <f t="shared" si="202"/>
        <v>0</v>
      </c>
      <c r="L214" s="6">
        <f t="shared" si="203"/>
        <v>0</v>
      </c>
      <c r="N214" s="2">
        <f>'rockfish harvests'!O213</f>
        <v>2847.384526277132</v>
      </c>
      <c r="O214">
        <f>'rockfish harvests'!P213</f>
        <v>1851013.392635928</v>
      </c>
      <c r="P214">
        <v>0.19363633899999999</v>
      </c>
      <c r="Q214">
        <v>1.577185E-3</v>
      </c>
      <c r="T214" s="13">
        <f t="shared" si="231"/>
        <v>551.35711539355316</v>
      </c>
      <c r="U214" s="14">
        <f t="shared" si="209"/>
        <v>85110.37950399227</v>
      </c>
      <c r="V214">
        <f t="shared" si="204"/>
        <v>291.73683261458825</v>
      </c>
      <c r="W214" s="6">
        <f t="shared" si="205"/>
        <v>571.80419192459294</v>
      </c>
      <c r="Y214" s="13">
        <f t="shared" si="199"/>
        <v>3440.3571153935532</v>
      </c>
      <c r="Z214">
        <f t="shared" si="200"/>
        <v>85110.37950399227</v>
      </c>
      <c r="AA214">
        <f t="shared" si="206"/>
        <v>291.73683261458825</v>
      </c>
      <c r="AB214" s="6">
        <f t="shared" si="207"/>
        <v>571.80419192459294</v>
      </c>
      <c r="AC214" s="14">
        <f t="shared" si="198"/>
        <v>8.4798415638085753E-2</v>
      </c>
    </row>
    <row r="215" spans="1:29" x14ac:dyDescent="0.3">
      <c r="A215" t="str">
        <f>'rockfish harvests'!A214</f>
        <v>SC</v>
      </c>
      <c r="B215">
        <f>'rockfish harvests'!B214</f>
        <v>2010</v>
      </c>
      <c r="C215" t="str">
        <f>'rockfish harvests'!C214</f>
        <v>PWSO</v>
      </c>
      <c r="D215">
        <f>'rockfish harvests'!D214</f>
        <v>13038</v>
      </c>
      <c r="E215">
        <v>4523</v>
      </c>
      <c r="F215">
        <v>3537</v>
      </c>
      <c r="I215" s="13">
        <f t="shared" si="232"/>
        <v>3537</v>
      </c>
      <c r="J215">
        <f t="shared" si="201"/>
        <v>0</v>
      </c>
      <c r="K215">
        <f t="shared" si="202"/>
        <v>0</v>
      </c>
      <c r="L215" s="6">
        <f t="shared" si="203"/>
        <v>0</v>
      </c>
      <c r="N215" s="2">
        <f>'rockfish harvests'!O214</f>
        <v>2705.0567949286833</v>
      </c>
      <c r="O215">
        <f>'rockfish harvests'!P214</f>
        <v>1670590.8394394808</v>
      </c>
      <c r="P215">
        <v>0.11916523599999999</v>
      </c>
      <c r="Q215">
        <v>1.029067E-3</v>
      </c>
      <c r="T215" s="13">
        <f t="shared" si="231"/>
        <v>322.34873136108013</v>
      </c>
      <c r="U215" s="14">
        <f t="shared" si="209"/>
        <v>32972.155489418699</v>
      </c>
      <c r="V215">
        <f t="shared" si="204"/>
        <v>181.58236557942155</v>
      </c>
      <c r="W215" s="6">
        <f t="shared" si="205"/>
        <v>355.90143653566622</v>
      </c>
      <c r="Y215" s="13">
        <f t="shared" si="199"/>
        <v>3859.3487313610804</v>
      </c>
      <c r="Z215">
        <f t="shared" si="200"/>
        <v>32972.155489418699</v>
      </c>
      <c r="AA215">
        <f t="shared" si="206"/>
        <v>181.58236557942155</v>
      </c>
      <c r="AB215" s="6">
        <f t="shared" si="207"/>
        <v>355.90143653566622</v>
      </c>
      <c r="AC215" s="14">
        <f t="shared" si="198"/>
        <v>4.7050002013003557E-2</v>
      </c>
    </row>
    <row r="216" spans="1:29" x14ac:dyDescent="0.3">
      <c r="A216" t="str">
        <f>'rockfish harvests'!A215</f>
        <v>SC</v>
      </c>
      <c r="B216">
        <f>'rockfish harvests'!B215</f>
        <v>2011</v>
      </c>
      <c r="C216" t="str">
        <f>'rockfish harvests'!C215</f>
        <v>PWSO</v>
      </c>
      <c r="D216">
        <f>'rockfish harvests'!D215</f>
        <v>15590</v>
      </c>
      <c r="E216">
        <v>4260</v>
      </c>
      <c r="F216">
        <v>3189</v>
      </c>
      <c r="I216" s="13">
        <f t="shared" si="232"/>
        <v>3189</v>
      </c>
      <c r="J216">
        <f t="shared" si="201"/>
        <v>0</v>
      </c>
      <c r="K216">
        <f t="shared" si="202"/>
        <v>0</v>
      </c>
      <c r="L216" s="6">
        <f t="shared" si="203"/>
        <v>0</v>
      </c>
      <c r="N216" s="2">
        <f>'rockfish harvests'!O215</f>
        <v>3693.2731282159002</v>
      </c>
      <c r="O216">
        <f>'rockfish harvests'!P215</f>
        <v>1342172.6209808656</v>
      </c>
      <c r="P216">
        <v>0.119794738</v>
      </c>
      <c r="Q216">
        <v>7.6408699999999999E-4</v>
      </c>
      <c r="T216" s="13">
        <f t="shared" si="231"/>
        <v>442.43468675706418</v>
      </c>
      <c r="U216" s="14">
        <f t="shared" si="209"/>
        <v>30709.10988635035</v>
      </c>
      <c r="V216">
        <f t="shared" si="204"/>
        <v>175.24014918491238</v>
      </c>
      <c r="W216" s="6">
        <f t="shared" si="205"/>
        <v>343.47069240242826</v>
      </c>
      <c r="Y216" s="13">
        <f t="shared" si="199"/>
        <v>3631.4346867570644</v>
      </c>
      <c r="Z216">
        <f t="shared" si="200"/>
        <v>30709.10988635035</v>
      </c>
      <c r="AA216">
        <f t="shared" si="206"/>
        <v>175.24014918491238</v>
      </c>
      <c r="AB216" s="6">
        <f t="shared" si="207"/>
        <v>343.47069240242826</v>
      </c>
      <c r="AC216" s="14">
        <f t="shared" si="198"/>
        <v>4.8256450769710788E-2</v>
      </c>
    </row>
    <row r="217" spans="1:29" x14ac:dyDescent="0.3">
      <c r="A217" t="str">
        <f>'rockfish harvests'!A216</f>
        <v>SC</v>
      </c>
      <c r="B217">
        <f>'rockfish harvests'!B216</f>
        <v>2012</v>
      </c>
      <c r="C217" t="str">
        <f>'rockfish harvests'!C216</f>
        <v>PWSO</v>
      </c>
      <c r="D217">
        <f>'rockfish harvests'!D216</f>
        <v>16566</v>
      </c>
      <c r="E217">
        <v>5165</v>
      </c>
      <c r="F217">
        <v>3484</v>
      </c>
      <c r="I217" s="13">
        <f t="shared" si="232"/>
        <v>3484</v>
      </c>
      <c r="J217">
        <f t="shared" si="201"/>
        <v>0</v>
      </c>
      <c r="K217">
        <f t="shared" si="202"/>
        <v>0</v>
      </c>
      <c r="L217" s="6">
        <f t="shared" si="203"/>
        <v>0</v>
      </c>
      <c r="N217" s="2">
        <f>'rockfish harvests'!O216</f>
        <v>2004.0431802604508</v>
      </c>
      <c r="O217">
        <f>'rockfish harvests'!P216</f>
        <v>375586.44375818601</v>
      </c>
      <c r="P217">
        <v>0.20699561999999999</v>
      </c>
      <c r="Q217">
        <v>5.8624399999999998E-4</v>
      </c>
      <c r="T217" s="13">
        <f t="shared" si="231"/>
        <v>414.82816060478376</v>
      </c>
      <c r="U217" s="14">
        <f t="shared" si="209"/>
        <v>18667.47452070914</v>
      </c>
      <c r="V217">
        <f t="shared" si="204"/>
        <v>136.62896662387936</v>
      </c>
      <c r="W217" s="6">
        <f t="shared" si="205"/>
        <v>267.79277458280353</v>
      </c>
      <c r="Y217" s="13">
        <f t="shared" si="199"/>
        <v>3898.828160604784</v>
      </c>
      <c r="Z217">
        <f t="shared" si="200"/>
        <v>18667.47452070914</v>
      </c>
      <c r="AA217">
        <f t="shared" si="206"/>
        <v>136.62896662387936</v>
      </c>
      <c r="AB217" s="6">
        <f t="shared" si="207"/>
        <v>267.79277458280353</v>
      </c>
      <c r="AC217" s="14">
        <f t="shared" si="198"/>
        <v>3.504359797244451E-2</v>
      </c>
    </row>
    <row r="218" spans="1:29" x14ac:dyDescent="0.3">
      <c r="A218" t="str">
        <f>'rockfish harvests'!A217</f>
        <v>SC</v>
      </c>
      <c r="B218">
        <f>'rockfish harvests'!B217</f>
        <v>2013</v>
      </c>
      <c r="C218" t="str">
        <f>'rockfish harvests'!C217</f>
        <v>PWSO</v>
      </c>
      <c r="D218">
        <f>'rockfish harvests'!D217</f>
        <v>19818</v>
      </c>
      <c r="E218">
        <v>5595</v>
      </c>
      <c r="F218">
        <v>3409</v>
      </c>
      <c r="I218" s="13">
        <f t="shared" si="232"/>
        <v>3409</v>
      </c>
      <c r="J218">
        <f t="shared" si="201"/>
        <v>0</v>
      </c>
      <c r="K218">
        <f t="shared" si="202"/>
        <v>0</v>
      </c>
      <c r="L218" s="6">
        <f t="shared" si="203"/>
        <v>0</v>
      </c>
      <c r="N218" s="2">
        <f>'rockfish harvests'!O217</f>
        <v>6885.7645042839649</v>
      </c>
      <c r="O218">
        <f>'rockfish harvests'!P217</f>
        <v>4343369.567205376</v>
      </c>
      <c r="P218">
        <v>8.3464936000000003E-2</v>
      </c>
      <c r="Q218">
        <v>2.34658E-4</v>
      </c>
      <c r="T218" s="13">
        <f t="shared" si="231"/>
        <v>574.71989366113291</v>
      </c>
      <c r="U218" s="14">
        <f t="shared" si="209"/>
        <v>42402.853210425426</v>
      </c>
      <c r="V218">
        <f t="shared" si="204"/>
        <v>205.91953091056087</v>
      </c>
      <c r="W218" s="6">
        <f t="shared" si="205"/>
        <v>403.60228058469932</v>
      </c>
      <c r="Y218" s="13">
        <f t="shared" si="199"/>
        <v>3983.719893661133</v>
      </c>
      <c r="Z218">
        <f t="shared" si="200"/>
        <v>42402.853210425426</v>
      </c>
      <c r="AA218">
        <f t="shared" si="206"/>
        <v>205.91953091056087</v>
      </c>
      <c r="AB218" s="6">
        <f t="shared" si="207"/>
        <v>403.60228058469932</v>
      </c>
      <c r="AC218" s="14">
        <f t="shared" si="198"/>
        <v>5.1690263474151024E-2</v>
      </c>
    </row>
    <row r="219" spans="1:29" x14ac:dyDescent="0.3">
      <c r="A219" t="str">
        <f>'rockfish harvests'!A218</f>
        <v>SC</v>
      </c>
      <c r="B219">
        <f>'rockfish harvests'!B218</f>
        <v>2014</v>
      </c>
      <c r="C219" t="str">
        <f>'rockfish harvests'!C218</f>
        <v>PWSO</v>
      </c>
      <c r="D219">
        <f>'rockfish harvests'!D218</f>
        <v>21309</v>
      </c>
      <c r="E219">
        <v>5557</v>
      </c>
      <c r="F219">
        <v>3473</v>
      </c>
      <c r="I219" s="13">
        <f t="shared" si="232"/>
        <v>3473</v>
      </c>
      <c r="J219">
        <f t="shared" si="201"/>
        <v>0</v>
      </c>
      <c r="K219">
        <f t="shared" si="202"/>
        <v>0</v>
      </c>
      <c r="L219" s="6">
        <f t="shared" si="203"/>
        <v>0</v>
      </c>
      <c r="N219" s="2">
        <f>'rockfish harvests'!O218</f>
        <v>7356.7256448320622</v>
      </c>
      <c r="O219">
        <f>'rockfish harvests'!P218</f>
        <v>3862984.9469756186</v>
      </c>
      <c r="P219">
        <v>0.173590098</v>
      </c>
      <c r="Q219">
        <v>5.3729099999999996E-4</v>
      </c>
      <c r="T219" s="13">
        <f t="shared" si="231"/>
        <v>1277.0547256455109</v>
      </c>
      <c r="U219" s="14">
        <f t="shared" si="209"/>
        <v>147559.8370976728</v>
      </c>
      <c r="V219">
        <f t="shared" si="204"/>
        <v>384.13518076020165</v>
      </c>
      <c r="W219" s="6">
        <f t="shared" si="205"/>
        <v>752.9049542899952</v>
      </c>
      <c r="Y219" s="13">
        <f t="shared" si="199"/>
        <v>4750.0547256455111</v>
      </c>
      <c r="Z219">
        <f t="shared" si="200"/>
        <v>147559.8370976728</v>
      </c>
      <c r="AA219">
        <f t="shared" si="206"/>
        <v>384.13518076020165</v>
      </c>
      <c r="AB219" s="6">
        <f t="shared" si="207"/>
        <v>752.9049542899952</v>
      </c>
      <c r="AC219" s="14">
        <f t="shared" si="198"/>
        <v>8.086963265628469E-2</v>
      </c>
    </row>
    <row r="220" spans="1:29" x14ac:dyDescent="0.3">
      <c r="A220" t="str">
        <f>'rockfish harvests'!A219</f>
        <v>SC</v>
      </c>
      <c r="B220">
        <f>'rockfish harvests'!B219</f>
        <v>2015</v>
      </c>
      <c r="C220" t="str">
        <f>'rockfish harvests'!C219</f>
        <v>PWSO</v>
      </c>
      <c r="D220">
        <f>'rockfish harvests'!D219</f>
        <v>24516</v>
      </c>
      <c r="E220">
        <v>6130</v>
      </c>
      <c r="F220">
        <v>4084</v>
      </c>
      <c r="I220" s="13">
        <f t="shared" si="232"/>
        <v>4084</v>
      </c>
      <c r="J220">
        <f t="shared" si="201"/>
        <v>0</v>
      </c>
      <c r="K220">
        <f t="shared" si="202"/>
        <v>0</v>
      </c>
      <c r="L220" s="6">
        <f t="shared" si="203"/>
        <v>0</v>
      </c>
      <c r="N220" s="2">
        <f>'rockfish harvests'!O219</f>
        <v>2612.963774691143</v>
      </c>
      <c r="O220">
        <f>'rockfish harvests'!P219</f>
        <v>501421.42786728247</v>
      </c>
      <c r="P220">
        <v>0.147708798</v>
      </c>
      <c r="Q220">
        <v>6.2945500000000001E-4</v>
      </c>
      <c r="T220" s="13">
        <f t="shared" si="231"/>
        <v>385.95773837717155</v>
      </c>
      <c r="U220" s="14">
        <f t="shared" si="209"/>
        <v>15553.233456034344</v>
      </c>
      <c r="V220">
        <f t="shared" si="204"/>
        <v>124.71260343699969</v>
      </c>
      <c r="W220" s="6">
        <f t="shared" si="205"/>
        <v>244.43670273651938</v>
      </c>
      <c r="Y220" s="13">
        <f t="shared" si="199"/>
        <v>4469.9577383771712</v>
      </c>
      <c r="Z220">
        <f t="shared" si="200"/>
        <v>15553.233456034344</v>
      </c>
      <c r="AA220">
        <f t="shared" si="206"/>
        <v>124.71260343699969</v>
      </c>
      <c r="AB220" s="6">
        <f t="shared" si="207"/>
        <v>244.43670273651938</v>
      </c>
      <c r="AC220" s="14">
        <f t="shared" si="198"/>
        <v>2.7900175065699143E-2</v>
      </c>
    </row>
    <row r="221" spans="1:29" x14ac:dyDescent="0.3">
      <c r="A221" t="str">
        <f>'rockfish harvests'!A220</f>
        <v>SC</v>
      </c>
      <c r="B221">
        <f>'rockfish harvests'!B220</f>
        <v>2016</v>
      </c>
      <c r="C221" t="str">
        <f>'rockfish harvests'!C220</f>
        <v>PWSO</v>
      </c>
      <c r="D221">
        <f>'rockfish harvests'!D220</f>
        <v>29349</v>
      </c>
      <c r="E221">
        <v>7689</v>
      </c>
      <c r="F221">
        <v>5233</v>
      </c>
      <c r="I221" s="13">
        <f t="shared" si="232"/>
        <v>5233</v>
      </c>
      <c r="J221">
        <f t="shared" si="201"/>
        <v>0</v>
      </c>
      <c r="K221">
        <f t="shared" si="202"/>
        <v>0</v>
      </c>
      <c r="L221" s="6">
        <f t="shared" si="203"/>
        <v>0</v>
      </c>
      <c r="N221" s="2">
        <f>'rockfish harvests'!O220</f>
        <v>3728.736072598942</v>
      </c>
      <c r="O221">
        <f>'rockfish harvests'!P220</f>
        <v>690520.60458105023</v>
      </c>
      <c r="P221">
        <v>0.22273826699999999</v>
      </c>
      <c r="Q221">
        <v>7.7984699999999996E-4</v>
      </c>
      <c r="T221" s="13">
        <f t="shared" si="231"/>
        <v>830.53221091107446</v>
      </c>
      <c r="U221" s="14">
        <f t="shared" si="209"/>
        <v>45639.421859531634</v>
      </c>
      <c r="V221">
        <f t="shared" si="204"/>
        <v>213.63384998527653</v>
      </c>
      <c r="W221" s="6">
        <f t="shared" si="205"/>
        <v>418.72234597114198</v>
      </c>
      <c r="Y221" s="13">
        <f t="shared" si="199"/>
        <v>6063.5322109110748</v>
      </c>
      <c r="Z221">
        <f t="shared" si="200"/>
        <v>45639.421859531634</v>
      </c>
      <c r="AA221">
        <f t="shared" si="206"/>
        <v>213.63384998527653</v>
      </c>
      <c r="AB221" s="6">
        <f t="shared" si="207"/>
        <v>418.72234597114198</v>
      </c>
      <c r="AC221" s="14">
        <f t="shared" si="198"/>
        <v>3.5232574439177759E-2</v>
      </c>
    </row>
    <row r="222" spans="1:29" x14ac:dyDescent="0.3">
      <c r="A222" t="str">
        <f>'rockfish harvests'!A221</f>
        <v>SC</v>
      </c>
      <c r="B222">
        <f>'rockfish harvests'!B221</f>
        <v>2017</v>
      </c>
      <c r="C222" t="str">
        <f>'rockfish harvests'!C221</f>
        <v>PWSO</v>
      </c>
      <c r="D222">
        <f>'rockfish harvests'!D221</f>
        <v>28647</v>
      </c>
      <c r="E222">
        <v>7729</v>
      </c>
      <c r="F222">
        <v>5242</v>
      </c>
      <c r="I222" s="13">
        <f t="shared" si="232"/>
        <v>5242</v>
      </c>
      <c r="J222">
        <f t="shared" si="201"/>
        <v>0</v>
      </c>
      <c r="K222">
        <f t="shared" si="202"/>
        <v>0</v>
      </c>
      <c r="L222" s="6">
        <f t="shared" si="203"/>
        <v>0</v>
      </c>
      <c r="N222" s="2">
        <f>'rockfish harvests'!O221</f>
        <v>7308.8621616433084</v>
      </c>
      <c r="O222">
        <f>'rockfish harvests'!P221</f>
        <v>5936209.9806912215</v>
      </c>
      <c r="P222">
        <v>0.16015768599999999</v>
      </c>
      <c r="Q222">
        <v>9.6767800000000003E-4</v>
      </c>
      <c r="T222" s="13">
        <f t="shared" si="231"/>
        <v>1170.5704511017502</v>
      </c>
      <c r="U222" s="14">
        <f t="shared" si="209"/>
        <v>209703.84333143715</v>
      </c>
      <c r="V222">
        <f t="shared" si="204"/>
        <v>457.93432207188528</v>
      </c>
      <c r="W222" s="6">
        <f t="shared" si="205"/>
        <v>897.55127126089508</v>
      </c>
      <c r="Y222" s="13">
        <f t="shared" si="199"/>
        <v>6412.5704511017502</v>
      </c>
      <c r="Z222">
        <f t="shared" si="200"/>
        <v>209703.84333143715</v>
      </c>
      <c r="AA222">
        <f t="shared" si="206"/>
        <v>457.93432207188528</v>
      </c>
      <c r="AB222" s="6">
        <f t="shared" si="207"/>
        <v>897.55127126089508</v>
      </c>
      <c r="AC222" s="14">
        <f t="shared" si="198"/>
        <v>7.1411975207727671E-2</v>
      </c>
    </row>
    <row r="223" spans="1:29" x14ac:dyDescent="0.3">
      <c r="A223" t="str">
        <f>'rockfish harvests'!A222</f>
        <v>SC</v>
      </c>
      <c r="B223">
        <f>'rockfish harvests'!B222</f>
        <v>2018</v>
      </c>
      <c r="C223" t="str">
        <f>'rockfish harvests'!C222</f>
        <v>PWSO</v>
      </c>
      <c r="D223">
        <f>'rockfish harvests'!D222</f>
        <v>27142</v>
      </c>
      <c r="E223">
        <v>5333</v>
      </c>
      <c r="F223">
        <v>3304</v>
      </c>
      <c r="I223" s="13">
        <f t="shared" si="232"/>
        <v>3304</v>
      </c>
      <c r="J223">
        <f t="shared" si="201"/>
        <v>0</v>
      </c>
      <c r="K223">
        <f t="shared" si="202"/>
        <v>0</v>
      </c>
      <c r="L223" s="6">
        <f t="shared" si="203"/>
        <v>0</v>
      </c>
      <c r="N223" s="2">
        <f>'rockfish harvests'!O222</f>
        <v>4727.7448574203227</v>
      </c>
      <c r="O223">
        <f>'rockfish harvests'!P222</f>
        <v>2237274.0611776323</v>
      </c>
      <c r="P223">
        <v>0.208137559</v>
      </c>
      <c r="Q223">
        <v>1.471574E-3</v>
      </c>
      <c r="T223" s="13">
        <f t="shared" si="231"/>
        <v>984.021274198269</v>
      </c>
      <c r="U223" s="14">
        <f t="shared" si="209"/>
        <v>133105.80003044885</v>
      </c>
      <c r="V223">
        <f t="shared" si="204"/>
        <v>364.83667582967706</v>
      </c>
      <c r="W223" s="6">
        <f t="shared" si="205"/>
        <v>715.07988462616709</v>
      </c>
      <c r="Y223" s="13">
        <f t="shared" si="199"/>
        <v>4288.0212741982687</v>
      </c>
      <c r="Z223">
        <f t="shared" si="200"/>
        <v>133105.80003044885</v>
      </c>
      <c r="AA223">
        <f t="shared" si="206"/>
        <v>364.83667582967706</v>
      </c>
      <c r="AB223" s="6">
        <f t="shared" si="207"/>
        <v>715.07988462616709</v>
      </c>
      <c r="AC223" s="14">
        <f t="shared" si="198"/>
        <v>8.5082757873651313E-2</v>
      </c>
    </row>
    <row r="224" spans="1:29" x14ac:dyDescent="0.3">
      <c r="A224" t="str">
        <f>'rockfish harvests'!A223</f>
        <v>SC</v>
      </c>
      <c r="B224">
        <f>'rockfish harvests'!B223</f>
        <v>2019</v>
      </c>
      <c r="C224" t="str">
        <f>'rockfish harvests'!C223</f>
        <v>PWSO</v>
      </c>
      <c r="D224">
        <f>'rockfish harvests'!D223</f>
        <v>33682</v>
      </c>
      <c r="E224">
        <v>7623</v>
      </c>
      <c r="F224">
        <v>5092</v>
      </c>
      <c r="I224" s="13">
        <f>F224</f>
        <v>5092</v>
      </c>
      <c r="J224">
        <f>(E224^2)*H224</f>
        <v>0</v>
      </c>
      <c r="K224">
        <f>SQRT(J224)</f>
        <v>0</v>
      </c>
      <c r="L224" s="6">
        <f>(1.96*K224)</f>
        <v>0</v>
      </c>
      <c r="N224" s="2">
        <f>'rockfish harvests'!O223</f>
        <v>6995.3520303194382</v>
      </c>
      <c r="O224">
        <f>'rockfish harvests'!P223</f>
        <v>5326815.9562128652</v>
      </c>
      <c r="P224">
        <v>0.153464304</v>
      </c>
      <c r="Q224">
        <v>5.3025700000000002E-4</v>
      </c>
      <c r="T224" s="13">
        <f>N224*P224</f>
        <v>1073.5368305679594</v>
      </c>
      <c r="U224" s="14">
        <f t="shared" si="209"/>
        <v>154226.08246840123</v>
      </c>
      <c r="V224">
        <f>SQRT(U224)</f>
        <v>392.71628750078759</v>
      </c>
      <c r="W224" s="6">
        <f>(1.96*V224)</f>
        <v>769.72392350154371</v>
      </c>
      <c r="Y224" s="13">
        <f>T224+I224</f>
        <v>6165.5368305679594</v>
      </c>
      <c r="Z224">
        <f>U224+J224</f>
        <v>154226.08246840123</v>
      </c>
      <c r="AA224">
        <f>SQRT(Z224)</f>
        <v>392.71628750078759</v>
      </c>
      <c r="AB224" s="6">
        <f>(1.96*AA224)</f>
        <v>769.72392350154371</v>
      </c>
      <c r="AC224" s="14">
        <f t="shared" si="198"/>
        <v>6.3695392354766164E-2</v>
      </c>
    </row>
    <row r="225" spans="1:29" x14ac:dyDescent="0.3">
      <c r="A225" t="str">
        <f>'rockfish harvests'!A224</f>
        <v>SC</v>
      </c>
      <c r="B225">
        <f>'rockfish harvests'!B224</f>
        <v>2020</v>
      </c>
      <c r="C225" t="str">
        <f>'rockfish harvests'!C224</f>
        <v>PWSO</v>
      </c>
      <c r="D225">
        <f>'rockfish harvests'!D224</f>
        <v>29279</v>
      </c>
      <c r="E225">
        <v>5450</v>
      </c>
      <c r="F225">
        <v>3259</v>
      </c>
      <c r="I225" s="13">
        <f t="shared" ref="I225" si="233">F225</f>
        <v>3259</v>
      </c>
      <c r="J225">
        <f t="shared" ref="J225:J227" si="234">(E225^2)*H225</f>
        <v>0</v>
      </c>
      <c r="K225">
        <f t="shared" ref="K225:K227" si="235">SQRT(J225)</f>
        <v>0</v>
      </c>
      <c r="L225" s="6">
        <f t="shared" ref="L225:L227" si="236">(1.96*K225)</f>
        <v>0</v>
      </c>
      <c r="N225" s="2">
        <f>'rockfish harvests'!O224</f>
        <v>6546.1019423978578</v>
      </c>
      <c r="O225">
        <f>'rockfish harvests'!P224</f>
        <v>3018032.5104616564</v>
      </c>
      <c r="P225">
        <v>0.13973998479323602</v>
      </c>
      <c r="Q225">
        <v>6.8692983681841249E-4</v>
      </c>
      <c r="T225" s="13">
        <f t="shared" ref="T225:T226" si="237">N225*P225</f>
        <v>914.7521858856494</v>
      </c>
      <c r="U225" s="14">
        <f t="shared" si="209"/>
        <v>90443.032206361735</v>
      </c>
      <c r="V225">
        <f t="shared" ref="V225:V226" si="238">SQRT(U225)</f>
        <v>300.73748054800507</v>
      </c>
      <c r="W225" s="6">
        <f t="shared" ref="W225:W226" si="239">(1.96*V225)</f>
        <v>589.44546187408991</v>
      </c>
      <c r="Y225" s="13">
        <f t="shared" ref="Y225" si="240">T225+I225</f>
        <v>4173.7521858856489</v>
      </c>
      <c r="Z225">
        <f t="shared" ref="Z225:Z226" si="241">U225+J225</f>
        <v>90443.032206361735</v>
      </c>
      <c r="AA225">
        <f t="shared" ref="AA225:AA226" si="242">SQRT(Z225)</f>
        <v>300.73748054800507</v>
      </c>
      <c r="AB225" s="6">
        <f t="shared" ref="AB225:AB226" si="243">(1.96*AA225)</f>
        <v>589.44546187408991</v>
      </c>
      <c r="AC225" s="14">
        <f t="shared" ref="AC225:AC226" si="244">AA225/Y225</f>
        <v>7.2054464940445456E-2</v>
      </c>
    </row>
    <row r="226" spans="1:29" x14ac:dyDescent="0.3">
      <c r="A226" t="str">
        <f>'rockfish harvests'!A225</f>
        <v>SC</v>
      </c>
      <c r="B226">
        <f>'rockfish harvests'!B225</f>
        <v>2021</v>
      </c>
      <c r="C226" t="str">
        <f>'rockfish harvests'!C225</f>
        <v>PWSO</v>
      </c>
      <c r="D226">
        <f>'rockfish harvests'!D225</f>
        <v>38638</v>
      </c>
      <c r="E226">
        <v>5963</v>
      </c>
      <c r="F226">
        <v>3753</v>
      </c>
      <c r="I226" s="13">
        <f>F226</f>
        <v>3753</v>
      </c>
      <c r="J226">
        <f t="shared" si="234"/>
        <v>0</v>
      </c>
      <c r="K226">
        <f t="shared" si="235"/>
        <v>0</v>
      </c>
      <c r="L226" s="6">
        <f t="shared" si="236"/>
        <v>0</v>
      </c>
      <c r="N226" s="2">
        <f>'rockfish harvests'!O225</f>
        <v>8140.8816955045913</v>
      </c>
      <c r="O226">
        <f>'rockfish harvests'!P225</f>
        <v>4846611.7748930994</v>
      </c>
      <c r="P226">
        <v>0.26300720732145494</v>
      </c>
      <c r="Q226">
        <v>2.3930174841780764E-3</v>
      </c>
      <c r="T226" s="13">
        <f t="shared" si="237"/>
        <v>2141.1105598690137</v>
      </c>
      <c r="U226" s="14">
        <f t="shared" si="209"/>
        <v>505446.42311316205</v>
      </c>
      <c r="V226">
        <f t="shared" si="238"/>
        <v>710.94755299752035</v>
      </c>
      <c r="W226" s="6">
        <f t="shared" si="239"/>
        <v>1393.4572038751398</v>
      </c>
      <c r="Y226" s="13">
        <f>T226+I226</f>
        <v>5894.1105598690137</v>
      </c>
      <c r="Z226">
        <f t="shared" si="241"/>
        <v>505446.42311316205</v>
      </c>
      <c r="AA226">
        <f t="shared" si="242"/>
        <v>710.94755299752035</v>
      </c>
      <c r="AB226" s="6">
        <f t="shared" si="243"/>
        <v>1393.4572038751398</v>
      </c>
      <c r="AC226" s="14">
        <f t="shared" si="244"/>
        <v>0.12061998935651454</v>
      </c>
    </row>
    <row r="227" spans="1:29" s="51" customFormat="1" x14ac:dyDescent="0.3">
      <c r="A227" s="51" t="s">
        <v>81</v>
      </c>
      <c r="B227" s="51">
        <v>2022</v>
      </c>
      <c r="C227" s="51" t="s">
        <v>52</v>
      </c>
      <c r="D227" s="43">
        <v>36656</v>
      </c>
      <c r="E227" s="51">
        <v>3746</v>
      </c>
      <c r="F227" s="43">
        <v>1380</v>
      </c>
      <c r="I227" s="13">
        <f>F227</f>
        <v>1380</v>
      </c>
      <c r="J227" s="51">
        <f t="shared" si="234"/>
        <v>0</v>
      </c>
      <c r="K227" s="51">
        <f t="shared" si="235"/>
        <v>0</v>
      </c>
      <c r="L227" s="78">
        <f t="shared" si="236"/>
        <v>0</v>
      </c>
      <c r="N227" s="2">
        <f>'rockfish harvests'!O226</f>
        <v>13333.02302338033</v>
      </c>
      <c r="O227">
        <f>'rockfish harvests'!P226</f>
        <v>23551712.984039951</v>
      </c>
      <c r="P227" s="91">
        <v>0.15870998748713316</v>
      </c>
      <c r="Q227" s="91">
        <v>1.1921529228479215E-3</v>
      </c>
      <c r="T227" s="13">
        <f t="shared" ref="T227" si="245">N227*P227</f>
        <v>2116.0839172063506</v>
      </c>
      <c r="U227" s="14">
        <f t="shared" si="209"/>
        <v>833246.48013120668</v>
      </c>
      <c r="V227">
        <f t="shared" ref="V227" si="246">SQRT(U227)</f>
        <v>912.82335647769594</v>
      </c>
      <c r="W227" s="6">
        <f t="shared" ref="W227" si="247">(1.96*V227)</f>
        <v>1789.133778696284</v>
      </c>
      <c r="X227"/>
      <c r="Y227" s="13">
        <f>T227+I227</f>
        <v>3496.0839172063506</v>
      </c>
      <c r="Z227">
        <f t="shared" ref="Z227" si="248">U227+J227</f>
        <v>833246.48013120668</v>
      </c>
      <c r="AA227">
        <f t="shared" ref="AA227" si="249">SQRT(Z227)</f>
        <v>912.82335647769594</v>
      </c>
      <c r="AB227" s="6">
        <f t="shared" ref="AB227" si="250">(1.96*AA227)</f>
        <v>1789.133778696284</v>
      </c>
      <c r="AC227" s="14">
        <f t="shared" ref="AC227" si="251">AA227/Y227</f>
        <v>0.26109881172621119</v>
      </c>
    </row>
    <row r="228" spans="1:29" x14ac:dyDescent="0.3">
      <c r="A228" t="str">
        <f>'rockfish harvests'!A227</f>
        <v>SE</v>
      </c>
      <c r="B228">
        <f>'rockfish harvests'!B227</f>
        <v>1998</v>
      </c>
      <c r="C228" t="str">
        <f>'rockfish harvests'!C227</f>
        <v>CSEO</v>
      </c>
      <c r="D228">
        <f>'rockfish harvests'!D227</f>
        <v>9366</v>
      </c>
      <c r="E228">
        <v>4902</v>
      </c>
      <c r="F228" t="s">
        <v>159</v>
      </c>
      <c r="G228" s="32">
        <v>0.47160923900000001</v>
      </c>
      <c r="H228" s="32">
        <v>2.4346362999999999E-2</v>
      </c>
      <c r="I228" s="13">
        <f t="shared" ref="I228:I233" si="252">E228*G228</f>
        <v>2311.8284895780002</v>
      </c>
      <c r="J228">
        <f t="shared" ref="J228:J233" si="253">(E228^2)*H228</f>
        <v>585033.46173025202</v>
      </c>
      <c r="K228">
        <f t="shared" ref="K228:K233" si="254">SQRT(J228)</f>
        <v>764.87480134349573</v>
      </c>
      <c r="L228" s="6">
        <f t="shared" ref="L228:L233" si="255">(1.96*K228)</f>
        <v>1499.1546106332517</v>
      </c>
      <c r="N228" s="2">
        <f>'rockfish harvests'!O227</f>
        <v>1419.5566561478372</v>
      </c>
      <c r="O228">
        <f>'rockfish harvests'!P227</f>
        <v>224247.08472663842</v>
      </c>
      <c r="P228" s="32">
        <v>0.143502775</v>
      </c>
      <c r="Q228" s="32">
        <v>1.71893E-3</v>
      </c>
      <c r="T228" s="13">
        <f t="shared" ref="T228:T263" si="256">N228*P228</f>
        <v>203.71031942693546</v>
      </c>
      <c r="U228" s="14">
        <f t="shared" si="209"/>
        <v>8467.2821605690042</v>
      </c>
      <c r="V228">
        <f t="shared" ref="V228:V233" si="257">SQRT(U228)</f>
        <v>92.01783610023115</v>
      </c>
      <c r="W228" s="6">
        <f t="shared" ref="W228:W233" si="258">(1.96*V228)</f>
        <v>180.35495875645304</v>
      </c>
      <c r="Y228" s="13">
        <f t="shared" ref="Y228:Z232" si="259">T228+I228</f>
        <v>2515.5388090049355</v>
      </c>
      <c r="Z228">
        <f t="shared" si="259"/>
        <v>593500.743890821</v>
      </c>
      <c r="AA228">
        <f t="shared" ref="AA228:AA233" si="260">SQRT(Z228)</f>
        <v>770.38999467206281</v>
      </c>
      <c r="AB228" s="6">
        <f t="shared" ref="AB228:AB233" si="261">(1.96*AA228)</f>
        <v>1509.9643895572431</v>
      </c>
      <c r="AC228" s="14">
        <f t="shared" si="198"/>
        <v>0.30625247836140673</v>
      </c>
    </row>
    <row r="229" spans="1:29" x14ac:dyDescent="0.3">
      <c r="A229" t="str">
        <f>'rockfish harvests'!A228</f>
        <v>SE</v>
      </c>
      <c r="B229">
        <f>'rockfish harvests'!B228</f>
        <v>1999</v>
      </c>
      <c r="C229" t="str">
        <f>'rockfish harvests'!C228</f>
        <v>CSEO</v>
      </c>
      <c r="D229">
        <f>'rockfish harvests'!D228</f>
        <v>9636</v>
      </c>
      <c r="E229">
        <v>5800</v>
      </c>
      <c r="F229" t="s">
        <v>159</v>
      </c>
      <c r="G229" s="32">
        <v>0.47160923900000001</v>
      </c>
      <c r="H229" s="32">
        <v>2.4346362999999999E-2</v>
      </c>
      <c r="I229" s="13">
        <f t="shared" si="252"/>
        <v>2735.3335861999999</v>
      </c>
      <c r="J229">
        <f t="shared" si="253"/>
        <v>819011.65131999995</v>
      </c>
      <c r="K229">
        <f t="shared" si="254"/>
        <v>904.99262500862403</v>
      </c>
      <c r="L229" s="6">
        <f t="shared" si="255"/>
        <v>1773.7855450169031</v>
      </c>
      <c r="N229" s="2">
        <f>'rockfish harvests'!O228</f>
        <v>1460.4791734615155</v>
      </c>
      <c r="O229">
        <f>'rockfish harvests'!P228</f>
        <v>237362.48582500662</v>
      </c>
      <c r="P229" s="32">
        <v>0.143502775</v>
      </c>
      <c r="Q229" s="32">
        <v>1.71893E-3</v>
      </c>
      <c r="T229" s="13">
        <f t="shared" si="256"/>
        <v>209.58281422143384</v>
      </c>
      <c r="U229" s="14">
        <f t="shared" si="209"/>
        <v>8962.502876077051</v>
      </c>
      <c r="V229">
        <f t="shared" si="257"/>
        <v>94.670496333741966</v>
      </c>
      <c r="W229" s="6">
        <f t="shared" si="258"/>
        <v>185.55417281413426</v>
      </c>
      <c r="Y229" s="13">
        <f t="shared" si="259"/>
        <v>2944.9164004214335</v>
      </c>
      <c r="Z229">
        <f t="shared" si="259"/>
        <v>827974.15419607703</v>
      </c>
      <c r="AA229">
        <f t="shared" si="260"/>
        <v>909.9308513266692</v>
      </c>
      <c r="AB229" s="6">
        <f t="shared" si="261"/>
        <v>1783.4644686002716</v>
      </c>
      <c r="AC229" s="14">
        <f t="shared" si="198"/>
        <v>0.30898359328517888</v>
      </c>
    </row>
    <row r="230" spans="1:29" x14ac:dyDescent="0.3">
      <c r="A230" t="str">
        <f>'rockfish harvests'!A229</f>
        <v>SE</v>
      </c>
      <c r="B230">
        <f>'rockfish harvests'!B229</f>
        <v>2000</v>
      </c>
      <c r="C230" t="str">
        <f>'rockfish harvests'!C229</f>
        <v>CSEO</v>
      </c>
      <c r="D230">
        <f>'rockfish harvests'!D229</f>
        <v>16855</v>
      </c>
      <c r="E230">
        <v>11078</v>
      </c>
      <c r="F230" t="s">
        <v>159</v>
      </c>
      <c r="G230" s="32">
        <v>0.47160923900000001</v>
      </c>
      <c r="H230" s="32">
        <v>2.4346362999999999E-2</v>
      </c>
      <c r="I230" s="13">
        <f t="shared" si="252"/>
        <v>5224.4871496420001</v>
      </c>
      <c r="J230">
        <f t="shared" si="253"/>
        <v>2987836.405180492</v>
      </c>
      <c r="K230">
        <f t="shared" si="254"/>
        <v>1728.5359137664718</v>
      </c>
      <c r="L230" s="6">
        <f t="shared" si="255"/>
        <v>3387.9303909822847</v>
      </c>
      <c r="N230" s="2">
        <f>'rockfish harvests'!O229</f>
        <v>2554.6260345261362</v>
      </c>
      <c r="O230">
        <f>'rockfish harvests'!P229</f>
        <v>726233.05564746587</v>
      </c>
      <c r="P230" s="32">
        <v>0.143502775</v>
      </c>
      <c r="Q230" s="32">
        <v>1.71893E-3</v>
      </c>
      <c r="T230" s="13">
        <f t="shared" si="256"/>
        <v>366.59592504174634</v>
      </c>
      <c r="U230" s="14">
        <f t="shared" si="209"/>
        <v>27421.628263285224</v>
      </c>
      <c r="V230">
        <f t="shared" si="257"/>
        <v>165.59477124379629</v>
      </c>
      <c r="W230" s="6">
        <f t="shared" si="258"/>
        <v>324.56575163784072</v>
      </c>
      <c r="Y230" s="13">
        <f t="shared" si="259"/>
        <v>5591.0830746837464</v>
      </c>
      <c r="Z230">
        <f t="shared" si="259"/>
        <v>3015258.0334437774</v>
      </c>
      <c r="AA230">
        <f t="shared" si="260"/>
        <v>1736.449836143785</v>
      </c>
      <c r="AB230" s="6">
        <f t="shared" si="261"/>
        <v>3403.4416788418184</v>
      </c>
      <c r="AC230" s="14">
        <f t="shared" si="198"/>
        <v>0.31057485874362639</v>
      </c>
    </row>
    <row r="231" spans="1:29" x14ac:dyDescent="0.3">
      <c r="A231" t="str">
        <f>'rockfish harvests'!A230</f>
        <v>SE</v>
      </c>
      <c r="B231">
        <f>'rockfish harvests'!B230</f>
        <v>2001</v>
      </c>
      <c r="C231" t="str">
        <f>'rockfish harvests'!C230</f>
        <v>CSEO</v>
      </c>
      <c r="D231">
        <f>'rockfish harvests'!D230</f>
        <v>15083</v>
      </c>
      <c r="E231">
        <v>11046</v>
      </c>
      <c r="F231" t="s">
        <v>159</v>
      </c>
      <c r="G231" s="32">
        <v>0.47160923900000001</v>
      </c>
      <c r="H231" s="32">
        <v>2.4346362999999999E-2</v>
      </c>
      <c r="I231" s="13">
        <f t="shared" si="252"/>
        <v>5209.395653994</v>
      </c>
      <c r="J231">
        <f t="shared" si="253"/>
        <v>2970599.9592601079</v>
      </c>
      <c r="K231">
        <f t="shared" si="254"/>
        <v>1723.5428510078036</v>
      </c>
      <c r="L231" s="6">
        <f t="shared" si="255"/>
        <v>3378.1439879752952</v>
      </c>
      <c r="N231" s="2">
        <f>'rockfish harvests'!O230</f>
        <v>2286.0530690452506</v>
      </c>
      <c r="O231">
        <f>'rockfish harvests'!P230</f>
        <v>581559.24091147329</v>
      </c>
      <c r="P231" s="32">
        <v>0.143502775</v>
      </c>
      <c r="Q231" s="32">
        <v>1.71893E-3</v>
      </c>
      <c r="T231" s="13">
        <f t="shared" si="256"/>
        <v>328.05495920526005</v>
      </c>
      <c r="U231" s="14">
        <f t="shared" si="209"/>
        <v>21958.930667422032</v>
      </c>
      <c r="V231">
        <f t="shared" si="257"/>
        <v>148.18546037794002</v>
      </c>
      <c r="W231" s="6">
        <f t="shared" si="258"/>
        <v>290.44350234076245</v>
      </c>
      <c r="Y231" s="13">
        <f t="shared" si="259"/>
        <v>5537.4506131992603</v>
      </c>
      <c r="Z231">
        <f t="shared" si="259"/>
        <v>2992558.8899275302</v>
      </c>
      <c r="AA231">
        <f t="shared" si="260"/>
        <v>1729.901410464634</v>
      </c>
      <c r="AB231" s="6">
        <f t="shared" si="261"/>
        <v>3390.6067645106823</v>
      </c>
      <c r="AC231" s="14">
        <f t="shared" si="198"/>
        <v>0.31240033208443985</v>
      </c>
    </row>
    <row r="232" spans="1:29" x14ac:dyDescent="0.3">
      <c r="A232" t="str">
        <f>'rockfish harvests'!A231</f>
        <v>SE</v>
      </c>
      <c r="B232">
        <f>'rockfish harvests'!B231</f>
        <v>2002</v>
      </c>
      <c r="C232" t="str">
        <f>'rockfish harvests'!C231</f>
        <v>CSEO</v>
      </c>
      <c r="D232">
        <f>'rockfish harvests'!D231</f>
        <v>14004</v>
      </c>
      <c r="E232">
        <v>8798</v>
      </c>
      <c r="F232" t="s">
        <v>159</v>
      </c>
      <c r="G232" s="32">
        <v>0.47160923900000001</v>
      </c>
      <c r="H232" s="32">
        <v>2.4346362999999999E-2</v>
      </c>
      <c r="I232" s="13">
        <f t="shared" si="252"/>
        <v>4149.2180847219997</v>
      </c>
      <c r="J232">
        <f t="shared" si="253"/>
        <v>1884525.456127852</v>
      </c>
      <c r="K232">
        <f t="shared" si="254"/>
        <v>1372.7801922113576</v>
      </c>
      <c r="L232" s="6">
        <f t="shared" si="255"/>
        <v>2690.6491767342609</v>
      </c>
      <c r="N232" s="2">
        <f>'rockfish harvests'!O231</f>
        <v>2122.5145646694764</v>
      </c>
      <c r="O232">
        <f>'rockfish harvests'!P231</f>
        <v>501328.85623143055</v>
      </c>
      <c r="P232" s="32">
        <v>0.143502775</v>
      </c>
      <c r="Q232" s="32">
        <v>1.71893E-3</v>
      </c>
      <c r="T232" s="13">
        <f t="shared" si="256"/>
        <v>304.58673000798683</v>
      </c>
      <c r="U232" s="14">
        <f t="shared" si="209"/>
        <v>18929.534295268375</v>
      </c>
      <c r="V232">
        <f t="shared" si="257"/>
        <v>137.58464411142828</v>
      </c>
      <c r="W232" s="6">
        <f t="shared" si="258"/>
        <v>269.66590245839939</v>
      </c>
      <c r="Y232" s="13">
        <f t="shared" si="259"/>
        <v>4453.8048147299869</v>
      </c>
      <c r="Z232">
        <f t="shared" si="259"/>
        <v>1903454.9904231203</v>
      </c>
      <c r="AA232">
        <f t="shared" si="260"/>
        <v>1379.6575627390735</v>
      </c>
      <c r="AB232" s="6">
        <f t="shared" si="261"/>
        <v>2704.1288229685838</v>
      </c>
      <c r="AC232" s="14">
        <f t="shared" si="198"/>
        <v>0.30977054903173062</v>
      </c>
    </row>
    <row r="233" spans="1:29" x14ac:dyDescent="0.3">
      <c r="A233" t="str">
        <f>'rockfish harvests'!A232</f>
        <v>SE</v>
      </c>
      <c r="B233">
        <f>'rockfish harvests'!B232</f>
        <v>2003</v>
      </c>
      <c r="C233" t="str">
        <f>'rockfish harvests'!C232</f>
        <v>CSEO</v>
      </c>
      <c r="D233">
        <f>'rockfish harvests'!D232</f>
        <v>15272</v>
      </c>
      <c r="E233">
        <v>8561</v>
      </c>
      <c r="F233" t="s">
        <v>159</v>
      </c>
      <c r="G233" s="32">
        <v>0.47160923900000001</v>
      </c>
      <c r="H233" s="32">
        <v>2.4346362999999999E-2</v>
      </c>
      <c r="I233" s="13">
        <f t="shared" si="252"/>
        <v>4037.4466950790002</v>
      </c>
      <c r="J233">
        <f t="shared" si="253"/>
        <v>1784362.4979977231</v>
      </c>
      <c r="K233">
        <f t="shared" si="254"/>
        <v>1335.8003211549708</v>
      </c>
      <c r="L233" s="6">
        <f t="shared" si="255"/>
        <v>2618.1686294637425</v>
      </c>
      <c r="N233" s="2">
        <f>'rockfish harvests'!O232</f>
        <v>2314.6988311648274</v>
      </c>
      <c r="O233">
        <f>'rockfish harvests'!P232</f>
        <v>596225.20240177307</v>
      </c>
      <c r="P233" s="32">
        <v>0.143502775</v>
      </c>
      <c r="Q233" s="32">
        <v>1.71893E-3</v>
      </c>
      <c r="T233" s="13">
        <f t="shared" si="256"/>
        <v>332.1657055614092</v>
      </c>
      <c r="U233" s="14">
        <f t="shared" si="209"/>
        <v>22512.698553616803</v>
      </c>
      <c r="V233">
        <f t="shared" si="257"/>
        <v>150.04232254139765</v>
      </c>
      <c r="W233" s="6">
        <f t="shared" si="258"/>
        <v>294.08295218113938</v>
      </c>
      <c r="Y233" s="13">
        <f t="shared" ref="Y233:Y283" si="262">T233+I233</f>
        <v>4369.6124006404098</v>
      </c>
      <c r="Z233">
        <f t="shared" ref="Z233:Z283" si="263">U233+J233</f>
        <v>1806875.1965513399</v>
      </c>
      <c r="AA233">
        <f t="shared" si="260"/>
        <v>1344.2005789878756</v>
      </c>
      <c r="AB233" s="6">
        <f t="shared" si="261"/>
        <v>2634.6331348162362</v>
      </c>
      <c r="AC233" s="14">
        <f t="shared" si="198"/>
        <v>0.30762467142185651</v>
      </c>
    </row>
    <row r="234" spans="1:29" x14ac:dyDescent="0.3">
      <c r="A234" t="str">
        <f>'rockfish harvests'!A233</f>
        <v>SE</v>
      </c>
      <c r="B234">
        <f>'rockfish harvests'!B233</f>
        <v>2004</v>
      </c>
      <c r="C234" t="str">
        <f>'rockfish harvests'!C233</f>
        <v>CSEO</v>
      </c>
      <c r="D234">
        <f>'rockfish harvests'!D233</f>
        <v>21796</v>
      </c>
      <c r="E234">
        <v>12007</v>
      </c>
      <c r="F234" t="s">
        <v>159</v>
      </c>
      <c r="G234" s="32">
        <v>0.47160923900000001</v>
      </c>
      <c r="H234" s="32">
        <v>2.4346362999999999E-2</v>
      </c>
      <c r="I234" s="13">
        <f>E234*G234</f>
        <v>5662.6121326729999</v>
      </c>
      <c r="J234">
        <f t="shared" ref="J234:J284" si="264">(E234^2)*H234</f>
        <v>3509967.653955787</v>
      </c>
      <c r="K234">
        <f t="shared" ref="K234:K284" si="265">SQRT(J234)</f>
        <v>1873.49076697906</v>
      </c>
      <c r="L234" s="6">
        <f t="shared" ref="L234:L284" si="266">(1.96*K234)</f>
        <v>3672.0419032789578</v>
      </c>
      <c r="N234" s="2">
        <f>'rockfish harvests'!O233</f>
        <v>3303.5081013664603</v>
      </c>
      <c r="O234">
        <f>'rockfish harvests'!P233</f>
        <v>1214428.9103843591</v>
      </c>
      <c r="P234" s="32">
        <v>0.143502775</v>
      </c>
      <c r="Q234" s="32">
        <v>1.71893E-3</v>
      </c>
      <c r="T234" s="13">
        <f t="shared" si="256"/>
        <v>474.06257978106834</v>
      </c>
      <c r="U234" s="14">
        <f t="shared" si="209"/>
        <v>45855.277274671411</v>
      </c>
      <c r="V234">
        <f t="shared" ref="V234:V284" si="267">SQRT(U234)</f>
        <v>214.13845351704447</v>
      </c>
      <c r="W234" s="6">
        <f t="shared" ref="W234:W284" si="268">(1.96*V234)</f>
        <v>419.71136889340715</v>
      </c>
      <c r="Y234" s="13">
        <f t="shared" si="262"/>
        <v>6136.674712454068</v>
      </c>
      <c r="Z234">
        <f t="shared" si="263"/>
        <v>3555822.9312304584</v>
      </c>
      <c r="AA234">
        <f t="shared" ref="AA234:AA284" si="269">SQRT(Z234)</f>
        <v>1885.6889805136102</v>
      </c>
      <c r="AB234" s="6">
        <f t="shared" ref="AB234:AB284" si="270">(1.96*AA234)</f>
        <v>3695.9504018066759</v>
      </c>
      <c r="AC234" s="14">
        <f t="shared" si="198"/>
        <v>0.30728188617961139</v>
      </c>
    </row>
    <row r="235" spans="1:29" x14ac:dyDescent="0.3">
      <c r="A235" t="str">
        <f>'rockfish harvests'!A234</f>
        <v>SE</v>
      </c>
      <c r="B235">
        <f>'rockfish harvests'!B234</f>
        <v>2005</v>
      </c>
      <c r="C235" t="str">
        <f>'rockfish harvests'!C234</f>
        <v>CSEO</v>
      </c>
      <c r="D235">
        <f>'rockfish harvests'!D234</f>
        <v>27304</v>
      </c>
      <c r="E235">
        <v>14418</v>
      </c>
      <c r="F235" t="s">
        <v>159</v>
      </c>
      <c r="G235" s="32">
        <v>0.47160923900000001</v>
      </c>
      <c r="H235" s="32">
        <v>2.4346362999999999E-2</v>
      </c>
      <c r="I235" s="13">
        <f>E235*G235</f>
        <v>6799.6620079020004</v>
      </c>
      <c r="J235">
        <f t="shared" si="264"/>
        <v>5061090.8744808119</v>
      </c>
      <c r="K235">
        <f t="shared" si="265"/>
        <v>2249.6868392024726</v>
      </c>
      <c r="L235" s="6">
        <f t="shared" si="266"/>
        <v>4409.3862048368464</v>
      </c>
      <c r="N235" s="2">
        <f>'rockfish harvests'!O234</f>
        <v>4138.3274545655077</v>
      </c>
      <c r="O235">
        <f>'rockfish harvests'!P234</f>
        <v>1905772.4719131205</v>
      </c>
      <c r="P235" s="32">
        <v>0.143502775</v>
      </c>
      <c r="Q235" s="32">
        <v>1.71893E-3</v>
      </c>
      <c r="T235" s="13">
        <f t="shared" si="256"/>
        <v>593.86147358883682</v>
      </c>
      <c r="U235" s="14">
        <f t="shared" si="209"/>
        <v>71959.523010987759</v>
      </c>
      <c r="V235">
        <f t="shared" si="267"/>
        <v>268.25272228066535</v>
      </c>
      <c r="W235" s="6">
        <f t="shared" si="268"/>
        <v>525.77533567010403</v>
      </c>
      <c r="Y235" s="13">
        <f t="shared" si="262"/>
        <v>7393.5234814908372</v>
      </c>
      <c r="Z235">
        <f t="shared" si="263"/>
        <v>5133050.3974917997</v>
      </c>
      <c r="AA235">
        <f t="shared" si="269"/>
        <v>2265.6236222046678</v>
      </c>
      <c r="AB235" s="6">
        <f t="shared" si="270"/>
        <v>4440.6222995211483</v>
      </c>
      <c r="AC235" s="14">
        <f t="shared" si="198"/>
        <v>0.30643354658661681</v>
      </c>
    </row>
    <row r="236" spans="1:29" x14ac:dyDescent="0.3">
      <c r="A236" t="str">
        <f>'rockfish harvests'!A235</f>
        <v>SE</v>
      </c>
      <c r="B236">
        <f>'rockfish harvests'!B235</f>
        <v>2006</v>
      </c>
      <c r="C236" t="str">
        <f>'rockfish harvests'!C235</f>
        <v>CSEO</v>
      </c>
      <c r="D236">
        <f>'rockfish harvests'!D235</f>
        <v>33748</v>
      </c>
      <c r="E236">
        <v>13609</v>
      </c>
      <c r="F236">
        <v>9779</v>
      </c>
      <c r="I236" s="13">
        <f>F236</f>
        <v>9779</v>
      </c>
      <c r="J236">
        <f t="shared" si="264"/>
        <v>0</v>
      </c>
      <c r="K236">
        <f t="shared" si="265"/>
        <v>0</v>
      </c>
      <c r="L236" s="6">
        <f t="shared" si="266"/>
        <v>0</v>
      </c>
      <c r="N236" s="2">
        <f>'rockfish harvests'!O235</f>
        <v>5115.01153445198</v>
      </c>
      <c r="O236">
        <f>'rockfish harvests'!P235</f>
        <v>2911485.1530098896</v>
      </c>
      <c r="P236">
        <f>IF([2]species_comp_Region1_forR!$D32&gt;49,[2]species_comp_Region1_forR!$J32,[2]species_comp_Region1_forR!$L32)</f>
        <v>0.175675676</v>
      </c>
      <c r="Q236">
        <f>IF([2]species_comp_Region1_forR!$D32&gt;49,[2]species_comp_Region1_forR!$K32,[2]species_comp_Region1_forR!$M32)</f>
        <v>2.8010399999999999E-4</v>
      </c>
      <c r="T236" s="13">
        <f t="shared" si="256"/>
        <v>898.58310906264887</v>
      </c>
      <c r="U236" s="14">
        <f t="shared" si="209"/>
        <v>97998.064903780265</v>
      </c>
      <c r="V236">
        <f t="shared" si="267"/>
        <v>313.04642611564867</v>
      </c>
      <c r="W236" s="6">
        <f t="shared" si="268"/>
        <v>613.57099518667144</v>
      </c>
      <c r="Y236" s="13">
        <f t="shared" si="262"/>
        <v>10677.583109062649</v>
      </c>
      <c r="Z236">
        <f t="shared" si="263"/>
        <v>97998.064903780265</v>
      </c>
      <c r="AA236">
        <f t="shared" si="269"/>
        <v>313.04642611564867</v>
      </c>
      <c r="AB236" s="6">
        <f t="shared" si="270"/>
        <v>613.57099518667144</v>
      </c>
      <c r="AC236" s="14">
        <f t="shared" si="198"/>
        <v>2.931809782402434E-2</v>
      </c>
    </row>
    <row r="237" spans="1:29" x14ac:dyDescent="0.3">
      <c r="A237" t="str">
        <f>'rockfish harvests'!A236</f>
        <v>SE</v>
      </c>
      <c r="B237">
        <f>'rockfish harvests'!B236</f>
        <v>2007</v>
      </c>
      <c r="C237" t="str">
        <f>'rockfish harvests'!C236</f>
        <v>CSEO</v>
      </c>
      <c r="D237">
        <f>'rockfish harvests'!D236</f>
        <v>38443</v>
      </c>
      <c r="E237">
        <v>14388</v>
      </c>
      <c r="F237">
        <v>9950</v>
      </c>
      <c r="I237" s="13">
        <f t="shared" ref="I237:I248" si="271">F237</f>
        <v>9950</v>
      </c>
      <c r="J237">
        <f t="shared" si="264"/>
        <v>0</v>
      </c>
      <c r="K237">
        <f t="shared" si="265"/>
        <v>0</v>
      </c>
      <c r="L237" s="6">
        <f t="shared" si="266"/>
        <v>0</v>
      </c>
      <c r="N237" s="2">
        <f>'rockfish harvests'!O236</f>
        <v>5826.6086410731732</v>
      </c>
      <c r="O237">
        <f>'rockfish harvests'!P236</f>
        <v>3777922.4788372577</v>
      </c>
      <c r="P237">
        <f>IF([2]species_comp_Region1_forR!$D33&gt;49,[2]species_comp_Region1_forR!$J33,[2]species_comp_Region1_forR!$L33)</f>
        <v>0.18820224699999999</v>
      </c>
      <c r="Q237">
        <f>IF([2]species_comp_Region1_forR!$D33&gt;49,[2]species_comp_Region1_forR!$K33,[2]species_comp_Region1_forR!$M33)</f>
        <v>4.3037199999999999E-4</v>
      </c>
      <c r="T237" s="13">
        <f t="shared" si="256"/>
        <v>1096.5808386395877</v>
      </c>
      <c r="U237" s="14">
        <f t="shared" si="209"/>
        <v>150051.10782315553</v>
      </c>
      <c r="V237">
        <f t="shared" si="267"/>
        <v>387.36430891752991</v>
      </c>
      <c r="W237" s="6">
        <f t="shared" si="268"/>
        <v>759.23404547835867</v>
      </c>
      <c r="Y237" s="13">
        <f t="shared" si="262"/>
        <v>11046.580838639587</v>
      </c>
      <c r="Z237">
        <f t="shared" si="263"/>
        <v>150051.10782315553</v>
      </c>
      <c r="AA237">
        <f t="shared" si="269"/>
        <v>387.36430891752991</v>
      </c>
      <c r="AB237" s="6">
        <f t="shared" si="270"/>
        <v>759.23404547835867</v>
      </c>
      <c r="AC237" s="14">
        <f t="shared" si="198"/>
        <v>3.5066444049599216E-2</v>
      </c>
    </row>
    <row r="238" spans="1:29" x14ac:dyDescent="0.3">
      <c r="A238" t="str">
        <f>'rockfish harvests'!A237</f>
        <v>SE</v>
      </c>
      <c r="B238">
        <f>'rockfish harvests'!B237</f>
        <v>2008</v>
      </c>
      <c r="C238" t="str">
        <f>'rockfish harvests'!C237</f>
        <v>CSEO</v>
      </c>
      <c r="D238">
        <f>'rockfish harvests'!D237</f>
        <v>52901</v>
      </c>
      <c r="E238">
        <v>15276</v>
      </c>
      <c r="F238">
        <v>8863</v>
      </c>
      <c r="I238" s="13">
        <f t="shared" si="271"/>
        <v>8863</v>
      </c>
      <c r="J238">
        <f t="shared" si="264"/>
        <v>0</v>
      </c>
      <c r="K238">
        <f t="shared" si="265"/>
        <v>0</v>
      </c>
      <c r="L238" s="6">
        <f t="shared" si="266"/>
        <v>0</v>
      </c>
      <c r="N238" s="2">
        <f>'rockfish harvests'!O237</f>
        <v>8017.9336607812002</v>
      </c>
      <c r="O238">
        <f>'rockfish harvests'!P237</f>
        <v>7153955.9598475369</v>
      </c>
      <c r="P238">
        <f>IF([2]species_comp_Region1_forR!$D34&gt;49,[2]species_comp_Region1_forR!$J34,[2]species_comp_Region1_forR!$L34)</f>
        <v>0.10836501900000001</v>
      </c>
      <c r="Q238">
        <f>IF([2]species_comp_Region1_forR!$D34&gt;49,[2]species_comp_Region1_forR!$K34,[2]species_comp_Region1_forR!$M34)</f>
        <v>1.8404200000000001E-4</v>
      </c>
      <c r="T238" s="13">
        <f t="shared" si="256"/>
        <v>868.86353349129433</v>
      </c>
      <c r="U238" s="14">
        <f t="shared" si="209"/>
        <v>97156.927050790837</v>
      </c>
      <c r="V238">
        <f t="shared" si="267"/>
        <v>311.70005943340919</v>
      </c>
      <c r="W238" s="6">
        <f t="shared" si="268"/>
        <v>610.93211648948204</v>
      </c>
      <c r="Y238" s="13">
        <f t="shared" si="262"/>
        <v>9731.8635334912942</v>
      </c>
      <c r="Z238">
        <f t="shared" si="263"/>
        <v>97156.927050790837</v>
      </c>
      <c r="AA238">
        <f t="shared" si="269"/>
        <v>311.70005943340919</v>
      </c>
      <c r="AB238" s="6">
        <f t="shared" si="270"/>
        <v>610.93211648948204</v>
      </c>
      <c r="AC238" s="14">
        <f t="shared" si="198"/>
        <v>3.2028815278874669E-2</v>
      </c>
    </row>
    <row r="239" spans="1:29" x14ac:dyDescent="0.3">
      <c r="A239" t="str">
        <f>'rockfish harvests'!A238</f>
        <v>SE</v>
      </c>
      <c r="B239">
        <f>'rockfish harvests'!B238</f>
        <v>2009</v>
      </c>
      <c r="C239" t="str">
        <f>'rockfish harvests'!C238</f>
        <v>CSEO</v>
      </c>
      <c r="D239">
        <f>'rockfish harvests'!D238</f>
        <v>31717</v>
      </c>
      <c r="E239">
        <v>9427</v>
      </c>
      <c r="F239">
        <v>6423</v>
      </c>
      <c r="I239" s="13">
        <f t="shared" si="271"/>
        <v>6423</v>
      </c>
      <c r="J239">
        <f t="shared" si="264"/>
        <v>0</v>
      </c>
      <c r="K239">
        <f t="shared" si="265"/>
        <v>0</v>
      </c>
      <c r="L239" s="6">
        <f t="shared" si="266"/>
        <v>0</v>
      </c>
      <c r="N239" s="2">
        <f>'rockfish harvests'!O238</f>
        <v>4807.1832653257516</v>
      </c>
      <c r="O239">
        <f>'rockfish harvests'!P238</f>
        <v>2571595.7734261826</v>
      </c>
      <c r="P239">
        <f>IF([2]species_comp_Region1_forR!$D35&gt;49,[2]species_comp_Region1_forR!$J35,[2]species_comp_Region1_forR!$L35)</f>
        <v>0.1</v>
      </c>
      <c r="Q239">
        <f>IF([2]species_comp_Region1_forR!$D35&gt;49,[2]species_comp_Region1_forR!$K35,[2]species_comp_Region1_forR!$M35)</f>
        <v>2.3136200000000001E-4</v>
      </c>
      <c r="T239" s="13">
        <f t="shared" si="256"/>
        <v>480.71832653257519</v>
      </c>
      <c r="U239" s="14">
        <f t="shared" si="209"/>
        <v>31657.474266180729</v>
      </c>
      <c r="V239">
        <f t="shared" si="267"/>
        <v>177.92547391023223</v>
      </c>
      <c r="W239" s="6">
        <f t="shared" si="268"/>
        <v>348.73392886405514</v>
      </c>
      <c r="Y239" s="13">
        <f t="shared" si="262"/>
        <v>6903.7183265325748</v>
      </c>
      <c r="Z239">
        <f t="shared" si="263"/>
        <v>31657.474266180729</v>
      </c>
      <c r="AA239">
        <f t="shared" si="269"/>
        <v>177.92547391023223</v>
      </c>
      <c r="AB239" s="6">
        <f t="shared" si="270"/>
        <v>348.73392886405514</v>
      </c>
      <c r="AC239" s="14">
        <f t="shared" si="198"/>
        <v>2.5772412125567721E-2</v>
      </c>
    </row>
    <row r="240" spans="1:29" x14ac:dyDescent="0.3">
      <c r="A240" t="str">
        <f>'rockfish harvests'!A239</f>
        <v>SE</v>
      </c>
      <c r="B240">
        <f>'rockfish harvests'!B239</f>
        <v>2010</v>
      </c>
      <c r="C240" t="str">
        <f>'rockfish harvests'!C239</f>
        <v>CSEO</v>
      </c>
      <c r="D240">
        <f>'rockfish harvests'!D239</f>
        <v>43813</v>
      </c>
      <c r="E240">
        <v>13028</v>
      </c>
      <c r="F240">
        <v>7150</v>
      </c>
      <c r="I240" s="13">
        <f t="shared" si="271"/>
        <v>7150</v>
      </c>
      <c r="J240">
        <f t="shared" si="264"/>
        <v>0</v>
      </c>
      <c r="K240">
        <f t="shared" si="265"/>
        <v>0</v>
      </c>
      <c r="L240" s="6">
        <f t="shared" si="266"/>
        <v>0</v>
      </c>
      <c r="N240" s="2">
        <f>'rockfish harvests'!O239</f>
        <v>6640.5120409785595</v>
      </c>
      <c r="O240">
        <f>'rockfish harvests'!P239</f>
        <v>4907095.1826566225</v>
      </c>
      <c r="P240">
        <f>IF([2]species_comp_Region1_forR!$D36&gt;49,[2]species_comp_Region1_forR!$J36,[2]species_comp_Region1_forR!$L36)</f>
        <v>0.100110011</v>
      </c>
      <c r="Q240">
        <f>IF([2]species_comp_Region1_forR!$D36&gt;49,[2]species_comp_Region1_forR!$K36,[2]species_comp_Region1_forR!$M36)</f>
        <v>9.92159E-5</v>
      </c>
      <c r="T240" s="13">
        <f t="shared" si="256"/>
        <v>664.78173346799599</v>
      </c>
      <c r="U240" s="14">
        <f t="shared" si="209"/>
        <v>54040.90399812215</v>
      </c>
      <c r="V240">
        <f t="shared" si="267"/>
        <v>232.46699550285015</v>
      </c>
      <c r="W240" s="6">
        <f t="shared" si="268"/>
        <v>455.63531118558632</v>
      </c>
      <c r="Y240" s="13">
        <f t="shared" si="262"/>
        <v>7814.7817334679958</v>
      </c>
      <c r="Z240">
        <f t="shared" si="263"/>
        <v>54040.90399812215</v>
      </c>
      <c r="AA240">
        <f t="shared" si="269"/>
        <v>232.46699550285015</v>
      </c>
      <c r="AB240" s="6">
        <f t="shared" si="270"/>
        <v>455.63531118558632</v>
      </c>
      <c r="AC240" s="14">
        <f t="shared" si="198"/>
        <v>2.9747087433968214E-2</v>
      </c>
    </row>
    <row r="241" spans="1:29" x14ac:dyDescent="0.3">
      <c r="A241" t="str">
        <f>'rockfish harvests'!A240</f>
        <v>SE</v>
      </c>
      <c r="B241">
        <f>'rockfish harvests'!B240</f>
        <v>2011</v>
      </c>
      <c r="C241" t="str">
        <f>'rockfish harvests'!C240</f>
        <v>CSEO</v>
      </c>
      <c r="D241">
        <f>'rockfish harvests'!D240</f>
        <v>58843</v>
      </c>
      <c r="E241">
        <v>12339</v>
      </c>
      <c r="F241">
        <v>4215</v>
      </c>
      <c r="I241" s="13">
        <f t="shared" si="271"/>
        <v>4215</v>
      </c>
      <c r="J241">
        <f t="shared" si="264"/>
        <v>0</v>
      </c>
      <c r="K241">
        <f t="shared" si="265"/>
        <v>0</v>
      </c>
      <c r="L241" s="6">
        <f t="shared" si="266"/>
        <v>0</v>
      </c>
      <c r="N241" s="2">
        <f>'rockfish harvests'!O240</f>
        <v>9637.9680383923114</v>
      </c>
      <c r="O241">
        <f>'rockfish harvests'!P240</f>
        <v>7141508.8030922944</v>
      </c>
      <c r="P241">
        <f>IF([2]species_comp_Region1_forR!$D37&gt;49,[2]species_comp_Region1_forR!$J37,[2]species_comp_Region1_forR!$L37)</f>
        <v>0.17507002799999999</v>
      </c>
      <c r="Q241">
        <f>IF([2]species_comp_Region1_forR!$D37&gt;49,[2]species_comp_Region1_forR!$K37,[2]species_comp_Region1_forR!$M37)</f>
        <v>2.0255300000000001E-4</v>
      </c>
      <c r="T241" s="13">
        <f t="shared" si="256"/>
        <v>1687.3193343444468</v>
      </c>
      <c r="U241" s="14">
        <f t="shared" si="209"/>
        <v>239145.54794541592</v>
      </c>
      <c r="V241">
        <f t="shared" si="267"/>
        <v>489.02509950453049</v>
      </c>
      <c r="W241" s="6">
        <f t="shared" si="268"/>
        <v>958.48919502887975</v>
      </c>
      <c r="Y241" s="13">
        <f t="shared" si="262"/>
        <v>5902.3193343444473</v>
      </c>
      <c r="Z241">
        <f t="shared" si="263"/>
        <v>239145.54794541592</v>
      </c>
      <c r="AA241">
        <f t="shared" si="269"/>
        <v>489.02509950453049</v>
      </c>
      <c r="AB241" s="6">
        <f t="shared" si="270"/>
        <v>958.48919502887975</v>
      </c>
      <c r="AC241" s="14">
        <f t="shared" si="198"/>
        <v>8.2853039932791944E-2</v>
      </c>
    </row>
    <row r="242" spans="1:29" x14ac:dyDescent="0.3">
      <c r="A242" t="str">
        <f>'rockfish harvests'!A241</f>
        <v>SE</v>
      </c>
      <c r="B242">
        <f>'rockfish harvests'!B241</f>
        <v>2012</v>
      </c>
      <c r="C242" t="str">
        <f>'rockfish harvests'!C241</f>
        <v>CSEO</v>
      </c>
      <c r="D242">
        <f>'rockfish harvests'!D241</f>
        <v>57675</v>
      </c>
      <c r="E242">
        <v>14295</v>
      </c>
      <c r="F242">
        <v>4550</v>
      </c>
      <c r="I242" s="13">
        <f t="shared" si="271"/>
        <v>4550</v>
      </c>
      <c r="J242">
        <f t="shared" si="264"/>
        <v>0</v>
      </c>
      <c r="K242">
        <f t="shared" si="265"/>
        <v>0</v>
      </c>
      <c r="L242" s="6">
        <f t="shared" si="266"/>
        <v>0</v>
      </c>
      <c r="N242" s="2">
        <f>'rockfish harvests'!O241</f>
        <v>6152.5876396981548</v>
      </c>
      <c r="O242">
        <f>'rockfish harvests'!P241</f>
        <v>1027468.7062518544</v>
      </c>
      <c r="P242">
        <f>IF([2]species_comp_Region1_forR!$D38&gt;49,[2]species_comp_Region1_forR!$J38,[2]species_comp_Region1_forR!$L38)</f>
        <v>0.14499252600000001</v>
      </c>
      <c r="Q242">
        <f>IF([2]species_comp_Region1_forR!$D38&gt;49,[2]species_comp_Region1_forR!$K38,[2]species_comp_Region1_forR!$M38)</f>
        <v>1.8558299999999999E-4</v>
      </c>
      <c r="T242" s="13">
        <f t="shared" si="256"/>
        <v>892.07922331621342</v>
      </c>
      <c r="U242" s="14">
        <f t="shared" si="209"/>
        <v>28816.104323910637</v>
      </c>
      <c r="V242">
        <f t="shared" si="267"/>
        <v>169.75306867303058</v>
      </c>
      <c r="W242" s="6">
        <f t="shared" si="268"/>
        <v>332.71601459913995</v>
      </c>
      <c r="Y242" s="13">
        <f t="shared" si="262"/>
        <v>5442.0792233162138</v>
      </c>
      <c r="Z242">
        <f t="shared" si="263"/>
        <v>28816.104323910637</v>
      </c>
      <c r="AA242">
        <f t="shared" si="269"/>
        <v>169.75306867303058</v>
      </c>
      <c r="AB242" s="6">
        <f t="shared" si="270"/>
        <v>332.71601459913995</v>
      </c>
      <c r="AC242" s="14">
        <f t="shared" si="198"/>
        <v>3.1192686050165393E-2</v>
      </c>
    </row>
    <row r="243" spans="1:29" x14ac:dyDescent="0.3">
      <c r="A243" t="str">
        <f>'rockfish harvests'!A242</f>
        <v>SE</v>
      </c>
      <c r="B243">
        <f>'rockfish harvests'!B242</f>
        <v>2013</v>
      </c>
      <c r="C243" t="str">
        <f>'rockfish harvests'!C242</f>
        <v>CSEO</v>
      </c>
      <c r="D243">
        <f>'rockfish harvests'!D242</f>
        <v>60735</v>
      </c>
      <c r="E243">
        <v>12452</v>
      </c>
      <c r="F243">
        <v>4216</v>
      </c>
      <c r="I243" s="13">
        <f t="shared" si="271"/>
        <v>4216</v>
      </c>
      <c r="J243">
        <f t="shared" si="264"/>
        <v>0</v>
      </c>
      <c r="K243">
        <f t="shared" si="265"/>
        <v>0</v>
      </c>
      <c r="L243" s="6">
        <f t="shared" si="266"/>
        <v>0</v>
      </c>
      <c r="N243" s="2">
        <f>'rockfish harvests'!O242</f>
        <v>9629.9871638141776</v>
      </c>
      <c r="O243">
        <f>'rockfish harvests'!P242</f>
        <v>3833914.1323344847</v>
      </c>
      <c r="P243">
        <f>IF([2]species_comp_Region1_forR!$D39&gt;49,[2]species_comp_Region1_forR!$J39,[2]species_comp_Region1_forR!$L39)</f>
        <v>9.9128540000000001E-2</v>
      </c>
      <c r="Q243">
        <f>IF([2]species_comp_Region1_forR!$D39&gt;49,[2]species_comp_Region1_forR!$K39,[2]species_comp_Region1_forR!$M39)</f>
        <v>9.7385000000000004E-5</v>
      </c>
      <c r="T243" s="13">
        <f t="shared" si="256"/>
        <v>954.60656776764029</v>
      </c>
      <c r="U243" s="14">
        <f t="shared" si="209"/>
        <v>47078.357057139365</v>
      </c>
      <c r="V243">
        <f t="shared" si="267"/>
        <v>216.97547570437393</v>
      </c>
      <c r="W243" s="6">
        <f t="shared" si="268"/>
        <v>425.27193238057288</v>
      </c>
      <c r="Y243" s="13">
        <f t="shared" si="262"/>
        <v>5170.6065677676406</v>
      </c>
      <c r="Z243">
        <f t="shared" si="263"/>
        <v>47078.357057139365</v>
      </c>
      <c r="AA243">
        <f t="shared" si="269"/>
        <v>216.97547570437393</v>
      </c>
      <c r="AB243" s="6">
        <f t="shared" si="270"/>
        <v>425.27193238057288</v>
      </c>
      <c r="AC243" s="14">
        <f t="shared" si="198"/>
        <v>4.1963253800230832E-2</v>
      </c>
    </row>
    <row r="244" spans="1:29" x14ac:dyDescent="0.3">
      <c r="A244" t="str">
        <f>'rockfish harvests'!A243</f>
        <v>SE</v>
      </c>
      <c r="B244">
        <f>'rockfish harvests'!B243</f>
        <v>2014</v>
      </c>
      <c r="C244" t="str">
        <f>'rockfish harvests'!C243</f>
        <v>CSEO</v>
      </c>
      <c r="D244">
        <f>'rockfish harvests'!D243</f>
        <v>73709</v>
      </c>
      <c r="E244">
        <v>13508</v>
      </c>
      <c r="F244">
        <v>4240</v>
      </c>
      <c r="I244" s="13">
        <f t="shared" si="271"/>
        <v>4240</v>
      </c>
      <c r="J244">
        <f t="shared" si="264"/>
        <v>0</v>
      </c>
      <c r="K244">
        <f t="shared" si="265"/>
        <v>0</v>
      </c>
      <c r="L244" s="6">
        <f t="shared" si="266"/>
        <v>0</v>
      </c>
      <c r="N244" s="2">
        <f>'rockfish harvests'!O243</f>
        <v>12999.052896462119</v>
      </c>
      <c r="O244">
        <f>'rockfish harvests'!P243</f>
        <v>10006306.818414057</v>
      </c>
      <c r="P244">
        <f>IF([2]species_comp_Region1_forR!$D40&gt;49,[2]species_comp_Region1_forR!$J40,[2]species_comp_Region1_forR!$L40)</f>
        <v>9.4339622999999997E-2</v>
      </c>
      <c r="Q244">
        <f>IF([2]species_comp_Region1_forR!$D40&gt;49,[2]species_comp_Region1_forR!$K40,[2]species_comp_Region1_forR!$M40)</f>
        <v>8.0679600000000006E-5</v>
      </c>
      <c r="T244" s="13">
        <f t="shared" si="256"/>
        <v>1226.3257496092942</v>
      </c>
      <c r="U244" s="14">
        <f t="shared" si="209"/>
        <v>103495.94573126861</v>
      </c>
      <c r="V244">
        <f t="shared" si="267"/>
        <v>321.70785773939156</v>
      </c>
      <c r="W244" s="6">
        <f t="shared" si="268"/>
        <v>630.54740116920743</v>
      </c>
      <c r="Y244" s="13">
        <f t="shared" si="262"/>
        <v>5466.3257496092938</v>
      </c>
      <c r="Z244">
        <f t="shared" si="263"/>
        <v>103495.94573126861</v>
      </c>
      <c r="AA244">
        <f t="shared" si="269"/>
        <v>321.70785773939156</v>
      </c>
      <c r="AB244" s="6">
        <f t="shared" si="270"/>
        <v>630.54740116920743</v>
      </c>
      <c r="AC244" s="14">
        <f t="shared" si="198"/>
        <v>5.8852668588655857E-2</v>
      </c>
    </row>
    <row r="245" spans="1:29" x14ac:dyDescent="0.3">
      <c r="A245" t="str">
        <f>'rockfish harvests'!A244</f>
        <v>SE</v>
      </c>
      <c r="B245">
        <f>'rockfish harvests'!B244</f>
        <v>2015</v>
      </c>
      <c r="C245" t="str">
        <f>'rockfish harvests'!C244</f>
        <v>CSEO</v>
      </c>
      <c r="D245">
        <f>'rockfish harvests'!D244</f>
        <v>80105</v>
      </c>
      <c r="E245">
        <v>16888</v>
      </c>
      <c r="F245">
        <v>5352</v>
      </c>
      <c r="I245" s="13">
        <f t="shared" si="271"/>
        <v>5352</v>
      </c>
      <c r="J245">
        <f t="shared" si="264"/>
        <v>0</v>
      </c>
      <c r="K245">
        <f t="shared" si="265"/>
        <v>0</v>
      </c>
      <c r="L245" s="6">
        <f t="shared" si="266"/>
        <v>0</v>
      </c>
      <c r="N245" s="2">
        <f>'rockfish harvests'!O244</f>
        <v>8154.5459903117735</v>
      </c>
      <c r="O245">
        <f>'rockfish harvests'!P244</f>
        <v>3137762.110543259</v>
      </c>
      <c r="P245">
        <f>IF([2]species_comp_Region1_forR!$D41&gt;49,[2]species_comp_Region1_forR!$J41,[2]species_comp_Region1_forR!$L41)</f>
        <v>0.121836926</v>
      </c>
      <c r="Q245">
        <f>IF([2]species_comp_Region1_forR!$D41&gt;49,[2]species_comp_Region1_forR!$K41,[2]species_comp_Region1_forR!$M41)</f>
        <v>1.00368E-4</v>
      </c>
      <c r="T245" s="13">
        <f t="shared" si="256"/>
        <v>993.52481638521226</v>
      </c>
      <c r="U245" s="14">
        <f t="shared" si="209"/>
        <v>53566.746660742116</v>
      </c>
      <c r="V245">
        <f t="shared" si="267"/>
        <v>231.44491063910243</v>
      </c>
      <c r="W245" s="6">
        <f t="shared" si="268"/>
        <v>453.63202485264077</v>
      </c>
      <c r="Y245" s="13">
        <f t="shared" si="262"/>
        <v>6345.524816385212</v>
      </c>
      <c r="Z245">
        <f t="shared" si="263"/>
        <v>53566.746660742116</v>
      </c>
      <c r="AA245">
        <f t="shared" si="269"/>
        <v>231.44491063910243</v>
      </c>
      <c r="AB245" s="6">
        <f t="shared" si="270"/>
        <v>453.63202485264077</v>
      </c>
      <c r="AC245" s="14">
        <f t="shared" si="198"/>
        <v>3.6473722400623625E-2</v>
      </c>
    </row>
    <row r="246" spans="1:29" x14ac:dyDescent="0.3">
      <c r="A246" t="str">
        <f>'rockfish harvests'!A245</f>
        <v>SE</v>
      </c>
      <c r="B246">
        <f>'rockfish harvests'!B245</f>
        <v>2016</v>
      </c>
      <c r="C246" t="str">
        <f>'rockfish harvests'!C245</f>
        <v>CSEO</v>
      </c>
      <c r="D246">
        <f>'rockfish harvests'!D245</f>
        <v>54908</v>
      </c>
      <c r="E246">
        <v>12620</v>
      </c>
      <c r="F246">
        <v>5433</v>
      </c>
      <c r="I246" s="13">
        <f t="shared" si="271"/>
        <v>5433</v>
      </c>
      <c r="J246">
        <f t="shared" si="264"/>
        <v>0</v>
      </c>
      <c r="K246">
        <f t="shared" si="265"/>
        <v>0</v>
      </c>
      <c r="L246" s="6">
        <f t="shared" si="266"/>
        <v>0</v>
      </c>
      <c r="N246" s="2">
        <f>'rockfish harvests'!O245</f>
        <v>8439.7721422199611</v>
      </c>
      <c r="O246">
        <f>'rockfish harvests'!P245</f>
        <v>2423165.6191606135</v>
      </c>
      <c r="P246">
        <f>IF([2]species_comp_Region1_forR!$D42&gt;49,[2]species_comp_Region1_forR!$J42,[2]species_comp_Region1_forR!$L42)</f>
        <v>0.12372013699999999</v>
      </c>
      <c r="Q246">
        <f>IF([2]species_comp_Region1_forR!$D42&gt;49,[2]species_comp_Region1_forR!$K42,[2]species_comp_Region1_forR!$M42)</f>
        <v>9.2582000000000002E-5</v>
      </c>
      <c r="T246" s="13">
        <f t="shared" si="256"/>
        <v>1044.1697656842371</v>
      </c>
      <c r="U246" s="14">
        <f t="shared" si="209"/>
        <v>43909.536646249442</v>
      </c>
      <c r="V246">
        <f t="shared" si="267"/>
        <v>209.54602512634173</v>
      </c>
      <c r="W246" s="6">
        <f t="shared" si="268"/>
        <v>410.71020924762979</v>
      </c>
      <c r="Y246" s="13">
        <f t="shared" si="262"/>
        <v>6477.1697656842371</v>
      </c>
      <c r="Z246">
        <f t="shared" si="263"/>
        <v>43909.536646249442</v>
      </c>
      <c r="AA246">
        <f t="shared" si="269"/>
        <v>209.54602512634173</v>
      </c>
      <c r="AB246" s="6">
        <f t="shared" si="270"/>
        <v>410.71020924762979</v>
      </c>
      <c r="AC246" s="14">
        <f t="shared" si="198"/>
        <v>3.2351479536094213E-2</v>
      </c>
    </row>
    <row r="247" spans="1:29" x14ac:dyDescent="0.3">
      <c r="A247" t="str">
        <f>'rockfish harvests'!A246</f>
        <v>SE</v>
      </c>
      <c r="B247">
        <f>'rockfish harvests'!B246</f>
        <v>2017</v>
      </c>
      <c r="C247" t="str">
        <f>'rockfish harvests'!C246</f>
        <v>CSEO</v>
      </c>
      <c r="D247">
        <f>'rockfish harvests'!D246</f>
        <v>57388</v>
      </c>
      <c r="E247">
        <v>11329</v>
      </c>
      <c r="F247">
        <v>4871</v>
      </c>
      <c r="I247" s="13">
        <f t="shared" si="271"/>
        <v>4871</v>
      </c>
      <c r="J247">
        <f t="shared" si="264"/>
        <v>0</v>
      </c>
      <c r="K247">
        <f t="shared" si="265"/>
        <v>0</v>
      </c>
      <c r="L247" s="6">
        <f t="shared" si="266"/>
        <v>0</v>
      </c>
      <c r="N247" s="2">
        <f>'rockfish harvests'!O246</f>
        <v>14552.082903438393</v>
      </c>
      <c r="O247">
        <f>'rockfish harvests'!P246</f>
        <v>13249322.287968032</v>
      </c>
      <c r="P247">
        <f>IF([2]species_comp_Region1_forR!$D43&gt;49,[2]species_comp_Region1_forR!$J43,[2]species_comp_Region1_forR!$L43)</f>
        <v>0.20811518300000001</v>
      </c>
      <c r="Q247">
        <f>IF([2]species_comp_Region1_forR!$D43&gt;49,[2]species_comp_Region1_forR!$K43,[2]species_comp_Region1_forR!$M43)</f>
        <v>2.1599400000000001E-4</v>
      </c>
      <c r="T247" s="13">
        <f t="shared" si="256"/>
        <v>3028.5093964802527</v>
      </c>
      <c r="U247" s="14">
        <f t="shared" si="209"/>
        <v>622455.04824423941</v>
      </c>
      <c r="V247">
        <f t="shared" si="267"/>
        <v>788.95820437095358</v>
      </c>
      <c r="W247" s="6">
        <f t="shared" si="268"/>
        <v>1546.358080567069</v>
      </c>
      <c r="Y247" s="13">
        <f t="shared" si="262"/>
        <v>7899.5093964802527</v>
      </c>
      <c r="Z247">
        <f t="shared" si="263"/>
        <v>622455.04824423941</v>
      </c>
      <c r="AA247">
        <f t="shared" si="269"/>
        <v>788.95820437095358</v>
      </c>
      <c r="AB247" s="6">
        <f t="shared" si="270"/>
        <v>1546.358080567069</v>
      </c>
      <c r="AC247" s="14">
        <f t="shared" si="198"/>
        <v>9.9874329502346815E-2</v>
      </c>
    </row>
    <row r="248" spans="1:29" x14ac:dyDescent="0.3">
      <c r="A248" t="str">
        <f>'rockfish harvests'!A247</f>
        <v>SE</v>
      </c>
      <c r="B248">
        <f>'rockfish harvests'!B247</f>
        <v>2018</v>
      </c>
      <c r="C248" t="str">
        <f>'rockfish harvests'!C247</f>
        <v>CSEO</v>
      </c>
      <c r="D248">
        <f>'rockfish harvests'!D247</f>
        <v>55460</v>
      </c>
      <c r="E248">
        <v>10517</v>
      </c>
      <c r="F248">
        <v>4329</v>
      </c>
      <c r="I248" s="13">
        <f t="shared" si="271"/>
        <v>4329</v>
      </c>
      <c r="J248">
        <f t="shared" si="264"/>
        <v>0</v>
      </c>
      <c r="K248">
        <f t="shared" si="265"/>
        <v>0</v>
      </c>
      <c r="L248" s="6">
        <f t="shared" si="266"/>
        <v>0</v>
      </c>
      <c r="N248" s="2">
        <f>'rockfish harvests'!O247</f>
        <v>6239.0473207200412</v>
      </c>
      <c r="O248">
        <f>'rockfish harvests'!P247</f>
        <v>1305580.4963851175</v>
      </c>
      <c r="P248">
        <f>IF([2]species_comp_Region1_forR!$D44&gt;49,[2]species_comp_Region1_forR!$J44,[2]species_comp_Region1_forR!$L44)</f>
        <v>0.17302798999999999</v>
      </c>
      <c r="Q248">
        <f>IF([2]species_comp_Region1_forR!$D44&gt;49,[2]species_comp_Region1_forR!$K44,[2]species_comp_Region1_forR!$M44)</f>
        <v>1.8227900000000001E-4</v>
      </c>
      <c r="T248" s="13">
        <f t="shared" si="256"/>
        <v>1079.5298174190741</v>
      </c>
      <c r="U248" s="14">
        <f t="shared" si="209"/>
        <v>46420.683314069</v>
      </c>
      <c r="V248">
        <f t="shared" si="267"/>
        <v>215.45459687384022</v>
      </c>
      <c r="W248" s="6">
        <f t="shared" si="268"/>
        <v>422.29100987272682</v>
      </c>
      <c r="Y248" s="13">
        <f t="shared" si="262"/>
        <v>5408.5298174190739</v>
      </c>
      <c r="Z248">
        <f t="shared" si="263"/>
        <v>46420.683314069</v>
      </c>
      <c r="AA248">
        <f t="shared" si="269"/>
        <v>215.45459687384022</v>
      </c>
      <c r="AB248" s="6">
        <f t="shared" si="270"/>
        <v>422.29100987272682</v>
      </c>
      <c r="AC248" s="14">
        <f t="shared" si="198"/>
        <v>3.9836074524343505E-2</v>
      </c>
    </row>
    <row r="249" spans="1:29" x14ac:dyDescent="0.3">
      <c r="A249" t="str">
        <f>'rockfish harvests'!A248</f>
        <v>SE</v>
      </c>
      <c r="B249">
        <f>'rockfish harvests'!B248</f>
        <v>2019</v>
      </c>
      <c r="C249" t="str">
        <f>'rockfish harvests'!C248</f>
        <v>CSEO</v>
      </c>
      <c r="D249">
        <f>'rockfish harvests'!D248</f>
        <v>59842</v>
      </c>
      <c r="E249">
        <v>8780</v>
      </c>
      <c r="F249">
        <v>3968</v>
      </c>
      <c r="I249" s="13">
        <f>F249</f>
        <v>3968</v>
      </c>
      <c r="J249">
        <f>(E249^2)*H249</f>
        <v>0</v>
      </c>
      <c r="K249">
        <f>SQRT(J249)</f>
        <v>0</v>
      </c>
      <c r="L249" s="6">
        <f>(1.96*K249)</f>
        <v>0</v>
      </c>
      <c r="N249" s="2">
        <f>'rockfish harvests'!O248</f>
        <v>9834.2503043694014</v>
      </c>
      <c r="O249">
        <f>'rockfish harvests'!P248</f>
        <v>3923387.5515685715</v>
      </c>
      <c r="P249">
        <v>0.18926174496644296</v>
      </c>
      <c r="Q249">
        <v>2.0623889362728502E-4</v>
      </c>
      <c r="T249" s="13">
        <f>N249*P249</f>
        <v>1861.2473730417257</v>
      </c>
      <c r="U249" s="14">
        <f t="shared" si="209"/>
        <v>161290.80369392593</v>
      </c>
      <c r="V249">
        <f>SQRT(U249)</f>
        <v>401.61026343200683</v>
      </c>
      <c r="W249" s="6">
        <f>(1.96*V249)</f>
        <v>787.15611632673335</v>
      </c>
      <c r="Y249" s="13">
        <f>T249+I249</f>
        <v>5829.247373041726</v>
      </c>
      <c r="Z249">
        <f>U249+J249</f>
        <v>161290.80369392593</v>
      </c>
      <c r="AA249">
        <f>SQRT(Z249)</f>
        <v>401.61026343200683</v>
      </c>
      <c r="AB249" s="6">
        <f>(1.96*AA249)</f>
        <v>787.15611632673335</v>
      </c>
      <c r="AC249" s="14">
        <f>AA249/Y249</f>
        <v>6.8895731769647806E-2</v>
      </c>
    </row>
    <row r="250" spans="1:29" x14ac:dyDescent="0.3">
      <c r="A250" t="str">
        <f>'rockfish harvests'!A249</f>
        <v>SE</v>
      </c>
      <c r="B250">
        <f>'rockfish harvests'!B249</f>
        <v>2020</v>
      </c>
      <c r="C250" t="str">
        <f>'rockfish harvests'!C249</f>
        <v>CSEO</v>
      </c>
      <c r="D250">
        <f>'rockfish harvests'!D249</f>
        <v>24728</v>
      </c>
      <c r="E250">
        <v>824</v>
      </c>
      <c r="F250">
        <v>9</v>
      </c>
      <c r="I250" s="13">
        <f t="shared" ref="I250:I252" si="272">F250</f>
        <v>9</v>
      </c>
      <c r="J250">
        <f t="shared" ref="J250:J252" si="273">(E250^2)*H250</f>
        <v>0</v>
      </c>
      <c r="K250">
        <f t="shared" ref="K250:K252" si="274">SQRT(J250)</f>
        <v>0</v>
      </c>
      <c r="L250" s="6">
        <f t="shared" ref="L250:L252" si="275">(1.96*K250)</f>
        <v>0</v>
      </c>
      <c r="N250" s="2">
        <f>'rockfish harvests'!O249</f>
        <v>5579.5825129317564</v>
      </c>
      <c r="O250">
        <f>'rockfish harvests'!P249</f>
        <v>3148769.5238355137</v>
      </c>
      <c r="P250" t="s">
        <v>283</v>
      </c>
      <c r="Q250" t="s">
        <v>284</v>
      </c>
      <c r="T250" s="13">
        <f t="shared" ref="T250:T251" si="276">N250*P250</f>
        <v>15.079952737653379</v>
      </c>
      <c r="U250" s="14">
        <f t="shared" si="209"/>
        <v>273.40599025774185</v>
      </c>
      <c r="V250">
        <f t="shared" ref="V250:V251" si="277">SQRT(U250)</f>
        <v>16.534992901653808</v>
      </c>
      <c r="W250" s="6">
        <f t="shared" ref="W250:W251" si="278">(1.96*V250)</f>
        <v>32.408586087241467</v>
      </c>
      <c r="Y250" s="13">
        <f t="shared" ref="Y250:Y251" si="279">T250+I250</f>
        <v>24.079952737653379</v>
      </c>
      <c r="Z250">
        <f t="shared" ref="Z250:Z251" si="280">U250+J250</f>
        <v>273.40599025774185</v>
      </c>
      <c r="AA250">
        <f t="shared" ref="AA250:AA251" si="281">SQRT(Z250)</f>
        <v>16.534992901653808</v>
      </c>
      <c r="AB250" s="6">
        <f t="shared" ref="AB250:AB251" si="282">(1.96*AA250)</f>
        <v>32.408586087241467</v>
      </c>
      <c r="AC250" s="14">
        <f t="shared" ref="AC250:AC251" si="283">AA250/Y250</f>
        <v>0.68667048817742671</v>
      </c>
    </row>
    <row r="251" spans="1:29" x14ac:dyDescent="0.3">
      <c r="A251" t="str">
        <f>'rockfish harvests'!A250</f>
        <v>SE</v>
      </c>
      <c r="B251">
        <f>'rockfish harvests'!B250</f>
        <v>2021</v>
      </c>
      <c r="C251" t="str">
        <f>'rockfish harvests'!C250</f>
        <v>CSEO</v>
      </c>
      <c r="D251">
        <f>'rockfish harvests'!D250</f>
        <v>56521</v>
      </c>
      <c r="E251">
        <v>2821</v>
      </c>
      <c r="F251">
        <v>10</v>
      </c>
      <c r="I251" s="13">
        <f t="shared" si="272"/>
        <v>10</v>
      </c>
      <c r="J251">
        <f t="shared" si="273"/>
        <v>0</v>
      </c>
      <c r="K251">
        <f t="shared" si="274"/>
        <v>0</v>
      </c>
      <c r="L251" s="6">
        <f t="shared" si="275"/>
        <v>0</v>
      </c>
      <c r="N251" s="2">
        <f>'rockfish harvests'!O250</f>
        <v>6300.3832456916716</v>
      </c>
      <c r="O251">
        <f>'rockfish harvests'!P250</f>
        <v>1468791.0672018982</v>
      </c>
      <c r="P251" t="s">
        <v>273</v>
      </c>
      <c r="Q251" t="s">
        <v>273</v>
      </c>
      <c r="T251" s="13">
        <f t="shared" si="276"/>
        <v>0</v>
      </c>
      <c r="U251" s="14">
        <f t="shared" si="209"/>
        <v>0</v>
      </c>
      <c r="V251">
        <f t="shared" si="277"/>
        <v>0</v>
      </c>
      <c r="W251" s="6">
        <f t="shared" si="278"/>
        <v>0</v>
      </c>
      <c r="Y251" s="13">
        <f t="shared" si="279"/>
        <v>10</v>
      </c>
      <c r="Z251">
        <f t="shared" si="280"/>
        <v>0</v>
      </c>
      <c r="AA251">
        <f t="shared" si="281"/>
        <v>0</v>
      </c>
      <c r="AB251" s="6">
        <f t="shared" si="282"/>
        <v>0</v>
      </c>
      <c r="AC251" s="14">
        <f t="shared" si="283"/>
        <v>0</v>
      </c>
    </row>
    <row r="252" spans="1:29" s="51" customFormat="1" x14ac:dyDescent="0.3">
      <c r="A252" s="51" t="s">
        <v>151</v>
      </c>
      <c r="B252" s="51">
        <v>2022</v>
      </c>
      <c r="C252" s="51" t="s">
        <v>42</v>
      </c>
      <c r="D252">
        <f>'rockfish harvests'!D251</f>
        <v>67729</v>
      </c>
      <c r="E252" s="51">
        <v>3398</v>
      </c>
      <c r="F252" s="51">
        <v>32</v>
      </c>
      <c r="I252" s="71">
        <f t="shared" si="272"/>
        <v>32</v>
      </c>
      <c r="J252" s="51">
        <f t="shared" si="273"/>
        <v>0</v>
      </c>
      <c r="K252" s="51">
        <f t="shared" si="274"/>
        <v>0</v>
      </c>
      <c r="L252" s="78">
        <f t="shared" si="275"/>
        <v>0</v>
      </c>
      <c r="N252" s="2">
        <f>'rockfish harvests'!O251</f>
        <v>11225.939425595861</v>
      </c>
      <c r="O252">
        <f>'rockfish harvests'!P251</f>
        <v>5307635.0491281012</v>
      </c>
      <c r="P252" t="s">
        <v>204</v>
      </c>
      <c r="Q252" t="s">
        <v>205</v>
      </c>
      <c r="T252" s="13">
        <f t="shared" ref="T252" si="284">N252*P252</f>
        <v>19.523372914079776</v>
      </c>
      <c r="U252" s="14">
        <f t="shared" si="209"/>
        <v>413.2687669879893</v>
      </c>
      <c r="V252">
        <f t="shared" ref="V252" si="285">SQRT(U252)</f>
        <v>20.32901293688381</v>
      </c>
      <c r="W252" s="6">
        <f t="shared" ref="W252" si="286">(1.96*V252)</f>
        <v>39.844865356292267</v>
      </c>
      <c r="X252"/>
      <c r="Y252" s="13">
        <f t="shared" ref="Y252" si="287">T252+I252</f>
        <v>51.523372914079772</v>
      </c>
      <c r="Z252">
        <f t="shared" ref="Z252" si="288">U252+J252</f>
        <v>413.2687669879893</v>
      </c>
      <c r="AA252">
        <f t="shared" ref="AA252" si="289">SQRT(Z252)</f>
        <v>20.32901293688381</v>
      </c>
      <c r="AB252" s="6">
        <f t="shared" ref="AB252" si="290">(1.96*AA252)</f>
        <v>39.844865356292267</v>
      </c>
      <c r="AC252" s="14">
        <f t="shared" ref="AC252" si="291">AA252/Y252</f>
        <v>0.3945590474207582</v>
      </c>
    </row>
    <row r="253" spans="1:29" x14ac:dyDescent="0.3">
      <c r="A253" t="str">
        <f>'rockfish harvests'!A252</f>
        <v>SE</v>
      </c>
      <c r="B253">
        <f>'rockfish harvests'!B252</f>
        <v>1998</v>
      </c>
      <c r="C253" t="str">
        <f>'rockfish harvests'!C252</f>
        <v>EWYKT</v>
      </c>
      <c r="D253">
        <f>'rockfish harvests'!D252</f>
        <v>1305</v>
      </c>
      <c r="E253">
        <v>606</v>
      </c>
      <c r="F253" t="s">
        <v>159</v>
      </c>
      <c r="G253" s="32">
        <v>0.19165747799999999</v>
      </c>
      <c r="H253" s="32">
        <v>1.9487E-3</v>
      </c>
      <c r="I253" s="13">
        <f t="shared" ref="I253:I260" si="292">E253*G253</f>
        <v>116.144431668</v>
      </c>
      <c r="J253">
        <f t="shared" si="264"/>
        <v>715.63279320000004</v>
      </c>
      <c r="K253">
        <f t="shared" si="265"/>
        <v>26.751313859322874</v>
      </c>
      <c r="L253" s="6">
        <f t="shared" si="266"/>
        <v>52.432575164272833</v>
      </c>
      <c r="N253" s="2">
        <f>'rockfish harvests'!O252</f>
        <v>340.03895326402039</v>
      </c>
      <c r="O253">
        <f>'rockfish harvests'!P252</f>
        <v>27091.93854220381</v>
      </c>
      <c r="P253" s="32">
        <v>1.5299544999999999E-2</v>
      </c>
      <c r="Q253" s="32">
        <v>2.3553699999999999E-4</v>
      </c>
      <c r="T253" s="13">
        <f t="shared" si="256"/>
        <v>5.2024412672157769</v>
      </c>
      <c r="U253" s="14">
        <f t="shared" si="209"/>
        <v>39.957045139465947</v>
      </c>
      <c r="V253">
        <f t="shared" si="267"/>
        <v>6.3211585282656806</v>
      </c>
      <c r="W253" s="6">
        <f t="shared" si="268"/>
        <v>12.389470715400734</v>
      </c>
      <c r="Y253" s="13">
        <f t="shared" si="262"/>
        <v>121.34687293521577</v>
      </c>
      <c r="Z253">
        <f t="shared" si="263"/>
        <v>755.58983833946604</v>
      </c>
      <c r="AA253">
        <f t="shared" si="269"/>
        <v>27.487994440109048</v>
      </c>
      <c r="AB253" s="6">
        <f t="shared" si="270"/>
        <v>53.876469102613733</v>
      </c>
      <c r="AC253" s="14">
        <f t="shared" si="198"/>
        <v>0.22652412687044882</v>
      </c>
    </row>
    <row r="254" spans="1:29" x14ac:dyDescent="0.3">
      <c r="A254" t="str">
        <f>'rockfish harvests'!A253</f>
        <v>SE</v>
      </c>
      <c r="B254">
        <f>'rockfish harvests'!B253</f>
        <v>1999</v>
      </c>
      <c r="C254" t="str">
        <f>'rockfish harvests'!C253</f>
        <v>EWYKT</v>
      </c>
      <c r="D254">
        <f>'rockfish harvests'!D253</f>
        <v>663</v>
      </c>
      <c r="E254">
        <v>116</v>
      </c>
      <c r="F254" t="s">
        <v>159</v>
      </c>
      <c r="G254" s="32">
        <v>0.19165747799999999</v>
      </c>
      <c r="H254" s="32">
        <v>1.9487E-3</v>
      </c>
      <c r="I254" s="13">
        <f t="shared" si="292"/>
        <v>22.232267447999998</v>
      </c>
      <c r="J254">
        <f t="shared" si="264"/>
        <v>26.221707200000001</v>
      </c>
      <c r="K254">
        <f t="shared" si="265"/>
        <v>5.120713544028801</v>
      </c>
      <c r="L254" s="6">
        <f t="shared" si="266"/>
        <v>10.03659854629645</v>
      </c>
      <c r="N254" s="2">
        <f>'rockfish harvests'!O253</f>
        <v>172.7554222329851</v>
      </c>
      <c r="O254">
        <f>'rockfish harvests'!P253</f>
        <v>6992.7196212962144</v>
      </c>
      <c r="P254" s="32">
        <v>1.5299544999999999E-2</v>
      </c>
      <c r="Q254" s="32">
        <v>2.3553699999999999E-4</v>
      </c>
      <c r="T254" s="13">
        <f t="shared" si="256"/>
        <v>2.6430793564475561</v>
      </c>
      <c r="U254" s="14">
        <f t="shared" si="209"/>
        <v>10.313341480547797</v>
      </c>
      <c r="V254">
        <f t="shared" si="267"/>
        <v>3.2114391603372772</v>
      </c>
      <c r="W254" s="6">
        <f t="shared" si="268"/>
        <v>6.2944207542610631</v>
      </c>
      <c r="Y254" s="13">
        <f t="shared" si="262"/>
        <v>24.875346804447553</v>
      </c>
      <c r="Z254">
        <f t="shared" si="263"/>
        <v>36.535048680547796</v>
      </c>
      <c r="AA254">
        <f t="shared" si="269"/>
        <v>6.0444229402439893</v>
      </c>
      <c r="AB254" s="6">
        <f t="shared" si="270"/>
        <v>11.847068962878218</v>
      </c>
      <c r="AC254" s="14">
        <f t="shared" ref="AC254:AC328" si="293">AA254/Y254</f>
        <v>0.24298848927659111</v>
      </c>
    </row>
    <row r="255" spans="1:29" x14ac:dyDescent="0.3">
      <c r="A255" t="str">
        <f>'rockfish harvests'!A254</f>
        <v>SE</v>
      </c>
      <c r="B255">
        <f>'rockfish harvests'!B254</f>
        <v>2000</v>
      </c>
      <c r="C255" t="str">
        <f>'rockfish harvests'!C254</f>
        <v>EWYKT</v>
      </c>
      <c r="D255">
        <f>'rockfish harvests'!D254</f>
        <v>1199</v>
      </c>
      <c r="E255">
        <v>142</v>
      </c>
      <c r="F255" t="s">
        <v>159</v>
      </c>
      <c r="G255" s="32">
        <v>0.19165747799999999</v>
      </c>
      <c r="H255" s="32">
        <v>1.9487E-3</v>
      </c>
      <c r="I255" s="13">
        <f t="shared" si="292"/>
        <v>27.215361875999999</v>
      </c>
      <c r="J255">
        <f t="shared" si="264"/>
        <v>39.2935868</v>
      </c>
      <c r="K255">
        <f t="shared" si="265"/>
        <v>6.26845968320767</v>
      </c>
      <c r="L255" s="6">
        <f t="shared" si="266"/>
        <v>12.286180979087034</v>
      </c>
      <c r="N255" s="2">
        <f>'rockfish harvests'!O254</f>
        <v>312.41893100655966</v>
      </c>
      <c r="O255">
        <f>'rockfish harvests'!P254</f>
        <v>22869.539754384543</v>
      </c>
      <c r="P255" s="32">
        <v>1.5299544999999999E-2</v>
      </c>
      <c r="Q255" s="32">
        <v>2.3553699999999999E-4</v>
      </c>
      <c r="T255" s="13">
        <f t="shared" si="256"/>
        <v>4.7798674937867549</v>
      </c>
      <c r="U255" s="14">
        <f t="shared" si="209"/>
        <v>33.7295624254144</v>
      </c>
      <c r="V255">
        <f t="shared" si="267"/>
        <v>5.8077157665827963</v>
      </c>
      <c r="W255" s="6">
        <f t="shared" si="268"/>
        <v>11.383122902502281</v>
      </c>
      <c r="Y255" s="13">
        <f t="shared" si="262"/>
        <v>31.995229369786756</v>
      </c>
      <c r="Z255">
        <f t="shared" si="263"/>
        <v>73.0231492254144</v>
      </c>
      <c r="AA255">
        <f t="shared" si="269"/>
        <v>8.5453583438855514</v>
      </c>
      <c r="AB255" s="6">
        <f t="shared" si="270"/>
        <v>16.74890235401568</v>
      </c>
      <c r="AC255" s="14">
        <f t="shared" si="293"/>
        <v>0.26708226545657998</v>
      </c>
    </row>
    <row r="256" spans="1:29" x14ac:dyDescent="0.3">
      <c r="A256" t="str">
        <f>'rockfish harvests'!A255</f>
        <v>SE</v>
      </c>
      <c r="B256">
        <f>'rockfish harvests'!B255</f>
        <v>2001</v>
      </c>
      <c r="C256" t="str">
        <f>'rockfish harvests'!C255</f>
        <v>EWYKT</v>
      </c>
      <c r="D256">
        <f>'rockfish harvests'!D255</f>
        <v>1043</v>
      </c>
      <c r="E256">
        <v>152</v>
      </c>
      <c r="F256" t="s">
        <v>159</v>
      </c>
      <c r="G256" s="32">
        <v>0.19165747799999999</v>
      </c>
      <c r="H256" s="32">
        <v>1.9487E-3</v>
      </c>
      <c r="I256" s="13">
        <f t="shared" si="292"/>
        <v>29.131936656000001</v>
      </c>
      <c r="J256">
        <f t="shared" si="264"/>
        <v>45.022764800000004</v>
      </c>
      <c r="K256">
        <f t="shared" si="265"/>
        <v>6.7099005059687737</v>
      </c>
      <c r="L256" s="6">
        <f t="shared" si="266"/>
        <v>13.151404991698797</v>
      </c>
      <c r="N256" s="2">
        <f>'rockfish harvests'!O255</f>
        <v>271.77059636350441</v>
      </c>
      <c r="O256">
        <f>'rockfish harvests'!P255</f>
        <v>17305.640405277591</v>
      </c>
      <c r="P256" s="32">
        <v>1.5299544999999999E-2</v>
      </c>
      <c r="Q256" s="32">
        <v>2.3553699999999999E-4</v>
      </c>
      <c r="T256" s="13">
        <f t="shared" si="256"/>
        <v>4.1579664687402715</v>
      </c>
      <c r="U256" s="14">
        <f t="shared" si="209"/>
        <v>25.523542871022379</v>
      </c>
      <c r="V256">
        <f t="shared" si="267"/>
        <v>5.0520830229740268</v>
      </c>
      <c r="W256" s="6">
        <f t="shared" si="268"/>
        <v>9.9020827250290928</v>
      </c>
      <c r="Y256" s="13">
        <f t="shared" si="262"/>
        <v>33.28990312474027</v>
      </c>
      <c r="Z256">
        <f t="shared" si="263"/>
        <v>70.54630767102239</v>
      </c>
      <c r="AA256">
        <f t="shared" si="269"/>
        <v>8.3991849408750596</v>
      </c>
      <c r="AB256" s="6">
        <f t="shared" si="270"/>
        <v>16.462402484115117</v>
      </c>
      <c r="AC256" s="14">
        <f t="shared" si="293"/>
        <v>0.25230427704768488</v>
      </c>
    </row>
    <row r="257" spans="1:29" x14ac:dyDescent="0.3">
      <c r="A257" t="str">
        <f>'rockfish harvests'!A256</f>
        <v>SE</v>
      </c>
      <c r="B257">
        <f>'rockfish harvests'!B256</f>
        <v>2002</v>
      </c>
      <c r="C257" t="str">
        <f>'rockfish harvests'!C256</f>
        <v>EWYKT</v>
      </c>
      <c r="D257">
        <f>'rockfish harvests'!D256</f>
        <v>893</v>
      </c>
      <c r="E257">
        <v>102</v>
      </c>
      <c r="F257" t="s">
        <v>159</v>
      </c>
      <c r="G257" s="32">
        <v>0.19165747799999999</v>
      </c>
      <c r="H257" s="32">
        <v>1.9487E-3</v>
      </c>
      <c r="I257" s="13">
        <f t="shared" si="292"/>
        <v>19.549062755999998</v>
      </c>
      <c r="J257">
        <f t="shared" si="264"/>
        <v>20.274274800000001</v>
      </c>
      <c r="K257">
        <f t="shared" si="265"/>
        <v>4.5026963921632559</v>
      </c>
      <c r="L257" s="6">
        <f t="shared" si="266"/>
        <v>8.8252849286399808</v>
      </c>
      <c r="N257" s="2">
        <f>'rockfish harvests'!O256</f>
        <v>232.6856592067204</v>
      </c>
      <c r="O257">
        <f>'rockfish harvests'!P256</f>
        <v>12685.920229322461</v>
      </c>
      <c r="P257" s="32">
        <v>1.5299544999999999E-2</v>
      </c>
      <c r="Q257" s="32">
        <v>2.3553699999999999E-4</v>
      </c>
      <c r="T257" s="13">
        <f t="shared" si="256"/>
        <v>3.5599847138878831</v>
      </c>
      <c r="U257" s="14">
        <f t="shared" ref="U257:U320" si="294">(N257^2)*Q257+(P257^2)*O257+(Q257*O257)</f>
        <v>18.710063380996736</v>
      </c>
      <c r="V257">
        <f t="shared" si="267"/>
        <v>4.3255130771963612</v>
      </c>
      <c r="W257" s="6">
        <f t="shared" si="268"/>
        <v>8.4780056313048675</v>
      </c>
      <c r="Y257" s="13">
        <f t="shared" si="262"/>
        <v>23.10904746988788</v>
      </c>
      <c r="Z257">
        <f t="shared" si="263"/>
        <v>38.984338180996737</v>
      </c>
      <c r="AA257">
        <f t="shared" si="269"/>
        <v>6.243743923400185</v>
      </c>
      <c r="AB257" s="6">
        <f t="shared" si="270"/>
        <v>12.237738089864363</v>
      </c>
      <c r="AC257" s="14">
        <f t="shared" si="293"/>
        <v>0.27018612219028337</v>
      </c>
    </row>
    <row r="258" spans="1:29" x14ac:dyDescent="0.3">
      <c r="A258" t="str">
        <f>'rockfish harvests'!A257</f>
        <v>SE</v>
      </c>
      <c r="B258">
        <f>'rockfish harvests'!B257</f>
        <v>2003</v>
      </c>
      <c r="C258" t="str">
        <f>'rockfish harvests'!C257</f>
        <v>EWYKT</v>
      </c>
      <c r="D258">
        <f>'rockfish harvests'!D257</f>
        <v>1627</v>
      </c>
      <c r="E258">
        <v>443</v>
      </c>
      <c r="F258" t="s">
        <v>159</v>
      </c>
      <c r="G258" s="32">
        <v>0.19165747799999999</v>
      </c>
      <c r="H258" s="32">
        <v>1.9487E-3</v>
      </c>
      <c r="I258" s="13">
        <f t="shared" si="292"/>
        <v>84.904262754000001</v>
      </c>
      <c r="J258">
        <f t="shared" si="264"/>
        <v>382.43042630000002</v>
      </c>
      <c r="K258">
        <f t="shared" si="265"/>
        <v>19.555828448316888</v>
      </c>
      <c r="L258" s="6">
        <f t="shared" si="266"/>
        <v>38.329423758701097</v>
      </c>
      <c r="N258" s="2">
        <f>'rockfish harvests'!O257</f>
        <v>423.94128502725016</v>
      </c>
      <c r="O258">
        <f>'rockfish harvests'!P257</f>
        <v>42110.865184765593</v>
      </c>
      <c r="P258" s="32">
        <v>1.5299544999999999E-2</v>
      </c>
      <c r="Q258" s="32">
        <v>2.3553699999999999E-4</v>
      </c>
      <c r="T258" s="13">
        <f t="shared" si="256"/>
        <v>6.4861087676322402</v>
      </c>
      <c r="U258" s="14">
        <f t="shared" si="294"/>
        <v>62.107986050110497</v>
      </c>
      <c r="V258">
        <f t="shared" si="267"/>
        <v>7.8808620118684036</v>
      </c>
      <c r="W258" s="6">
        <f t="shared" si="268"/>
        <v>15.446489543262071</v>
      </c>
      <c r="Y258" s="13">
        <f t="shared" si="262"/>
        <v>91.390371521632247</v>
      </c>
      <c r="Z258">
        <f t="shared" si="263"/>
        <v>444.53841235011055</v>
      </c>
      <c r="AA258">
        <f t="shared" si="269"/>
        <v>21.084079594568756</v>
      </c>
      <c r="AB258" s="6">
        <f t="shared" si="270"/>
        <v>41.324796005354763</v>
      </c>
      <c r="AC258" s="14">
        <f t="shared" si="293"/>
        <v>0.2307035111415224</v>
      </c>
    </row>
    <row r="259" spans="1:29" x14ac:dyDescent="0.3">
      <c r="A259" t="str">
        <f>'rockfish harvests'!A258</f>
        <v>SE</v>
      </c>
      <c r="B259">
        <f>'rockfish harvests'!B258</f>
        <v>2004</v>
      </c>
      <c r="C259" t="str">
        <f>'rockfish harvests'!C258</f>
        <v>EWYKT</v>
      </c>
      <c r="D259">
        <f>'rockfish harvests'!D258</f>
        <v>1501</v>
      </c>
      <c r="E259">
        <v>378</v>
      </c>
      <c r="F259" t="s">
        <v>159</v>
      </c>
      <c r="G259" s="32">
        <v>0.19165747799999999</v>
      </c>
      <c r="H259" s="32">
        <v>1.9487E-3</v>
      </c>
      <c r="I259" s="13">
        <f t="shared" si="292"/>
        <v>72.446526683999991</v>
      </c>
      <c r="J259">
        <f t="shared" si="264"/>
        <v>278.43805079999998</v>
      </c>
      <c r="K259">
        <f t="shared" si="265"/>
        <v>16.686463100369711</v>
      </c>
      <c r="L259" s="6">
        <f t="shared" si="266"/>
        <v>32.705467676724631</v>
      </c>
      <c r="N259" s="2">
        <f>'rockfish harvests'!O258</f>
        <v>391.10993781555135</v>
      </c>
      <c r="O259">
        <f>'rockfish harvests'!P258</f>
        <v>35841.026777365994</v>
      </c>
      <c r="P259" s="32">
        <v>1.5299544999999999E-2</v>
      </c>
      <c r="Q259" s="32">
        <v>2.3553699999999999E-4</v>
      </c>
      <c r="T259" s="13">
        <f t="shared" si="256"/>
        <v>5.9838040935562296</v>
      </c>
      <c r="U259" s="14">
        <f t="shared" si="294"/>
        <v>52.860799257945054</v>
      </c>
      <c r="V259">
        <f t="shared" si="267"/>
        <v>7.2705432574151603</v>
      </c>
      <c r="W259" s="6">
        <f t="shared" si="268"/>
        <v>14.250264784533714</v>
      </c>
      <c r="Y259" s="13">
        <f t="shared" si="262"/>
        <v>78.430330777556222</v>
      </c>
      <c r="Z259">
        <f t="shared" si="263"/>
        <v>331.29885005794506</v>
      </c>
      <c r="AA259">
        <f t="shared" si="269"/>
        <v>18.201616688029254</v>
      </c>
      <c r="AB259" s="6">
        <f t="shared" si="270"/>
        <v>35.675168708537335</v>
      </c>
      <c r="AC259" s="14">
        <f t="shared" si="293"/>
        <v>0.23207369531122601</v>
      </c>
    </row>
    <row r="260" spans="1:29" x14ac:dyDescent="0.3">
      <c r="A260" t="str">
        <f>'rockfish harvests'!A259</f>
        <v>SE</v>
      </c>
      <c r="B260">
        <f>'rockfish harvests'!B259</f>
        <v>2005</v>
      </c>
      <c r="C260" t="str">
        <f>'rockfish harvests'!C259</f>
        <v>EWYKT</v>
      </c>
      <c r="D260">
        <f>'rockfish harvests'!D259</f>
        <v>1676</v>
      </c>
      <c r="E260">
        <v>284</v>
      </c>
      <c r="F260" t="s">
        <v>159</v>
      </c>
      <c r="G260" s="32">
        <v>0.19165747799999999</v>
      </c>
      <c r="H260" s="32">
        <v>1.9487E-3</v>
      </c>
      <c r="I260" s="13">
        <f t="shared" si="292"/>
        <v>54.430723751999999</v>
      </c>
      <c r="J260">
        <f t="shared" si="264"/>
        <v>157.1743472</v>
      </c>
      <c r="K260">
        <f t="shared" si="265"/>
        <v>12.53691936641534</v>
      </c>
      <c r="L260" s="6">
        <f t="shared" si="266"/>
        <v>24.572361958174067</v>
      </c>
      <c r="N260" s="2">
        <f>'rockfish harvests'!O259</f>
        <v>436.70903116513273</v>
      </c>
      <c r="O260">
        <f>'rockfish harvests'!P259</f>
        <v>44685.54786836687</v>
      </c>
      <c r="P260" s="32">
        <v>1.5299544999999999E-2</v>
      </c>
      <c r="Q260" s="32">
        <v>2.3553699999999999E-4</v>
      </c>
      <c r="T260" s="13">
        <f t="shared" si="256"/>
        <v>6.6814494742173505</v>
      </c>
      <c r="U260" s="14">
        <f t="shared" si="294"/>
        <v>65.905304283657898</v>
      </c>
      <c r="V260">
        <f t="shared" si="267"/>
        <v>8.1182081941557698</v>
      </c>
      <c r="W260" s="6">
        <f t="shared" si="268"/>
        <v>15.911688060545309</v>
      </c>
      <c r="Y260" s="13">
        <f t="shared" si="262"/>
        <v>61.112173226217351</v>
      </c>
      <c r="Z260">
        <f t="shared" si="263"/>
        <v>223.0796514836579</v>
      </c>
      <c r="AA260">
        <f t="shared" si="269"/>
        <v>14.935851213896646</v>
      </c>
      <c r="AB260" s="6">
        <f t="shared" si="270"/>
        <v>29.274268379237427</v>
      </c>
      <c r="AC260" s="14">
        <f t="shared" si="293"/>
        <v>0.2444005903473436</v>
      </c>
    </row>
    <row r="261" spans="1:29" x14ac:dyDescent="0.3">
      <c r="A261" t="str">
        <f>'rockfish harvests'!A260</f>
        <v>SE</v>
      </c>
      <c r="B261">
        <f>'rockfish harvests'!B260</f>
        <v>2006</v>
      </c>
      <c r="C261" t="str">
        <f>'rockfish harvests'!C260</f>
        <v>EWYKT</v>
      </c>
      <c r="D261">
        <f>'rockfish harvests'!D260</f>
        <v>2529</v>
      </c>
      <c r="E261">
        <v>440</v>
      </c>
      <c r="F261">
        <v>167</v>
      </c>
      <c r="I261" s="13">
        <f>F261</f>
        <v>167</v>
      </c>
      <c r="J261">
        <f t="shared" si="264"/>
        <v>0</v>
      </c>
      <c r="K261">
        <f t="shared" si="265"/>
        <v>0</v>
      </c>
      <c r="L261" s="6">
        <f t="shared" si="266"/>
        <v>0</v>
      </c>
      <c r="N261" s="2">
        <f>'rockfish harvests'!O260</f>
        <v>658.97204046337765</v>
      </c>
      <c r="O261">
        <f>'rockfish harvests'!P260</f>
        <v>101745.85299552699</v>
      </c>
      <c r="P261">
        <f>IF([2]species_comp_Region1_forR!$D340&gt;49,[2]species_comp_Region1_forR!$J340,[2]species_comp_Region1_forR!$L340)</f>
        <v>0</v>
      </c>
      <c r="Q261">
        <f>IF([2]species_comp_Region1_forR!$D340&gt;49,[2]species_comp_Region1_forR!$K340,[2]species_comp_Region1_forR!$M340)</f>
        <v>0</v>
      </c>
      <c r="T261" s="13">
        <f t="shared" si="256"/>
        <v>0</v>
      </c>
      <c r="U261" s="14">
        <f t="shared" si="294"/>
        <v>0</v>
      </c>
      <c r="V261">
        <f t="shared" si="267"/>
        <v>0</v>
      </c>
      <c r="W261" s="6">
        <f t="shared" si="268"/>
        <v>0</v>
      </c>
      <c r="Y261" s="13">
        <f t="shared" si="262"/>
        <v>167</v>
      </c>
      <c r="Z261">
        <f t="shared" si="263"/>
        <v>0</v>
      </c>
      <c r="AA261">
        <f t="shared" si="269"/>
        <v>0</v>
      </c>
      <c r="AB261" s="6">
        <f t="shared" si="270"/>
        <v>0</v>
      </c>
      <c r="AC261" s="14">
        <f t="shared" si="293"/>
        <v>0</v>
      </c>
    </row>
    <row r="262" spans="1:29" x14ac:dyDescent="0.3">
      <c r="A262" t="str">
        <f>'rockfish harvests'!A261</f>
        <v>SE</v>
      </c>
      <c r="B262">
        <f>'rockfish harvests'!B261</f>
        <v>2007</v>
      </c>
      <c r="C262" t="str">
        <f>'rockfish harvests'!C261</f>
        <v>EWYKT</v>
      </c>
      <c r="D262">
        <f>'rockfish harvests'!D261</f>
        <v>2290</v>
      </c>
      <c r="E262">
        <v>334</v>
      </c>
      <c r="F262">
        <v>108</v>
      </c>
      <c r="I262" s="13">
        <f t="shared" ref="I262:I274" si="295">F262</f>
        <v>108</v>
      </c>
      <c r="J262">
        <f t="shared" si="264"/>
        <v>0</v>
      </c>
      <c r="K262">
        <f t="shared" si="265"/>
        <v>0</v>
      </c>
      <c r="L262" s="6">
        <f t="shared" si="266"/>
        <v>0</v>
      </c>
      <c r="N262" s="2">
        <f>'rockfish harvests'!O261</f>
        <v>596.69670726023514</v>
      </c>
      <c r="O262">
        <f>'rockfish harvests'!P261</f>
        <v>83423.810519029968</v>
      </c>
      <c r="P262">
        <f>IF([2]species_comp_Region1_forR!$D341&gt;49,[2]species_comp_Region1_forR!$J341,[2]species_comp_Region1_forR!$L341)</f>
        <v>6.3694270000000004E-3</v>
      </c>
      <c r="Q262">
        <f>IF([2]species_comp_Region1_forR!$D341&gt;49,[2]species_comp_Region1_forR!$K341,[2]species_comp_Region1_forR!$M341)</f>
        <v>4.0569599999999999E-5</v>
      </c>
      <c r="T262" s="13">
        <f t="shared" si="256"/>
        <v>3.800616118034438</v>
      </c>
      <c r="U262" s="14">
        <f t="shared" si="294"/>
        <v>21.213624039071213</v>
      </c>
      <c r="V262">
        <f t="shared" si="267"/>
        <v>4.6058250117727244</v>
      </c>
      <c r="W262" s="6">
        <f t="shared" si="268"/>
        <v>9.0274170230745394</v>
      </c>
      <c r="Y262" s="13">
        <f t="shared" si="262"/>
        <v>111.80061611803444</v>
      </c>
      <c r="Z262">
        <f t="shared" si="263"/>
        <v>21.213624039071213</v>
      </c>
      <c r="AA262">
        <f t="shared" si="269"/>
        <v>4.6058250117727244</v>
      </c>
      <c r="AB262" s="6">
        <f t="shared" si="270"/>
        <v>9.0274170230745394</v>
      </c>
      <c r="AC262" s="14">
        <f t="shared" si="293"/>
        <v>4.1196776652018499E-2</v>
      </c>
    </row>
    <row r="263" spans="1:29" x14ac:dyDescent="0.3">
      <c r="A263" t="str">
        <f>'rockfish harvests'!A262</f>
        <v>SE</v>
      </c>
      <c r="B263">
        <f>'rockfish harvests'!B262</f>
        <v>2008</v>
      </c>
      <c r="C263" t="str">
        <f>'rockfish harvests'!C262</f>
        <v>EWYKT</v>
      </c>
      <c r="D263">
        <f>'rockfish harvests'!D262</f>
        <v>2857</v>
      </c>
      <c r="E263">
        <v>401</v>
      </c>
      <c r="F263">
        <v>161</v>
      </c>
      <c r="I263" s="13">
        <f t="shared" si="295"/>
        <v>161</v>
      </c>
      <c r="J263">
        <f t="shared" si="264"/>
        <v>0</v>
      </c>
      <c r="K263">
        <f t="shared" si="265"/>
        <v>0</v>
      </c>
      <c r="L263" s="6">
        <f t="shared" si="266"/>
        <v>0</v>
      </c>
      <c r="N263" s="2">
        <f>'rockfish harvests'!O262</f>
        <v>744.43776971287843</v>
      </c>
      <c r="O263">
        <f>'rockfish harvests'!P262</f>
        <v>129849.277997606</v>
      </c>
      <c r="P263">
        <f>IF([2]species_comp_Region1_forR!$D342&gt;49,[2]species_comp_Region1_forR!$J342,[2]species_comp_Region1_forR!$L342)</f>
        <v>4.4776119000000003E-2</v>
      </c>
      <c r="Q263">
        <f>IF([2]species_comp_Region1_forR!$D342&gt;49,[2]species_comp_Region1_forR!$K342,[2]species_comp_Region1_forR!$M342)</f>
        <v>6.4804900000000004E-4</v>
      </c>
      <c r="T263" s="13">
        <f t="shared" si="256"/>
        <v>33.333034164758445</v>
      </c>
      <c r="U263" s="14">
        <f t="shared" si="294"/>
        <v>703.62433578015577</v>
      </c>
      <c r="V263">
        <f t="shared" si="267"/>
        <v>26.525918189200461</v>
      </c>
      <c r="W263" s="6">
        <f t="shared" si="268"/>
        <v>51.990799650832905</v>
      </c>
      <c r="Y263" s="13">
        <f t="shared" si="262"/>
        <v>194.33303416475843</v>
      </c>
      <c r="Z263">
        <f t="shared" si="263"/>
        <v>703.62433578015577</v>
      </c>
      <c r="AA263">
        <f t="shared" si="269"/>
        <v>26.525918189200461</v>
      </c>
      <c r="AB263" s="6">
        <f t="shared" si="270"/>
        <v>51.990799650832905</v>
      </c>
      <c r="AC263" s="14">
        <f t="shared" si="293"/>
        <v>0.13649721625151692</v>
      </c>
    </row>
    <row r="264" spans="1:29" x14ac:dyDescent="0.3">
      <c r="A264" t="str">
        <f>'rockfish harvests'!A263</f>
        <v>SE</v>
      </c>
      <c r="B264">
        <f>'rockfish harvests'!B263</f>
        <v>2009</v>
      </c>
      <c r="C264" t="str">
        <f>'rockfish harvests'!C263</f>
        <v>EWYKT</v>
      </c>
      <c r="D264">
        <f>'rockfish harvests'!D263</f>
        <v>2494</v>
      </c>
      <c r="E264">
        <v>301</v>
      </c>
      <c r="F264">
        <v>79</v>
      </c>
      <c r="I264" s="13">
        <f t="shared" si="295"/>
        <v>79</v>
      </c>
      <c r="J264">
        <f t="shared" si="264"/>
        <v>0</v>
      </c>
      <c r="K264">
        <f t="shared" si="265"/>
        <v>0</v>
      </c>
      <c r="L264" s="6">
        <f t="shared" si="266"/>
        <v>0</v>
      </c>
      <c r="N264" s="2">
        <f>'rockfish harvests'!O263</f>
        <v>649.85222179346101</v>
      </c>
      <c r="O264">
        <f>'rockfish harvests'!P263</f>
        <v>98949.124670686113</v>
      </c>
      <c r="P264">
        <f>IF([2]species_comp_Region1_forR!$D343&gt;49,[2]species_comp_Region1_forR!$J343,[2]species_comp_Region1_forR!$L343)</f>
        <v>1.5625E-2</v>
      </c>
      <c r="Q264">
        <f>IF([2]species_comp_Region1_forR!$D343&gt;49,[2]species_comp_Region1_forR!$K343,[2]species_comp_Region1_forR!$M343)</f>
        <v>8.0528100000000006E-5</v>
      </c>
      <c r="T264" s="13">
        <f t="shared" ref="T264:T278" si="296">N264*P264</f>
        <v>10.153940965522828</v>
      </c>
      <c r="U264" s="14">
        <f t="shared" si="294"/>
        <v>66.133339767650241</v>
      </c>
      <c r="V264">
        <f t="shared" si="267"/>
        <v>8.1322407593264376</v>
      </c>
      <c r="W264" s="6">
        <f t="shared" si="268"/>
        <v>15.939191888279817</v>
      </c>
      <c r="Y264" s="13">
        <f t="shared" si="262"/>
        <v>89.153940965522821</v>
      </c>
      <c r="Z264">
        <f t="shared" si="263"/>
        <v>66.133339767650241</v>
      </c>
      <c r="AA264">
        <f t="shared" si="269"/>
        <v>8.1322407593264376</v>
      </c>
      <c r="AB264" s="6">
        <f t="shared" si="270"/>
        <v>15.939191888279817</v>
      </c>
      <c r="AC264" s="14">
        <f t="shared" si="293"/>
        <v>9.1215718242576599E-2</v>
      </c>
    </row>
    <row r="265" spans="1:29" x14ac:dyDescent="0.3">
      <c r="A265" t="str">
        <f>'rockfish harvests'!A264</f>
        <v>SE</v>
      </c>
      <c r="B265">
        <f>'rockfish harvests'!B264</f>
        <v>2010</v>
      </c>
      <c r="C265" t="str">
        <f>'rockfish harvests'!C264</f>
        <v>EWYKT</v>
      </c>
      <c r="D265">
        <f>'rockfish harvests'!D264</f>
        <v>2435</v>
      </c>
      <c r="E265">
        <v>503</v>
      </c>
      <c r="F265">
        <v>119</v>
      </c>
      <c r="I265" s="13">
        <f t="shared" si="295"/>
        <v>119</v>
      </c>
      <c r="J265">
        <f t="shared" si="264"/>
        <v>0</v>
      </c>
      <c r="K265">
        <f t="shared" si="265"/>
        <v>0</v>
      </c>
      <c r="L265" s="6">
        <f t="shared" si="266"/>
        <v>0</v>
      </c>
      <c r="N265" s="2">
        <f>'rockfish harvests'!O264</f>
        <v>634.4788131784594</v>
      </c>
      <c r="O265">
        <f>'rockfish harvests'!P264</f>
        <v>94322.866254399312</v>
      </c>
      <c r="P265">
        <f>IF([2]species_comp_Region1_forR!$D344&gt;49,[2]species_comp_Region1_forR!$J344,[2]species_comp_Region1_forR!$L344)</f>
        <v>1.4925373E-2</v>
      </c>
      <c r="Q265">
        <f>IF([2]species_comp_Region1_forR!$D344&gt;49,[2]species_comp_Region1_forR!$K344,[2]species_comp_Region1_forR!$M344)</f>
        <v>7.3512999999999999E-5</v>
      </c>
      <c r="T265" s="13">
        <f t="shared" si="296"/>
        <v>9.4698329472858216</v>
      </c>
      <c r="U265" s="14">
        <f t="shared" si="294"/>
        <v>57.539596704986145</v>
      </c>
      <c r="V265">
        <f t="shared" si="267"/>
        <v>7.5854859241175934</v>
      </c>
      <c r="W265" s="6">
        <f t="shared" si="268"/>
        <v>14.867552411270482</v>
      </c>
      <c r="Y265" s="13">
        <f t="shared" si="262"/>
        <v>128.46983294728582</v>
      </c>
      <c r="Z265">
        <f t="shared" si="263"/>
        <v>57.539596704986145</v>
      </c>
      <c r="AA265">
        <f t="shared" si="269"/>
        <v>7.5854859241175934</v>
      </c>
      <c r="AB265" s="6">
        <f t="shared" si="270"/>
        <v>14.867552411270482</v>
      </c>
      <c r="AC265" s="14">
        <f t="shared" si="293"/>
        <v>5.9044880421305568E-2</v>
      </c>
    </row>
    <row r="266" spans="1:29" x14ac:dyDescent="0.3">
      <c r="A266" t="str">
        <f>'rockfish harvests'!A265</f>
        <v>SE</v>
      </c>
      <c r="B266">
        <f>'rockfish harvests'!B265</f>
        <v>2011</v>
      </c>
      <c r="C266" t="str">
        <f>'rockfish harvests'!C265</f>
        <v>EWYKT</v>
      </c>
      <c r="D266">
        <f>'rockfish harvests'!D265</f>
        <v>2848</v>
      </c>
      <c r="E266">
        <v>485</v>
      </c>
      <c r="F266">
        <v>111</v>
      </c>
      <c r="I266" s="13">
        <f t="shared" si="295"/>
        <v>111</v>
      </c>
      <c r="J266">
        <f t="shared" si="264"/>
        <v>0</v>
      </c>
      <c r="K266">
        <f t="shared" si="265"/>
        <v>0</v>
      </c>
      <c r="L266" s="6">
        <f t="shared" si="266"/>
        <v>0</v>
      </c>
      <c r="N266" s="2">
        <f>'rockfish harvests'!O265</f>
        <v>1436.4366812227072</v>
      </c>
      <c r="O266">
        <f>'rockfish harvests'!P265</f>
        <v>404683.38862902793</v>
      </c>
      <c r="P266">
        <f>IF([2]species_comp_Region1_forR!$D345&gt;49,[2]species_comp_Region1_forR!$J345,[2]species_comp_Region1_forR!$L345)</f>
        <v>1.8115941999999999E-2</v>
      </c>
      <c r="Q266">
        <f>IF([2]species_comp_Region1_forR!$D345&gt;49,[2]species_comp_Region1_forR!$K345,[2]species_comp_Region1_forR!$M345)</f>
        <v>6.4682699999999997E-5</v>
      </c>
      <c r="T266" s="13">
        <f t="shared" si="296"/>
        <v>26.022403603703051</v>
      </c>
      <c r="U266" s="14">
        <f t="shared" si="294"/>
        <v>292.45105594801902</v>
      </c>
      <c r="V266">
        <f t="shared" si="267"/>
        <v>17.101200424181311</v>
      </c>
      <c r="W266" s="6">
        <f t="shared" si="268"/>
        <v>33.518352831395369</v>
      </c>
      <c r="Y266" s="13">
        <f t="shared" si="262"/>
        <v>137.02240360370305</v>
      </c>
      <c r="Z266">
        <f t="shared" si="263"/>
        <v>292.45105594801902</v>
      </c>
      <c r="AA266">
        <f t="shared" si="269"/>
        <v>17.101200424181311</v>
      </c>
      <c r="AB266" s="6">
        <f t="shared" si="270"/>
        <v>33.518352831395369</v>
      </c>
      <c r="AC266" s="14">
        <f t="shared" si="293"/>
        <v>0.12480587097013345</v>
      </c>
    </row>
    <row r="267" spans="1:29" x14ac:dyDescent="0.3">
      <c r="A267" t="str">
        <f>'rockfish harvests'!A266</f>
        <v>SE</v>
      </c>
      <c r="B267">
        <f>'rockfish harvests'!B266</f>
        <v>2012</v>
      </c>
      <c r="C267" t="str">
        <f>'rockfish harvests'!C266</f>
        <v>EWYKT</v>
      </c>
      <c r="D267">
        <f>'rockfish harvests'!D266</f>
        <v>3241</v>
      </c>
      <c r="E267">
        <v>514</v>
      </c>
      <c r="F267">
        <v>147</v>
      </c>
      <c r="I267" s="13">
        <f t="shared" si="295"/>
        <v>147</v>
      </c>
      <c r="J267">
        <f t="shared" si="264"/>
        <v>0</v>
      </c>
      <c r="K267">
        <f t="shared" si="265"/>
        <v>0</v>
      </c>
      <c r="L267" s="6">
        <f t="shared" si="266"/>
        <v>0</v>
      </c>
      <c r="N267" s="2">
        <f>'rockfish harvests'!O266</f>
        <v>535.14427701186287</v>
      </c>
      <c r="O267">
        <f>'rockfish harvests'!P266</f>
        <v>48300.340637739224</v>
      </c>
      <c r="P267">
        <f>IF([2]species_comp_Region1_forR!$D346&gt;49,[2]species_comp_Region1_forR!$J346,[2]species_comp_Region1_forR!$L346)</f>
        <v>2.2222222E-2</v>
      </c>
      <c r="Q267">
        <f>IF([2]species_comp_Region1_forR!$D346&gt;49,[2]species_comp_Region1_forR!$K346,[2]species_comp_Region1_forR!$M346)</f>
        <v>1.6215199999999999E-4</v>
      </c>
      <c r="T267" s="13">
        <f t="shared" si="296"/>
        <v>11.892094925787113</v>
      </c>
      <c r="U267" s="14">
        <f t="shared" si="294"/>
        <v>78.121008443851892</v>
      </c>
      <c r="V267">
        <f t="shared" si="267"/>
        <v>8.8386089654340907</v>
      </c>
      <c r="W267" s="6">
        <f t="shared" si="268"/>
        <v>17.323673572250819</v>
      </c>
      <c r="Y267" s="13">
        <f t="shared" si="262"/>
        <v>158.89209492578712</v>
      </c>
      <c r="Z267">
        <f t="shared" si="263"/>
        <v>78.121008443851892</v>
      </c>
      <c r="AA267">
        <f t="shared" si="269"/>
        <v>8.8386089654340907</v>
      </c>
      <c r="AB267" s="6">
        <f t="shared" si="270"/>
        <v>17.323673572250819</v>
      </c>
      <c r="AC267" s="14">
        <f t="shared" si="293"/>
        <v>5.5626486450205674E-2</v>
      </c>
    </row>
    <row r="268" spans="1:29" x14ac:dyDescent="0.3">
      <c r="A268" t="str">
        <f>'rockfish harvests'!A267</f>
        <v>SE</v>
      </c>
      <c r="B268">
        <f>'rockfish harvests'!B267</f>
        <v>2013</v>
      </c>
      <c r="C268" t="str">
        <f>'rockfish harvests'!C267</f>
        <v>EWYKT</v>
      </c>
      <c r="D268">
        <f>'rockfish harvests'!D267</f>
        <v>3884</v>
      </c>
      <c r="E268">
        <v>452</v>
      </c>
      <c r="F268">
        <v>56</v>
      </c>
      <c r="I268" s="13">
        <f t="shared" si="295"/>
        <v>56</v>
      </c>
      <c r="J268">
        <f t="shared" si="264"/>
        <v>0</v>
      </c>
      <c r="K268">
        <f t="shared" si="265"/>
        <v>0</v>
      </c>
      <c r="L268" s="6">
        <f t="shared" si="266"/>
        <v>0</v>
      </c>
      <c r="N268" s="2">
        <f>'rockfish harvests'!O267</f>
        <v>591.36648814078035</v>
      </c>
      <c r="O268">
        <f>'rockfish harvests'!P267</f>
        <v>87012.297802534755</v>
      </c>
      <c r="P268" s="32">
        <v>1.5299544999999999E-2</v>
      </c>
      <c r="Q268" s="32">
        <v>2.3553699999999999E-4</v>
      </c>
      <c r="T268" s="13">
        <f t="shared" si="296"/>
        <v>9.0476381968018345</v>
      </c>
      <c r="U268" s="14">
        <f t="shared" si="294"/>
        <v>123.23277549206284</v>
      </c>
      <c r="V268">
        <f t="shared" si="267"/>
        <v>11.101025875659548</v>
      </c>
      <c r="W268" s="6">
        <f t="shared" si="268"/>
        <v>21.758010716292713</v>
      </c>
      <c r="Y268" s="13">
        <f t="shared" si="262"/>
        <v>65.047638196801842</v>
      </c>
      <c r="Z268">
        <f t="shared" si="263"/>
        <v>123.23277549206284</v>
      </c>
      <c r="AA268">
        <f t="shared" si="269"/>
        <v>11.101025875659548</v>
      </c>
      <c r="AB268" s="6">
        <f t="shared" si="270"/>
        <v>21.758010716292713</v>
      </c>
      <c r="AC268" s="14">
        <f t="shared" si="293"/>
        <v>0.17065993759947684</v>
      </c>
    </row>
    <row r="269" spans="1:29" x14ac:dyDescent="0.3">
      <c r="A269" t="str">
        <f>'rockfish harvests'!A268</f>
        <v>SE</v>
      </c>
      <c r="B269">
        <f>'rockfish harvests'!B268</f>
        <v>2014</v>
      </c>
      <c r="C269" t="str">
        <f>'rockfish harvests'!C268</f>
        <v>EWYKT</v>
      </c>
      <c r="D269">
        <f>'rockfish harvests'!D268</f>
        <v>4695</v>
      </c>
      <c r="E269">
        <v>675</v>
      </c>
      <c r="F269">
        <v>125</v>
      </c>
      <c r="I269" s="13">
        <f t="shared" si="295"/>
        <v>125</v>
      </c>
      <c r="J269">
        <f t="shared" si="264"/>
        <v>0</v>
      </c>
      <c r="K269">
        <f t="shared" si="265"/>
        <v>0</v>
      </c>
      <c r="L269" s="6">
        <f t="shared" si="266"/>
        <v>0</v>
      </c>
      <c r="N269" s="2">
        <f>'rockfish harvests'!O268</f>
        <v>1023.1397849462364</v>
      </c>
      <c r="O269">
        <f>'rockfish harvests'!P268</f>
        <v>234030.60206548884</v>
      </c>
      <c r="P269" s="32">
        <v>1.5299544999999999E-2</v>
      </c>
      <c r="Q269" s="32">
        <v>2.3553699999999999E-4</v>
      </c>
      <c r="T269" s="13">
        <f t="shared" si="296"/>
        <v>15.653573181075267</v>
      </c>
      <c r="U269" s="14">
        <f t="shared" si="294"/>
        <v>356.46750045394015</v>
      </c>
      <c r="V269">
        <f t="shared" si="267"/>
        <v>18.880346936800187</v>
      </c>
      <c r="W269" s="6">
        <f t="shared" si="268"/>
        <v>37.005479996128365</v>
      </c>
      <c r="Y269" s="13">
        <f t="shared" si="262"/>
        <v>140.65357318107527</v>
      </c>
      <c r="Z269">
        <f t="shared" si="263"/>
        <v>356.46750045394015</v>
      </c>
      <c r="AA269">
        <f t="shared" si="269"/>
        <v>18.880346936800187</v>
      </c>
      <c r="AB269" s="6">
        <f t="shared" si="270"/>
        <v>37.005479996128365</v>
      </c>
      <c r="AC269" s="14">
        <f t="shared" si="293"/>
        <v>0.13423297048055732</v>
      </c>
    </row>
    <row r="270" spans="1:29" x14ac:dyDescent="0.3">
      <c r="A270" t="str">
        <f>'rockfish harvests'!A269</f>
        <v>SE</v>
      </c>
      <c r="B270">
        <f>'rockfish harvests'!B269</f>
        <v>2015</v>
      </c>
      <c r="C270" t="str">
        <f>'rockfish harvests'!C269</f>
        <v>EWYKT</v>
      </c>
      <c r="D270">
        <f>'rockfish harvests'!D269</f>
        <v>5729</v>
      </c>
      <c r="E270">
        <v>1014</v>
      </c>
      <c r="F270">
        <v>215</v>
      </c>
      <c r="I270" s="13">
        <f t="shared" si="295"/>
        <v>215</v>
      </c>
      <c r="J270">
        <f t="shared" si="264"/>
        <v>0</v>
      </c>
      <c r="K270">
        <f t="shared" si="265"/>
        <v>0</v>
      </c>
      <c r="L270" s="6">
        <f t="shared" si="266"/>
        <v>0</v>
      </c>
      <c r="N270" s="2">
        <f>'rockfish harvests'!O269</f>
        <v>2397.5678935972783</v>
      </c>
      <c r="O270">
        <f>'rockfish harvests'!P269</f>
        <v>1115072.9274274483</v>
      </c>
      <c r="P270">
        <f>IF([2]species_comp_Region1_forR!$D349&gt;49,[2]species_comp_Region1_forR!$J349,[2]species_comp_Region1_forR!$L349)</f>
        <v>0</v>
      </c>
      <c r="Q270">
        <f>IF([2]species_comp_Region1_forR!$D349&gt;49,[2]species_comp_Region1_forR!$K349,[2]species_comp_Region1_forR!$M349)</f>
        <v>0</v>
      </c>
      <c r="T270" s="13">
        <f t="shared" si="296"/>
        <v>0</v>
      </c>
      <c r="U270" s="14">
        <f t="shared" si="294"/>
        <v>0</v>
      </c>
      <c r="V270">
        <f t="shared" si="267"/>
        <v>0</v>
      </c>
      <c r="W270" s="6">
        <f t="shared" si="268"/>
        <v>0</v>
      </c>
      <c r="Y270" s="13">
        <f t="shared" si="262"/>
        <v>215</v>
      </c>
      <c r="Z270">
        <f t="shared" si="263"/>
        <v>0</v>
      </c>
      <c r="AA270">
        <f t="shared" si="269"/>
        <v>0</v>
      </c>
      <c r="AB270" s="6">
        <f t="shared" si="270"/>
        <v>0</v>
      </c>
      <c r="AC270" s="14">
        <f t="shared" si="293"/>
        <v>0</v>
      </c>
    </row>
    <row r="271" spans="1:29" x14ac:dyDescent="0.3">
      <c r="A271" t="str">
        <f>'rockfish harvests'!A270</f>
        <v>SE</v>
      </c>
      <c r="B271">
        <f>'rockfish harvests'!B270</f>
        <v>2016</v>
      </c>
      <c r="C271" t="str">
        <f>'rockfish harvests'!C270</f>
        <v>EWYKT</v>
      </c>
      <c r="D271">
        <f>'rockfish harvests'!D270</f>
        <v>7499</v>
      </c>
      <c r="E271">
        <v>1262</v>
      </c>
      <c r="F271">
        <v>314</v>
      </c>
      <c r="I271" s="13">
        <f t="shared" si="295"/>
        <v>314</v>
      </c>
      <c r="J271">
        <f t="shared" si="264"/>
        <v>0</v>
      </c>
      <c r="K271">
        <f t="shared" si="265"/>
        <v>0</v>
      </c>
      <c r="L271" s="6">
        <f t="shared" si="266"/>
        <v>0</v>
      </c>
      <c r="N271" s="2">
        <f>'rockfish harvests'!O270</f>
        <v>2107.8674308497375</v>
      </c>
      <c r="O271">
        <f>'rockfish harvests'!P270</f>
        <v>521828.91183042602</v>
      </c>
      <c r="P271">
        <f>IF([2]species_comp_Region1_forR!$D350&gt;49,[2]species_comp_Region1_forR!$J350,[2]species_comp_Region1_forR!$L350)</f>
        <v>3.7499999999999999E-2</v>
      </c>
      <c r="Q271">
        <f>IF([2]species_comp_Region1_forR!$D350&gt;49,[2]species_comp_Region1_forR!$K350,[2]species_comp_Region1_forR!$M350)</f>
        <v>4.56883E-4</v>
      </c>
      <c r="T271" s="13">
        <f t="shared" si="296"/>
        <v>79.045028656865156</v>
      </c>
      <c r="U271" s="14">
        <f t="shared" si="294"/>
        <v>3002.2158561468927</v>
      </c>
      <c r="V271">
        <f t="shared" si="267"/>
        <v>54.792479923315142</v>
      </c>
      <c r="W271" s="6">
        <f t="shared" si="268"/>
        <v>107.39326064969768</v>
      </c>
      <c r="Y271" s="13">
        <f t="shared" si="262"/>
        <v>393.04502865686516</v>
      </c>
      <c r="Z271">
        <f t="shared" si="263"/>
        <v>3002.2158561468927</v>
      </c>
      <c r="AA271">
        <f t="shared" si="269"/>
        <v>54.792479923315142</v>
      </c>
      <c r="AB271" s="6">
        <f t="shared" si="270"/>
        <v>107.39326064969768</v>
      </c>
      <c r="AC271" s="14">
        <f t="shared" si="293"/>
        <v>0.139405095926426</v>
      </c>
    </row>
    <row r="272" spans="1:29" x14ac:dyDescent="0.3">
      <c r="A272" t="str">
        <f>'rockfish harvests'!A271</f>
        <v>SE</v>
      </c>
      <c r="B272">
        <f>'rockfish harvests'!B271</f>
        <v>2017</v>
      </c>
      <c r="C272" t="str">
        <f>'rockfish harvests'!C271</f>
        <v>EWYKT</v>
      </c>
      <c r="D272">
        <f>'rockfish harvests'!D271</f>
        <v>6324</v>
      </c>
      <c r="E272">
        <v>797</v>
      </c>
      <c r="F272">
        <v>230</v>
      </c>
      <c r="I272" s="13">
        <f t="shared" si="295"/>
        <v>230</v>
      </c>
      <c r="J272">
        <f t="shared" si="264"/>
        <v>0</v>
      </c>
      <c r="K272">
        <f t="shared" si="265"/>
        <v>0</v>
      </c>
      <c r="L272" s="6">
        <f t="shared" si="266"/>
        <v>0</v>
      </c>
      <c r="N272" s="2">
        <f>'rockfish harvests'!O271</f>
        <v>1256.0488400488402</v>
      </c>
      <c r="O272">
        <f>'rockfish harvests'!P271</f>
        <v>191271.46761998921</v>
      </c>
      <c r="P272">
        <f>IF([2]species_comp_Region1_forR!$D351&gt;49,[2]species_comp_Region1_forR!$J351,[2]species_comp_Region1_forR!$L351)</f>
        <v>0</v>
      </c>
      <c r="Q272">
        <f>IF([2]species_comp_Region1_forR!$D351&gt;49,[2]species_comp_Region1_forR!$K351,[2]species_comp_Region1_forR!$M351)</f>
        <v>0</v>
      </c>
      <c r="T272" s="13">
        <f t="shared" si="296"/>
        <v>0</v>
      </c>
      <c r="U272" s="14">
        <f t="shared" si="294"/>
        <v>0</v>
      </c>
      <c r="V272">
        <f t="shared" si="267"/>
        <v>0</v>
      </c>
      <c r="W272" s="6">
        <f t="shared" si="268"/>
        <v>0</v>
      </c>
      <c r="Y272" s="13">
        <f t="shared" si="262"/>
        <v>230</v>
      </c>
      <c r="Z272">
        <f t="shared" si="263"/>
        <v>0</v>
      </c>
      <c r="AA272">
        <f t="shared" si="269"/>
        <v>0</v>
      </c>
      <c r="AB272" s="6">
        <f t="shared" si="270"/>
        <v>0</v>
      </c>
      <c r="AC272" s="14">
        <f t="shared" si="293"/>
        <v>0</v>
      </c>
    </row>
    <row r="273" spans="1:29" x14ac:dyDescent="0.3">
      <c r="A273" t="str">
        <f>'rockfish harvests'!A272</f>
        <v>SE</v>
      </c>
      <c r="B273">
        <f>'rockfish harvests'!B272</f>
        <v>2018</v>
      </c>
      <c r="C273" t="str">
        <f>'rockfish harvests'!C272</f>
        <v>EWYKT</v>
      </c>
      <c r="D273">
        <f>'rockfish harvests'!D272</f>
        <v>8659</v>
      </c>
      <c r="E273">
        <v>977</v>
      </c>
      <c r="F273">
        <v>286</v>
      </c>
      <c r="I273" s="13">
        <f t="shared" si="295"/>
        <v>286</v>
      </c>
      <c r="J273">
        <f t="shared" si="264"/>
        <v>0</v>
      </c>
      <c r="K273">
        <f t="shared" si="265"/>
        <v>0</v>
      </c>
      <c r="L273" s="6">
        <f t="shared" si="266"/>
        <v>0</v>
      </c>
      <c r="N273" s="2">
        <f>'rockfish harvests'!O272</f>
        <v>1971.3795063043872</v>
      </c>
      <c r="O273">
        <f>'rockfish harvests'!P272</f>
        <v>502872.73387700756</v>
      </c>
      <c r="P273">
        <f>IF([2]species_comp_Region1_forR!$D352&gt;49,[2]species_comp_Region1_forR!$J352,[2]species_comp_Region1_forR!$L352)</f>
        <v>2.0576132E-2</v>
      </c>
      <c r="Q273">
        <f>IF([2]species_comp_Region1_forR!$D352&gt;49,[2]species_comp_Region1_forR!$K352,[2]species_comp_Region1_forR!$M352)</f>
        <v>8.3275800000000007E-5</v>
      </c>
      <c r="T273" s="13">
        <f t="shared" si="296"/>
        <v>40.563364943813902</v>
      </c>
      <c r="U273" s="14">
        <f t="shared" si="294"/>
        <v>578.41981919284297</v>
      </c>
      <c r="V273">
        <f t="shared" si="267"/>
        <v>24.050360063683932</v>
      </c>
      <c r="W273" s="6">
        <f t="shared" si="268"/>
        <v>47.138705724820504</v>
      </c>
      <c r="Y273" s="13">
        <f t="shared" si="262"/>
        <v>326.56336494381389</v>
      </c>
      <c r="Z273">
        <f t="shared" si="263"/>
        <v>578.41981919284297</v>
      </c>
      <c r="AA273">
        <f t="shared" si="269"/>
        <v>24.050360063683932</v>
      </c>
      <c r="AB273" s="6">
        <f t="shared" si="270"/>
        <v>47.138705724820504</v>
      </c>
      <c r="AC273" s="14">
        <f t="shared" si="293"/>
        <v>7.364684053834962E-2</v>
      </c>
    </row>
    <row r="274" spans="1:29" x14ac:dyDescent="0.3">
      <c r="A274" t="str">
        <f>'rockfish harvests'!A273</f>
        <v>SE</v>
      </c>
      <c r="B274">
        <f>'rockfish harvests'!B273</f>
        <v>2019</v>
      </c>
      <c r="C274" t="str">
        <f>'rockfish harvests'!C273</f>
        <v>EWYKT</v>
      </c>
      <c r="D274">
        <f>'rockfish harvests'!D273</f>
        <v>7908</v>
      </c>
      <c r="E274">
        <v>739</v>
      </c>
      <c r="F274">
        <v>154</v>
      </c>
      <c r="I274" s="13">
        <f t="shared" si="295"/>
        <v>154</v>
      </c>
      <c r="L274" s="6"/>
      <c r="N274" s="2">
        <f>'rockfish harvests'!O273</f>
        <v>3002.4944735311237</v>
      </c>
      <c r="O274">
        <f>'rockfish harvests'!P273</f>
        <v>1226769.4446075337</v>
      </c>
      <c r="P274">
        <v>2.2075055187637969E-3</v>
      </c>
      <c r="Q274">
        <v>4.8730806153726196E-6</v>
      </c>
      <c r="T274" s="13">
        <f>N274*P274</f>
        <v>6.6280231203777564</v>
      </c>
      <c r="U274" s="14">
        <f t="shared" si="294"/>
        <v>55.886983284358912</v>
      </c>
      <c r="V274">
        <f>SQRT(U274)</f>
        <v>7.4757597128558722</v>
      </c>
      <c r="W274" s="6">
        <f>(1.96*V274)</f>
        <v>14.652489037197508</v>
      </c>
      <c r="Y274" s="13">
        <f>T274+I274</f>
        <v>160.62802312037775</v>
      </c>
      <c r="Z274">
        <f>U274+J274</f>
        <v>55.886983284358912</v>
      </c>
      <c r="AA274">
        <f>SQRT(Z274)</f>
        <v>7.4757597128558722</v>
      </c>
      <c r="AB274" s="6">
        <f>(1.96*AA274)</f>
        <v>14.652489037197508</v>
      </c>
      <c r="AC274" s="14">
        <f t="shared" si="293"/>
        <v>4.6540818766432762E-2</v>
      </c>
    </row>
    <row r="275" spans="1:29" x14ac:dyDescent="0.3">
      <c r="A275" t="str">
        <f>'rockfish harvests'!A274</f>
        <v>SE</v>
      </c>
      <c r="B275">
        <f>'rockfish harvests'!B274</f>
        <v>2020</v>
      </c>
      <c r="C275" t="str">
        <f>'rockfish harvests'!C274</f>
        <v>EWYKT</v>
      </c>
      <c r="D275">
        <f>'rockfish harvests'!D274</f>
        <v>4059</v>
      </c>
      <c r="E275">
        <v>76</v>
      </c>
      <c r="F275">
        <v>0</v>
      </c>
      <c r="I275" s="13">
        <f t="shared" ref="I275:I277" si="297">F275</f>
        <v>0</v>
      </c>
      <c r="J275">
        <f t="shared" ref="J275:J277" si="298">(E275^2)*H275</f>
        <v>0</v>
      </c>
      <c r="K275">
        <f t="shared" ref="K275:K277" si="299">SQRT(J275)</f>
        <v>0</v>
      </c>
      <c r="L275" s="6">
        <f t="shared" ref="L275:L277" si="300">(1.96*K275)</f>
        <v>0</v>
      </c>
      <c r="N275" s="2">
        <f>'rockfish harvests'!O274</f>
        <v>914.63838771593146</v>
      </c>
      <c r="O275">
        <f>'rockfish harvests'!P274</f>
        <v>109543.02664472036</v>
      </c>
      <c r="P275" t="s">
        <v>273</v>
      </c>
      <c r="Q275" t="s">
        <v>273</v>
      </c>
      <c r="T275" s="13">
        <f t="shared" ref="T275:T276" si="301">N275*P275</f>
        <v>0</v>
      </c>
      <c r="U275" s="14">
        <f t="shared" si="294"/>
        <v>0</v>
      </c>
      <c r="V275">
        <f t="shared" ref="V275:V276" si="302">SQRT(U275)</f>
        <v>0</v>
      </c>
      <c r="W275" s="6">
        <f t="shared" ref="W275:W276" si="303">(1.96*V275)</f>
        <v>0</v>
      </c>
      <c r="Y275" s="13">
        <f t="shared" ref="Y275:Y276" si="304">T275+I275</f>
        <v>0</v>
      </c>
      <c r="Z275">
        <f t="shared" ref="Z275:Z276" si="305">U275+J275</f>
        <v>0</v>
      </c>
      <c r="AA275">
        <f t="shared" ref="AA275:AA276" si="306">SQRT(Z275)</f>
        <v>0</v>
      </c>
      <c r="AB275" s="6">
        <f t="shared" ref="AB275:AB276" si="307">(1.96*AA275)</f>
        <v>0</v>
      </c>
      <c r="AC275" s="14">
        <v>0</v>
      </c>
    </row>
    <row r="276" spans="1:29" x14ac:dyDescent="0.3">
      <c r="A276" t="str">
        <f>'rockfish harvests'!A275</f>
        <v>SE</v>
      </c>
      <c r="B276">
        <f>'rockfish harvests'!B275</f>
        <v>2021</v>
      </c>
      <c r="C276" t="str">
        <f>'rockfish harvests'!C275</f>
        <v>EWYKT</v>
      </c>
      <c r="D276">
        <f>'rockfish harvests'!D275</f>
        <v>7343</v>
      </c>
      <c r="E276">
        <v>118</v>
      </c>
      <c r="F276">
        <v>0</v>
      </c>
      <c r="I276" s="13">
        <f t="shared" si="297"/>
        <v>0</v>
      </c>
      <c r="J276">
        <f t="shared" si="298"/>
        <v>0</v>
      </c>
      <c r="K276">
        <f t="shared" si="299"/>
        <v>0</v>
      </c>
      <c r="L276" s="6">
        <f t="shared" si="300"/>
        <v>0</v>
      </c>
      <c r="N276" s="2">
        <f>'rockfish harvests'!O275</f>
        <v>1513.750779741571</v>
      </c>
      <c r="O276">
        <f>'rockfish harvests'!P275</f>
        <v>303380.23971291271</v>
      </c>
      <c r="P276" t="s">
        <v>273</v>
      </c>
      <c r="Q276" t="s">
        <v>273</v>
      </c>
      <c r="T276" s="13">
        <f t="shared" si="301"/>
        <v>0</v>
      </c>
      <c r="U276" s="14">
        <f t="shared" si="294"/>
        <v>0</v>
      </c>
      <c r="V276">
        <f t="shared" si="302"/>
        <v>0</v>
      </c>
      <c r="W276" s="6">
        <f t="shared" si="303"/>
        <v>0</v>
      </c>
      <c r="Y276" s="13">
        <f t="shared" si="304"/>
        <v>0</v>
      </c>
      <c r="Z276">
        <f t="shared" si="305"/>
        <v>0</v>
      </c>
      <c r="AA276">
        <f t="shared" si="306"/>
        <v>0</v>
      </c>
      <c r="AB276" s="6">
        <f t="shared" si="307"/>
        <v>0</v>
      </c>
      <c r="AC276" s="14">
        <v>0</v>
      </c>
    </row>
    <row r="277" spans="1:29" s="51" customFormat="1" x14ac:dyDescent="0.3">
      <c r="A277" s="51" t="s">
        <v>151</v>
      </c>
      <c r="B277" s="51">
        <v>2022</v>
      </c>
      <c r="C277" s="51" t="s">
        <v>83</v>
      </c>
      <c r="D277">
        <f>'rockfish harvests'!D276</f>
        <v>6780</v>
      </c>
      <c r="E277" s="51">
        <v>191</v>
      </c>
      <c r="F277" s="51">
        <v>5</v>
      </c>
      <c r="I277" s="13">
        <f t="shared" si="297"/>
        <v>5</v>
      </c>
      <c r="J277" s="51">
        <f t="shared" si="298"/>
        <v>0</v>
      </c>
      <c r="K277" s="51">
        <f t="shared" si="299"/>
        <v>0</v>
      </c>
      <c r="L277" s="78">
        <f t="shared" si="300"/>
        <v>0</v>
      </c>
      <c r="N277" s="2">
        <f>'rockfish harvests'!O276</f>
        <v>2639.4706368899915</v>
      </c>
      <c r="O277">
        <f>'rockfish harvests'!P276</f>
        <v>966290.79621620791</v>
      </c>
      <c r="P277" t="s">
        <v>290</v>
      </c>
      <c r="Q277" t="s">
        <v>291</v>
      </c>
      <c r="T277" s="13">
        <f t="shared" ref="T277" si="308">N277*P277</f>
        <v>3.851635284183863</v>
      </c>
      <c r="U277" s="14">
        <f t="shared" si="294"/>
        <v>3.2626038095494678</v>
      </c>
      <c r="V277">
        <f t="shared" ref="V277" si="309">SQRT(U277)</f>
        <v>1.8062679229697536</v>
      </c>
      <c r="W277" s="6">
        <f t="shared" ref="W277" si="310">(1.96*V277)</f>
        <v>3.5402851290207171</v>
      </c>
      <c r="X277"/>
      <c r="Y277" s="13">
        <f t="shared" ref="Y277" si="311">T277+I277</f>
        <v>8.8516352841838639</v>
      </c>
      <c r="Z277">
        <f t="shared" ref="Z277" si="312">U277+J277</f>
        <v>3.2626038095494678</v>
      </c>
      <c r="AA277">
        <f t="shared" ref="AA277" si="313">SQRT(Z277)</f>
        <v>1.8062679229697536</v>
      </c>
      <c r="AB277" s="6">
        <f t="shared" ref="AB277" si="314">(1.96*AA277)</f>
        <v>3.5402851290207171</v>
      </c>
      <c r="AC277" s="14">
        <v>0</v>
      </c>
    </row>
    <row r="278" spans="1:29" x14ac:dyDescent="0.3">
      <c r="A278" t="str">
        <f>'rockfish harvests'!A277</f>
        <v>SE</v>
      </c>
      <c r="B278">
        <f>'rockfish harvests'!B277</f>
        <v>1998</v>
      </c>
      <c r="C278" t="str">
        <f>'rockfish harvests'!C277</f>
        <v>NSEI</v>
      </c>
      <c r="D278">
        <f>'rockfish harvests'!D277</f>
        <v>5285</v>
      </c>
      <c r="E278">
        <v>2741</v>
      </c>
      <c r="F278" t="s">
        <v>159</v>
      </c>
      <c r="G278" s="32">
        <v>0.30371494999999998</v>
      </c>
      <c r="H278" s="32">
        <v>1.6418268E-2</v>
      </c>
      <c r="I278" s="13">
        <f t="shared" ref="I278:I285" si="315">E278*G278</f>
        <v>832.48267794999992</v>
      </c>
      <c r="J278">
        <f t="shared" si="264"/>
        <v>123351.777363708</v>
      </c>
      <c r="K278">
        <f t="shared" si="265"/>
        <v>351.21471689510395</v>
      </c>
      <c r="L278" s="6">
        <f t="shared" si="266"/>
        <v>688.38084511440377</v>
      </c>
      <c r="N278" s="2">
        <f>'rockfish harvests'!O277</f>
        <v>3144.4015142904627</v>
      </c>
      <c r="O278">
        <f>'rockfish harvests'!P277</f>
        <v>781648.06612226402</v>
      </c>
      <c r="P278" s="32">
        <v>0.12447847099999999</v>
      </c>
      <c r="Q278" s="32">
        <v>4.2601679999999999E-3</v>
      </c>
      <c r="T278" s="13">
        <f t="shared" si="296"/>
        <v>391.41029270896144</v>
      </c>
      <c r="U278" s="14">
        <f t="shared" si="294"/>
        <v>57562.895102272822</v>
      </c>
      <c r="V278">
        <f t="shared" si="267"/>
        <v>239.92268567660045</v>
      </c>
      <c r="W278" s="6">
        <f t="shared" si="268"/>
        <v>470.24846392613688</v>
      </c>
      <c r="Y278" s="13">
        <f t="shared" si="262"/>
        <v>1223.8929706589613</v>
      </c>
      <c r="Z278">
        <f t="shared" si="263"/>
        <v>180914.67246598081</v>
      </c>
      <c r="AA278">
        <f t="shared" si="269"/>
        <v>425.34065461225407</v>
      </c>
      <c r="AB278" s="6">
        <f t="shared" si="270"/>
        <v>833.66768304001801</v>
      </c>
      <c r="AC278" s="14">
        <f t="shared" si="293"/>
        <v>0.34753092370752375</v>
      </c>
    </row>
    <row r="279" spans="1:29" x14ac:dyDescent="0.3">
      <c r="A279" t="str">
        <f>'rockfish harvests'!A278</f>
        <v>SE</v>
      </c>
      <c r="B279">
        <f>'rockfish harvests'!B278</f>
        <v>1999</v>
      </c>
      <c r="C279" t="str">
        <f>'rockfish harvests'!C278</f>
        <v>NSEI</v>
      </c>
      <c r="D279">
        <f>'rockfish harvests'!D278</f>
        <v>6363</v>
      </c>
      <c r="E279">
        <v>2506</v>
      </c>
      <c r="F279" t="s">
        <v>159</v>
      </c>
      <c r="G279" s="32">
        <v>0.30371494999999998</v>
      </c>
      <c r="H279" s="32">
        <v>1.6418268E-2</v>
      </c>
      <c r="I279" s="13">
        <f t="shared" si="315"/>
        <v>761.10966469999994</v>
      </c>
      <c r="J279">
        <f t="shared" si="264"/>
        <v>103107.31409764799</v>
      </c>
      <c r="K279">
        <f t="shared" si="265"/>
        <v>321.10327637326901</v>
      </c>
      <c r="L279" s="6">
        <f t="shared" si="266"/>
        <v>629.36242169160721</v>
      </c>
      <c r="N279" s="2">
        <f>'rockfish harvests'!O278</f>
        <v>3785.7761278013659</v>
      </c>
      <c r="O279">
        <f>'rockfish harvests'!P278</f>
        <v>1133039.6837394333</v>
      </c>
      <c r="P279" s="32">
        <v>0.12447847099999999</v>
      </c>
      <c r="Q279" s="32">
        <v>4.2601679999999999E-3</v>
      </c>
      <c r="T279" s="13">
        <f t="shared" ref="T279:T314" si="316">N279*P279</f>
        <v>471.24762393701457</v>
      </c>
      <c r="U279" s="14">
        <f t="shared" si="294"/>
        <v>83440.421960442283</v>
      </c>
      <c r="V279">
        <f t="shared" si="267"/>
        <v>288.8605579867945</v>
      </c>
      <c r="W279" s="6">
        <f t="shared" si="268"/>
        <v>566.16669365411724</v>
      </c>
      <c r="Y279" s="13">
        <f t="shared" si="262"/>
        <v>1232.3572886370146</v>
      </c>
      <c r="Z279">
        <f t="shared" si="263"/>
        <v>186547.73605809029</v>
      </c>
      <c r="AA279">
        <f t="shared" si="269"/>
        <v>431.91172252914168</v>
      </c>
      <c r="AB279" s="6">
        <f t="shared" si="270"/>
        <v>846.54697615711768</v>
      </c>
      <c r="AC279" s="14">
        <f t="shared" si="293"/>
        <v>0.35047605634469486</v>
      </c>
    </row>
    <row r="280" spans="1:29" x14ac:dyDescent="0.3">
      <c r="A280" t="str">
        <f>'rockfish harvests'!A279</f>
        <v>SE</v>
      </c>
      <c r="B280">
        <f>'rockfish harvests'!B279</f>
        <v>2000</v>
      </c>
      <c r="C280" t="str">
        <f>'rockfish harvests'!C279</f>
        <v>NSEI</v>
      </c>
      <c r="D280">
        <f>'rockfish harvests'!D279</f>
        <v>9746</v>
      </c>
      <c r="E280">
        <v>4164</v>
      </c>
      <c r="F280" t="s">
        <v>159</v>
      </c>
      <c r="G280" s="32">
        <v>0.30371494999999998</v>
      </c>
      <c r="H280" s="32">
        <v>1.6418268E-2</v>
      </c>
      <c r="I280" s="13">
        <f t="shared" si="315"/>
        <v>1264.6690518</v>
      </c>
      <c r="J280">
        <f t="shared" si="264"/>
        <v>284674.641352128</v>
      </c>
      <c r="K280">
        <f t="shared" si="265"/>
        <v>533.54909928902327</v>
      </c>
      <c r="L280" s="6">
        <f t="shared" si="266"/>
        <v>1045.7562346064856</v>
      </c>
      <c r="N280" s="2">
        <f>'rockfish harvests'!O279</f>
        <v>5798.550077251628</v>
      </c>
      <c r="O280">
        <f>'rockfish harvests'!P279</f>
        <v>2658116.9727772144</v>
      </c>
      <c r="P280" s="32">
        <v>0.12447847099999999</v>
      </c>
      <c r="Q280" s="32">
        <v>4.2601679999999999E-3</v>
      </c>
      <c r="T280" s="13">
        <f t="shared" si="316"/>
        <v>721.79464763321448</v>
      </c>
      <c r="U280" s="14">
        <f t="shared" si="294"/>
        <v>195751.66255143328</v>
      </c>
      <c r="V280">
        <f t="shared" si="267"/>
        <v>442.4383149676724</v>
      </c>
      <c r="W280" s="6">
        <f t="shared" si="268"/>
        <v>867.17909733663794</v>
      </c>
      <c r="Y280" s="13">
        <f t="shared" si="262"/>
        <v>1986.4636994332145</v>
      </c>
      <c r="Z280">
        <f t="shared" si="263"/>
        <v>480426.30390356132</v>
      </c>
      <c r="AA280">
        <f t="shared" si="269"/>
        <v>693.1279130893239</v>
      </c>
      <c r="AB280" s="6">
        <f t="shared" si="270"/>
        <v>1358.5307096550748</v>
      </c>
      <c r="AC280" s="14">
        <f t="shared" si="293"/>
        <v>0.34892553701690587</v>
      </c>
    </row>
    <row r="281" spans="1:29" x14ac:dyDescent="0.3">
      <c r="A281" t="str">
        <f>'rockfish harvests'!A280</f>
        <v>SE</v>
      </c>
      <c r="B281">
        <f>'rockfish harvests'!B280</f>
        <v>2001</v>
      </c>
      <c r="C281" t="str">
        <f>'rockfish harvests'!C280</f>
        <v>NSEI</v>
      </c>
      <c r="D281">
        <f>'rockfish harvests'!D280</f>
        <v>7242</v>
      </c>
      <c r="E281">
        <v>3333</v>
      </c>
      <c r="F281" t="s">
        <v>159</v>
      </c>
      <c r="G281" s="32">
        <v>0.30371494999999998</v>
      </c>
      <c r="H281" s="32">
        <v>1.6418268E-2</v>
      </c>
      <c r="I281" s="13">
        <f t="shared" si="315"/>
        <v>1012.2819283499999</v>
      </c>
      <c r="J281">
        <f t="shared" si="264"/>
        <v>182388.716784252</v>
      </c>
      <c r="K281">
        <f t="shared" si="265"/>
        <v>427.0699202522369</v>
      </c>
      <c r="L281" s="6">
        <f t="shared" si="266"/>
        <v>837.05704369438433</v>
      </c>
      <c r="N281" s="2">
        <f>'rockfish harvests'!O280</f>
        <v>4308.7522736975479</v>
      </c>
      <c r="O281">
        <f>'rockfish harvests'!P280</f>
        <v>1467703.4510787677</v>
      </c>
      <c r="P281" s="32">
        <v>0.12447847099999999</v>
      </c>
      <c r="Q281" s="32">
        <v>4.2601679999999999E-3</v>
      </c>
      <c r="T281" s="13">
        <f t="shared" si="316"/>
        <v>536.34689494764427</v>
      </c>
      <c r="U281" s="14">
        <f t="shared" si="294"/>
        <v>108086.06002803816</v>
      </c>
      <c r="V281">
        <f t="shared" si="267"/>
        <v>328.76444459223103</v>
      </c>
      <c r="W281" s="6">
        <f t="shared" si="268"/>
        <v>644.37831140077276</v>
      </c>
      <c r="Y281" s="13">
        <f t="shared" si="262"/>
        <v>1548.6288232976442</v>
      </c>
      <c r="Z281">
        <f t="shared" si="263"/>
        <v>290474.77681229019</v>
      </c>
      <c r="AA281">
        <f t="shared" si="269"/>
        <v>538.95711964152599</v>
      </c>
      <c r="AB281" s="6">
        <f t="shared" si="270"/>
        <v>1056.3559544973909</v>
      </c>
      <c r="AC281" s="14">
        <f t="shared" si="293"/>
        <v>0.348022141609035</v>
      </c>
    </row>
    <row r="282" spans="1:29" x14ac:dyDescent="0.3">
      <c r="A282" t="str">
        <f>'rockfish harvests'!A281</f>
        <v>SE</v>
      </c>
      <c r="B282">
        <f>'rockfish harvests'!B281</f>
        <v>2002</v>
      </c>
      <c r="C282" t="str">
        <f>'rockfish harvests'!C281</f>
        <v>NSEI</v>
      </c>
      <c r="D282">
        <f>'rockfish harvests'!D281</f>
        <v>4958</v>
      </c>
      <c r="E282">
        <v>1838</v>
      </c>
      <c r="F282" t="s">
        <v>159</v>
      </c>
      <c r="G282" s="32">
        <v>0.30371494999999998</v>
      </c>
      <c r="H282" s="32">
        <v>1.6418268E-2</v>
      </c>
      <c r="I282" s="13">
        <f t="shared" si="315"/>
        <v>558.22807809999995</v>
      </c>
      <c r="J282">
        <f t="shared" si="264"/>
        <v>55464.915361391999</v>
      </c>
      <c r="K282">
        <f t="shared" si="265"/>
        <v>235.5099050175852</v>
      </c>
      <c r="L282" s="6">
        <f t="shared" si="266"/>
        <v>461.59941383446699</v>
      </c>
      <c r="N282" s="2">
        <f>'rockfish harvests'!O281</f>
        <v>2949.8472484109971</v>
      </c>
      <c r="O282">
        <f>'rockfish harvests'!P281</f>
        <v>687914.27130295534</v>
      </c>
      <c r="P282" s="32">
        <v>0.12447847099999999</v>
      </c>
      <c r="Q282" s="32">
        <v>4.2601679999999999E-3</v>
      </c>
      <c r="T282" s="13">
        <f t="shared" si="316"/>
        <v>367.19247516575808</v>
      </c>
      <c r="U282" s="14">
        <f t="shared" si="294"/>
        <v>50660.058861035533</v>
      </c>
      <c r="V282">
        <f t="shared" si="267"/>
        <v>225.07789509642109</v>
      </c>
      <c r="W282" s="6">
        <f t="shared" si="268"/>
        <v>441.1526743889853</v>
      </c>
      <c r="Y282" s="13">
        <f t="shared" si="262"/>
        <v>925.42055326575803</v>
      </c>
      <c r="Z282">
        <f t="shared" si="263"/>
        <v>106124.97422242753</v>
      </c>
      <c r="AA282">
        <f t="shared" si="269"/>
        <v>325.76828302096493</v>
      </c>
      <c r="AB282" s="6">
        <f t="shared" si="270"/>
        <v>638.50583472109122</v>
      </c>
      <c r="AC282" s="14">
        <f t="shared" si="293"/>
        <v>0.35202188007533075</v>
      </c>
    </row>
    <row r="283" spans="1:29" x14ac:dyDescent="0.3">
      <c r="A283" t="str">
        <f>'rockfish harvests'!A282</f>
        <v>SE</v>
      </c>
      <c r="B283">
        <f>'rockfish harvests'!B282</f>
        <v>2003</v>
      </c>
      <c r="C283" t="str">
        <f>'rockfish harvests'!C282</f>
        <v>NSEI</v>
      </c>
      <c r="D283">
        <f>'rockfish harvests'!D282</f>
        <v>6069</v>
      </c>
      <c r="E283">
        <v>2518</v>
      </c>
      <c r="F283" t="s">
        <v>159</v>
      </c>
      <c r="G283" s="32">
        <v>0.30371494999999998</v>
      </c>
      <c r="H283" s="32">
        <v>1.6418268E-2</v>
      </c>
      <c r="I283" s="13">
        <f t="shared" si="315"/>
        <v>764.75424409999994</v>
      </c>
      <c r="J283">
        <f t="shared" si="264"/>
        <v>104097.138638832</v>
      </c>
      <c r="K283">
        <f t="shared" si="265"/>
        <v>322.64088184672443</v>
      </c>
      <c r="L283" s="6">
        <f t="shared" si="266"/>
        <v>632.37612841957991</v>
      </c>
      <c r="N283" s="2">
        <f>'rockfish harvests'!O282</f>
        <v>3610.8557786620295</v>
      </c>
      <c r="O283">
        <f>'rockfish harvests'!P282</f>
        <v>1030755.2356043656</v>
      </c>
      <c r="P283" s="32">
        <v>0.12447847099999999</v>
      </c>
      <c r="Q283" s="32">
        <v>4.2601679999999999E-3</v>
      </c>
      <c r="T283" s="13">
        <f t="shared" si="316"/>
        <v>449.47380632936381</v>
      </c>
      <c r="U283" s="14">
        <f t="shared" si="294"/>
        <v>75907.890103999627</v>
      </c>
      <c r="V283">
        <f t="shared" si="267"/>
        <v>275.51386553855986</v>
      </c>
      <c r="W283" s="6">
        <f t="shared" si="268"/>
        <v>540.00717645557734</v>
      </c>
      <c r="Y283" s="13">
        <f t="shared" si="262"/>
        <v>1214.2280504293637</v>
      </c>
      <c r="Z283">
        <f t="shared" si="263"/>
        <v>180005.02874283161</v>
      </c>
      <c r="AA283">
        <f t="shared" si="269"/>
        <v>424.26999510079855</v>
      </c>
      <c r="AB283" s="6">
        <f t="shared" si="270"/>
        <v>831.56919039756519</v>
      </c>
      <c r="AC283" s="14">
        <f t="shared" si="293"/>
        <v>0.34941541249254804</v>
      </c>
    </row>
    <row r="284" spans="1:29" x14ac:dyDescent="0.3">
      <c r="A284" t="str">
        <f>'rockfish harvests'!A283</f>
        <v>SE</v>
      </c>
      <c r="B284">
        <f>'rockfish harvests'!B283</f>
        <v>2004</v>
      </c>
      <c r="C284" t="str">
        <f>'rockfish harvests'!C283</f>
        <v>NSEI</v>
      </c>
      <c r="D284">
        <f>'rockfish harvests'!D283</f>
        <v>6052</v>
      </c>
      <c r="E284">
        <v>2724</v>
      </c>
      <c r="F284" t="s">
        <v>159</v>
      </c>
      <c r="G284" s="32">
        <v>0.30371494999999998</v>
      </c>
      <c r="H284" s="32">
        <v>1.6418268E-2</v>
      </c>
      <c r="I284" s="13">
        <f t="shared" si="315"/>
        <v>827.31952379999996</v>
      </c>
      <c r="J284">
        <f t="shared" si="264"/>
        <v>121826.438175168</v>
      </c>
      <c r="K284">
        <f t="shared" si="265"/>
        <v>349.03644247437546</v>
      </c>
      <c r="L284" s="6">
        <f t="shared" si="266"/>
        <v>684.11142724977594</v>
      </c>
      <c r="N284" s="2">
        <f>'rockfish harvests'!O283</f>
        <v>3600.7413367049921</v>
      </c>
      <c r="O284">
        <f>'rockfish harvests'!P283</f>
        <v>1024988.7840591522</v>
      </c>
      <c r="P284" s="32">
        <v>0.12447847099999999</v>
      </c>
      <c r="Q284" s="32">
        <v>4.2601679999999999E-3</v>
      </c>
      <c r="T284" s="13">
        <f t="shared" si="316"/>
        <v>448.21477605953356</v>
      </c>
      <c r="U284" s="14">
        <f t="shared" si="294"/>
        <v>75483.231411941189</v>
      </c>
      <c r="V284">
        <f t="shared" si="267"/>
        <v>274.74211801604281</v>
      </c>
      <c r="W284" s="6">
        <f t="shared" si="268"/>
        <v>538.49455131144384</v>
      </c>
      <c r="Y284" s="13">
        <f t="shared" ref="Y284:Y359" si="317">T284+I284</f>
        <v>1275.5342998595336</v>
      </c>
      <c r="Z284">
        <f t="shared" ref="Z284:Z359" si="318">U284+J284</f>
        <v>197309.66958710918</v>
      </c>
      <c r="AA284">
        <f t="shared" si="269"/>
        <v>444.19553080497013</v>
      </c>
      <c r="AB284" s="6">
        <f t="shared" si="270"/>
        <v>870.62324037774147</v>
      </c>
      <c r="AC284" s="14">
        <f t="shared" si="293"/>
        <v>0.34824271746662283</v>
      </c>
    </row>
    <row r="285" spans="1:29" x14ac:dyDescent="0.3">
      <c r="A285" t="str">
        <f>'rockfish harvests'!A284</f>
        <v>SE</v>
      </c>
      <c r="B285">
        <f>'rockfish harvests'!B284</f>
        <v>2005</v>
      </c>
      <c r="C285" t="str">
        <f>'rockfish harvests'!C284</f>
        <v>NSEI</v>
      </c>
      <c r="D285">
        <f>'rockfish harvests'!D284</f>
        <v>7678</v>
      </c>
      <c r="E285">
        <v>3213</v>
      </c>
      <c r="F285" t="s">
        <v>159</v>
      </c>
      <c r="G285" s="32">
        <v>0.30371494999999998</v>
      </c>
      <c r="H285" s="32">
        <v>1.6418268E-2</v>
      </c>
      <c r="I285" s="13">
        <f t="shared" si="315"/>
        <v>975.83613434999995</v>
      </c>
      <c r="J285">
        <f t="shared" ref="J285:J360" si="319">(E285^2)*H285</f>
        <v>169491.83890489201</v>
      </c>
      <c r="K285">
        <f t="shared" ref="K285:K360" si="320">SQRT(J285)</f>
        <v>411.69386551768292</v>
      </c>
      <c r="L285" s="6">
        <f t="shared" ref="L285:L360" si="321">(1.96*K285)</f>
        <v>806.91997641465855</v>
      </c>
      <c r="N285" s="2">
        <f>'rockfish harvests'!O284</f>
        <v>4568.1579615368355</v>
      </c>
      <c r="O285">
        <f>'rockfish harvests'!P284</f>
        <v>1649747.5421593867</v>
      </c>
      <c r="P285" s="32">
        <v>0.12447847099999999</v>
      </c>
      <c r="Q285" s="32">
        <v>4.2601679999999999E-3</v>
      </c>
      <c r="T285" s="13">
        <f t="shared" si="316"/>
        <v>568.63731833858208</v>
      </c>
      <c r="U285" s="14">
        <f t="shared" si="294"/>
        <v>121492.32989939883</v>
      </c>
      <c r="V285">
        <f t="shared" ref="V285:V360" si="322">SQRT(U285)</f>
        <v>348.55749869913689</v>
      </c>
      <c r="W285" s="6">
        <f t="shared" ref="W285:W360" si="323">(1.96*V285)</f>
        <v>683.17269745030831</v>
      </c>
      <c r="Y285" s="13">
        <f t="shared" si="317"/>
        <v>1544.473452688582</v>
      </c>
      <c r="Z285">
        <f t="shared" si="318"/>
        <v>290984.16880429082</v>
      </c>
      <c r="AA285">
        <f t="shared" ref="AA285:AA360" si="324">SQRT(Z285)</f>
        <v>539.42948455223586</v>
      </c>
      <c r="AB285" s="6">
        <f t="shared" ref="AB285:AB360" si="325">(1.96*AA285)</f>
        <v>1057.2817897223822</v>
      </c>
      <c r="AC285" s="14">
        <f t="shared" si="293"/>
        <v>0.34926432928530438</v>
      </c>
    </row>
    <row r="286" spans="1:29" x14ac:dyDescent="0.3">
      <c r="A286" t="str">
        <f>'rockfish harvests'!A285</f>
        <v>SE</v>
      </c>
      <c r="B286">
        <f>'rockfish harvests'!B285</f>
        <v>2006</v>
      </c>
      <c r="C286" t="str">
        <f>'rockfish harvests'!C285</f>
        <v>NSEI</v>
      </c>
      <c r="D286">
        <f>'rockfish harvests'!D285</f>
        <v>6437</v>
      </c>
      <c r="E286">
        <v>2961</v>
      </c>
      <c r="F286">
        <v>1422</v>
      </c>
      <c r="I286" s="13">
        <f>F286</f>
        <v>1422</v>
      </c>
      <c r="J286">
        <f t="shared" si="319"/>
        <v>0</v>
      </c>
      <c r="K286">
        <f t="shared" si="320"/>
        <v>0</v>
      </c>
      <c r="L286" s="6">
        <f t="shared" si="321"/>
        <v>0</v>
      </c>
      <c r="N286" s="2">
        <f>'rockfish harvests'!O285</f>
        <v>3829.8036986731713</v>
      </c>
      <c r="O286">
        <f>'rockfish harvests'!P285</f>
        <v>1159546.8293526676</v>
      </c>
      <c r="P286">
        <f>IF([2]species_comp_Region1_forR!$D164&gt;49,[2]species_comp_Region1_forR!$J164,[2]species_comp_Region1_forR!$L164)</f>
        <v>0.15263157899999999</v>
      </c>
      <c r="Q286">
        <f>IF([2]species_comp_Region1_forR!$D164&gt;49,[2]species_comp_Region1_forR!$K164,[2]species_comp_Region1_forR!$M164)</f>
        <v>6.8431299999999998E-4</v>
      </c>
      <c r="T286" s="13">
        <f t="shared" si="316"/>
        <v>584.54898578852635</v>
      </c>
      <c r="U286" s="14">
        <f t="shared" si="294"/>
        <v>37843.848470977187</v>
      </c>
      <c r="V286">
        <f t="shared" si="322"/>
        <v>194.53495436804459</v>
      </c>
      <c r="W286" s="6">
        <f t="shared" si="323"/>
        <v>381.28851056136739</v>
      </c>
      <c r="Y286" s="13">
        <f t="shared" si="317"/>
        <v>2006.5489857885264</v>
      </c>
      <c r="Z286">
        <f t="shared" si="318"/>
        <v>37843.848470977187</v>
      </c>
      <c r="AA286">
        <f t="shared" si="324"/>
        <v>194.53495436804459</v>
      </c>
      <c r="AB286" s="6">
        <f t="shared" si="325"/>
        <v>381.28851056136739</v>
      </c>
      <c r="AC286" s="14">
        <f t="shared" si="293"/>
        <v>9.6950015048646795E-2</v>
      </c>
    </row>
    <row r="287" spans="1:29" x14ac:dyDescent="0.3">
      <c r="A287" t="str">
        <f>'rockfish harvests'!A286</f>
        <v>SE</v>
      </c>
      <c r="B287">
        <f>'rockfish harvests'!B286</f>
        <v>2007</v>
      </c>
      <c r="C287" t="str">
        <f>'rockfish harvests'!C286</f>
        <v>NSEI</v>
      </c>
      <c r="D287">
        <f>'rockfish harvests'!D286</f>
        <v>7499</v>
      </c>
      <c r="E287">
        <v>3335</v>
      </c>
      <c r="F287">
        <v>1191</v>
      </c>
      <c r="I287" s="13">
        <f t="shared" ref="I287:I298" si="326">F287</f>
        <v>1191</v>
      </c>
      <c r="J287">
        <f t="shared" si="319"/>
        <v>0</v>
      </c>
      <c r="K287">
        <f t="shared" si="320"/>
        <v>0</v>
      </c>
      <c r="L287" s="6">
        <f t="shared" si="321"/>
        <v>0</v>
      </c>
      <c r="N287" s="2">
        <f>'rockfish harvests'!O286</f>
        <v>4461.6588374009807</v>
      </c>
      <c r="O287">
        <f>'rockfish harvests'!P286</f>
        <v>1573721.8750711286</v>
      </c>
      <c r="P287">
        <f>IF([2]species_comp_Region1_forR!$D165&gt;49,[2]species_comp_Region1_forR!$J165,[2]species_comp_Region1_forR!$L165)</f>
        <v>0.23444976100000001</v>
      </c>
      <c r="Q287">
        <f>IF([2]species_comp_Region1_forR!$D165&gt;49,[2]species_comp_Region1_forR!$K165,[2]species_comp_Region1_forR!$M165)</f>
        <v>8.6289899999999998E-4</v>
      </c>
      <c r="T287" s="13">
        <f t="shared" si="316"/>
        <v>1046.0348480921978</v>
      </c>
      <c r="U287" s="14">
        <f t="shared" si="294"/>
        <v>105037.45845923902</v>
      </c>
      <c r="V287">
        <f t="shared" si="322"/>
        <v>324.09482942379537</v>
      </c>
      <c r="W287" s="6">
        <f t="shared" si="323"/>
        <v>635.22586567063888</v>
      </c>
      <c r="Y287" s="13">
        <f t="shared" si="317"/>
        <v>2237.0348480921975</v>
      </c>
      <c r="Z287">
        <f t="shared" si="318"/>
        <v>105037.45845923902</v>
      </c>
      <c r="AA287">
        <f t="shared" si="324"/>
        <v>324.09482942379537</v>
      </c>
      <c r="AB287" s="6">
        <f t="shared" si="325"/>
        <v>635.22586567063888</v>
      </c>
      <c r="AC287" s="14">
        <f t="shared" si="293"/>
        <v>0.14487696948493761</v>
      </c>
    </row>
    <row r="288" spans="1:29" x14ac:dyDescent="0.3">
      <c r="A288" t="str">
        <f>'rockfish harvests'!A287</f>
        <v>SE</v>
      </c>
      <c r="B288">
        <f>'rockfish harvests'!B287</f>
        <v>2008</v>
      </c>
      <c r="C288" t="str">
        <f>'rockfish harvests'!C287</f>
        <v>NSEI</v>
      </c>
      <c r="D288">
        <f>'rockfish harvests'!D287</f>
        <v>10923</v>
      </c>
      <c r="E288">
        <v>4095</v>
      </c>
      <c r="F288">
        <v>1308</v>
      </c>
      <c r="I288" s="13">
        <f t="shared" si="326"/>
        <v>1308</v>
      </c>
      <c r="J288">
        <f t="shared" si="319"/>
        <v>0</v>
      </c>
      <c r="K288">
        <f t="shared" si="320"/>
        <v>0</v>
      </c>
      <c r="L288" s="6">
        <f t="shared" si="321"/>
        <v>0</v>
      </c>
      <c r="N288" s="2">
        <f>'rockfish harvests'!O287</f>
        <v>6498.8264409829208</v>
      </c>
      <c r="O288">
        <f>'rockfish harvests'!P287</f>
        <v>3338913.2975072474</v>
      </c>
      <c r="P288">
        <f>IF([2]species_comp_Region1_forR!$D166&gt;49,[2]species_comp_Region1_forR!$J166,[2]species_comp_Region1_forR!$L166)</f>
        <v>0.20930232600000001</v>
      </c>
      <c r="Q288">
        <f>IF([2]species_comp_Region1_forR!$D166&gt;49,[2]species_comp_Region1_forR!$K166,[2]species_comp_Region1_forR!$M166)</f>
        <v>9.6780599999999998E-4</v>
      </c>
      <c r="T288" s="13">
        <f t="shared" si="316"/>
        <v>1360.2194903680272</v>
      </c>
      <c r="U288" s="14">
        <f t="shared" si="294"/>
        <v>190375.78302327814</v>
      </c>
      <c r="V288">
        <f t="shared" si="322"/>
        <v>436.3207341203007</v>
      </c>
      <c r="W288" s="6">
        <f t="shared" si="323"/>
        <v>855.18863887578937</v>
      </c>
      <c r="Y288" s="13">
        <f t="shared" si="317"/>
        <v>2668.2194903680274</v>
      </c>
      <c r="Z288">
        <f t="shared" si="318"/>
        <v>190375.78302327814</v>
      </c>
      <c r="AA288">
        <f t="shared" si="324"/>
        <v>436.3207341203007</v>
      </c>
      <c r="AB288" s="6">
        <f t="shared" si="325"/>
        <v>855.18863887578937</v>
      </c>
      <c r="AC288" s="14">
        <f t="shared" si="293"/>
        <v>0.16352505320322017</v>
      </c>
    </row>
    <row r="289" spans="1:29" x14ac:dyDescent="0.3">
      <c r="A289" t="str">
        <f>'rockfish harvests'!A288</f>
        <v>SE</v>
      </c>
      <c r="B289">
        <f>'rockfish harvests'!B288</f>
        <v>2009</v>
      </c>
      <c r="C289" t="str">
        <f>'rockfish harvests'!C288</f>
        <v>NSEI</v>
      </c>
      <c r="D289">
        <f>'rockfish harvests'!D288</f>
        <v>9325</v>
      </c>
      <c r="E289">
        <v>3331</v>
      </c>
      <c r="F289">
        <v>955</v>
      </c>
      <c r="I289" s="13">
        <f t="shared" si="326"/>
        <v>955</v>
      </c>
      <c r="J289">
        <f t="shared" si="319"/>
        <v>0</v>
      </c>
      <c r="K289">
        <f t="shared" si="320"/>
        <v>0</v>
      </c>
      <c r="L289" s="6">
        <f t="shared" si="321"/>
        <v>0</v>
      </c>
      <c r="N289" s="2">
        <f>'rockfish harvests'!O288</f>
        <v>5548.0688970214906</v>
      </c>
      <c r="O289">
        <f>'rockfish harvests'!P288</f>
        <v>2433430.5466266801</v>
      </c>
      <c r="P289">
        <f>IF([2]species_comp_Region1_forR!$D167&gt;49,[2]species_comp_Region1_forR!$J167,[2]species_comp_Region1_forR!$L167)</f>
        <v>0.21719457</v>
      </c>
      <c r="Q289">
        <f>IF([2]species_comp_Region1_forR!$D167&gt;49,[2]species_comp_Region1_forR!$K167,[2]species_comp_Region1_forR!$M167)</f>
        <v>7.7282299999999996E-4</v>
      </c>
      <c r="T289" s="13">
        <f t="shared" si="316"/>
        <v>1205.0104384189569</v>
      </c>
      <c r="U289" s="14">
        <f t="shared" si="294"/>
        <v>140462.31901998314</v>
      </c>
      <c r="V289">
        <f t="shared" si="322"/>
        <v>374.7830292582405</v>
      </c>
      <c r="W289" s="6">
        <f t="shared" si="323"/>
        <v>734.57473734615132</v>
      </c>
      <c r="Y289" s="13">
        <f t="shared" si="317"/>
        <v>2160.0104384189572</v>
      </c>
      <c r="Z289">
        <f t="shared" si="318"/>
        <v>140462.31901998314</v>
      </c>
      <c r="AA289">
        <f t="shared" si="324"/>
        <v>374.7830292582405</v>
      </c>
      <c r="AB289" s="6">
        <f t="shared" si="325"/>
        <v>734.57473734615132</v>
      </c>
      <c r="AC289" s="14">
        <f t="shared" si="293"/>
        <v>0.17350982318982078</v>
      </c>
    </row>
    <row r="290" spans="1:29" x14ac:dyDescent="0.3">
      <c r="A290" t="str">
        <f>'rockfish harvests'!A289</f>
        <v>SE</v>
      </c>
      <c r="B290">
        <f>'rockfish harvests'!B289</f>
        <v>2010</v>
      </c>
      <c r="C290" t="str">
        <f>'rockfish harvests'!C289</f>
        <v>NSEI</v>
      </c>
      <c r="D290">
        <f>'rockfish harvests'!D289</f>
        <v>11942</v>
      </c>
      <c r="E290">
        <v>4469</v>
      </c>
      <c r="F290">
        <v>1377</v>
      </c>
      <c r="I290" s="13">
        <f t="shared" si="326"/>
        <v>1377</v>
      </c>
      <c r="J290">
        <f t="shared" si="319"/>
        <v>0</v>
      </c>
      <c r="K290">
        <f t="shared" si="320"/>
        <v>0</v>
      </c>
      <c r="L290" s="6">
        <f t="shared" si="321"/>
        <v>0</v>
      </c>
      <c r="N290" s="2">
        <f>'rockfish harvests'!O289</f>
        <v>7105.0979912311668</v>
      </c>
      <c r="O290">
        <f>'rockfish harvests'!P289</f>
        <v>3990941.9253061144</v>
      </c>
      <c r="P290">
        <f>IF([2]species_comp_Region1_forR!$D168&gt;49,[2]species_comp_Region1_forR!$J168,[2]species_comp_Region1_forR!$L168)</f>
        <v>0.16136919299999999</v>
      </c>
      <c r="Q290">
        <f>IF([2]species_comp_Region1_forR!$D168&gt;49,[2]species_comp_Region1_forR!$K168,[2]species_comp_Region1_forR!$M168)</f>
        <v>3.3168899999999997E-4</v>
      </c>
      <c r="T290" s="13">
        <f t="shared" si="316"/>
        <v>1146.5439290308943</v>
      </c>
      <c r="U290" s="14">
        <f t="shared" si="294"/>
        <v>121992.40748666598</v>
      </c>
      <c r="V290">
        <f t="shared" si="322"/>
        <v>349.27411511113445</v>
      </c>
      <c r="W290" s="6">
        <f t="shared" si="323"/>
        <v>684.57726561782351</v>
      </c>
      <c r="Y290" s="13">
        <f t="shared" si="317"/>
        <v>2523.5439290308941</v>
      </c>
      <c r="Z290">
        <f t="shared" si="318"/>
        <v>121992.40748666598</v>
      </c>
      <c r="AA290">
        <f t="shared" si="324"/>
        <v>349.27411511113445</v>
      </c>
      <c r="AB290" s="6">
        <f t="shared" si="325"/>
        <v>684.57726561782351</v>
      </c>
      <c r="AC290" s="14">
        <f t="shared" si="293"/>
        <v>0.13840619578406338</v>
      </c>
    </row>
    <row r="291" spans="1:29" x14ac:dyDescent="0.3">
      <c r="A291" t="str">
        <f>'rockfish harvests'!A290</f>
        <v>SE</v>
      </c>
      <c r="B291">
        <f>'rockfish harvests'!B290</f>
        <v>2011</v>
      </c>
      <c r="C291" t="str">
        <f>'rockfish harvests'!C290</f>
        <v>NSEI</v>
      </c>
      <c r="D291">
        <f>'rockfish harvests'!D290</f>
        <v>13281</v>
      </c>
      <c r="E291">
        <v>4956</v>
      </c>
      <c r="F291">
        <v>1146</v>
      </c>
      <c r="I291" s="13">
        <f t="shared" si="326"/>
        <v>1146</v>
      </c>
      <c r="J291">
        <f t="shared" si="319"/>
        <v>0</v>
      </c>
      <c r="K291">
        <f t="shared" si="320"/>
        <v>0</v>
      </c>
      <c r="L291" s="6">
        <f t="shared" si="321"/>
        <v>0</v>
      </c>
      <c r="N291" s="2">
        <f>'rockfish harvests'!O290</f>
        <v>7853.144125958821</v>
      </c>
      <c r="O291">
        <f>'rockfish harvests'!P290</f>
        <v>2883554.5471730651</v>
      </c>
      <c r="P291">
        <f>IF([2]species_comp_Region1_forR!$D169&gt;49,[2]species_comp_Region1_forR!$J169,[2]species_comp_Region1_forR!$L169)</f>
        <v>0.18390804599999999</v>
      </c>
      <c r="Q291">
        <f>IF([2]species_comp_Region1_forR!$D169&gt;49,[2]species_comp_Region1_forR!$K169,[2]species_comp_Region1_forR!$M169)</f>
        <v>4.3252399999999999E-4</v>
      </c>
      <c r="T291" s="13">
        <f t="shared" si="316"/>
        <v>1444.2563911614645</v>
      </c>
      <c r="U291" s="14">
        <f t="shared" si="294"/>
        <v>125449.84191984711</v>
      </c>
      <c r="V291">
        <f t="shared" si="322"/>
        <v>354.18899181065342</v>
      </c>
      <c r="W291" s="6">
        <f t="shared" si="323"/>
        <v>694.2104239488807</v>
      </c>
      <c r="Y291" s="13">
        <f t="shared" si="317"/>
        <v>2590.2563911614643</v>
      </c>
      <c r="Z291">
        <f t="shared" si="318"/>
        <v>125449.84191984711</v>
      </c>
      <c r="AA291">
        <f t="shared" si="324"/>
        <v>354.18899181065342</v>
      </c>
      <c r="AB291" s="6">
        <f t="shared" si="325"/>
        <v>694.2104239488807</v>
      </c>
      <c r="AC291" s="14">
        <f t="shared" si="293"/>
        <v>0.13673897032711729</v>
      </c>
    </row>
    <row r="292" spans="1:29" x14ac:dyDescent="0.3">
      <c r="A292" t="str">
        <f>'rockfish harvests'!A291</f>
        <v>SE</v>
      </c>
      <c r="B292">
        <f>'rockfish harvests'!B291</f>
        <v>2012</v>
      </c>
      <c r="C292" t="str">
        <f>'rockfish harvests'!C291</f>
        <v>NSEI</v>
      </c>
      <c r="D292">
        <f>'rockfish harvests'!D291</f>
        <v>15243</v>
      </c>
      <c r="E292">
        <v>6060</v>
      </c>
      <c r="F292">
        <v>1252</v>
      </c>
      <c r="I292" s="13">
        <f t="shared" si="326"/>
        <v>1252</v>
      </c>
      <c r="J292">
        <f t="shared" si="319"/>
        <v>0</v>
      </c>
      <c r="K292">
        <f t="shared" si="320"/>
        <v>0</v>
      </c>
      <c r="L292" s="6">
        <f t="shared" si="321"/>
        <v>0</v>
      </c>
      <c r="N292" s="2">
        <f>'rockfish harvests'!O291</f>
        <v>15088.837840909095</v>
      </c>
      <c r="O292">
        <f>'rockfish harvests'!P291</f>
        <v>11116596.990618348</v>
      </c>
      <c r="P292">
        <f>IF([2]species_comp_Region1_forR!$D170&gt;49,[2]species_comp_Region1_forR!$J170,[2]species_comp_Region1_forR!$L170)</f>
        <v>6.8093385000000006E-2</v>
      </c>
      <c r="Q292">
        <f>IF([2]species_comp_Region1_forR!$D170&gt;49,[2]species_comp_Region1_forR!$K170,[2]species_comp_Region1_forR!$M170)</f>
        <v>1.2369700000000001E-4</v>
      </c>
      <c r="T292" s="13">
        <f t="shared" si="316"/>
        <v>1027.4500443035918</v>
      </c>
      <c r="U292" s="14">
        <f t="shared" si="294"/>
        <v>81081.986380446251</v>
      </c>
      <c r="V292">
        <f t="shared" si="322"/>
        <v>284.74898837475479</v>
      </c>
      <c r="W292" s="6">
        <f t="shared" si="323"/>
        <v>558.10801721451935</v>
      </c>
      <c r="Y292" s="13">
        <f t="shared" si="317"/>
        <v>2279.4500443035918</v>
      </c>
      <c r="Z292">
        <f t="shared" si="318"/>
        <v>81081.986380446251</v>
      </c>
      <c r="AA292">
        <f t="shared" si="324"/>
        <v>284.74898837475479</v>
      </c>
      <c r="AB292" s="6">
        <f t="shared" si="325"/>
        <v>558.10801721451935</v>
      </c>
      <c r="AC292" s="14">
        <f t="shared" si="293"/>
        <v>0.12492003897446681</v>
      </c>
    </row>
    <row r="293" spans="1:29" x14ac:dyDescent="0.3">
      <c r="A293" t="str">
        <f>'rockfish harvests'!A292</f>
        <v>SE</v>
      </c>
      <c r="B293">
        <f>'rockfish harvests'!B292</f>
        <v>2013</v>
      </c>
      <c r="C293" t="str">
        <f>'rockfish harvests'!C292</f>
        <v>NSEI</v>
      </c>
      <c r="D293">
        <f>'rockfish harvests'!D292</f>
        <v>14770</v>
      </c>
      <c r="E293">
        <v>5187</v>
      </c>
      <c r="F293">
        <v>1159</v>
      </c>
      <c r="I293" s="13">
        <f t="shared" si="326"/>
        <v>1159</v>
      </c>
      <c r="J293">
        <f t="shared" si="319"/>
        <v>0</v>
      </c>
      <c r="K293">
        <f t="shared" si="320"/>
        <v>0</v>
      </c>
      <c r="L293" s="6">
        <f t="shared" si="321"/>
        <v>0</v>
      </c>
      <c r="N293" s="2">
        <f>'rockfish harvests'!O292</f>
        <v>8172.238805970148</v>
      </c>
      <c r="O293">
        <f>'rockfish harvests'!P292</f>
        <v>2814788.8573717903</v>
      </c>
      <c r="P293">
        <f>IF([2]species_comp_Region1_forR!$D171&gt;49,[2]species_comp_Region1_forR!$J171,[2]species_comp_Region1_forR!$L171)</f>
        <v>8.0366225999999999E-2</v>
      </c>
      <c r="Q293">
        <f>IF([2]species_comp_Region1_forR!$D171&gt;49,[2]species_comp_Region1_forR!$K171,[2]species_comp_Region1_forR!$M171)</f>
        <v>7.5262199999999999E-5</v>
      </c>
      <c r="T293" s="13">
        <f t="shared" si="316"/>
        <v>656.77199080656703</v>
      </c>
      <c r="U293" s="14">
        <f t="shared" si="294"/>
        <v>23418.23191838304</v>
      </c>
      <c r="V293">
        <f t="shared" si="322"/>
        <v>153.03016669396607</v>
      </c>
      <c r="W293" s="6">
        <f t="shared" si="323"/>
        <v>299.93912672017348</v>
      </c>
      <c r="Y293" s="13">
        <f t="shared" si="317"/>
        <v>1815.7719908065669</v>
      </c>
      <c r="Z293">
        <f t="shared" si="318"/>
        <v>23418.23191838304</v>
      </c>
      <c r="AA293">
        <f t="shared" si="324"/>
        <v>153.03016669396607</v>
      </c>
      <c r="AB293" s="6">
        <f t="shared" si="325"/>
        <v>299.93912672017348</v>
      </c>
      <c r="AC293" s="14">
        <f t="shared" si="293"/>
        <v>8.4278294559434183E-2</v>
      </c>
    </row>
    <row r="294" spans="1:29" x14ac:dyDescent="0.3">
      <c r="A294" t="str">
        <f>'rockfish harvests'!A293</f>
        <v>SE</v>
      </c>
      <c r="B294">
        <f>'rockfish harvests'!B293</f>
        <v>2014</v>
      </c>
      <c r="C294" t="str">
        <f>'rockfish harvests'!C293</f>
        <v>NSEI</v>
      </c>
      <c r="D294">
        <f>'rockfish harvests'!D293</f>
        <v>19857</v>
      </c>
      <c r="E294">
        <v>6286</v>
      </c>
      <c r="F294">
        <v>1206</v>
      </c>
      <c r="I294" s="13">
        <f t="shared" si="326"/>
        <v>1206</v>
      </c>
      <c r="J294">
        <f t="shared" si="319"/>
        <v>0</v>
      </c>
      <c r="K294">
        <f t="shared" si="320"/>
        <v>0</v>
      </c>
      <c r="L294" s="6">
        <f t="shared" si="321"/>
        <v>0</v>
      </c>
      <c r="N294" s="2">
        <f>'rockfish harvests'!O293</f>
        <v>12419.119924151324</v>
      </c>
      <c r="O294">
        <f>'rockfish harvests'!P293</f>
        <v>9528568.3691134229</v>
      </c>
      <c r="P294">
        <f>IF([2]species_comp_Region1_forR!$D172&gt;49,[2]species_comp_Region1_forR!$J172,[2]species_comp_Region1_forR!$L172)</f>
        <v>6.5004452000000004E-2</v>
      </c>
      <c r="Q294">
        <f>IF([2]species_comp_Region1_forR!$D172&gt;49,[2]species_comp_Region1_forR!$K172,[2]species_comp_Region1_forR!$M172)</f>
        <v>5.4170099999999998E-5</v>
      </c>
      <c r="T294" s="13">
        <f t="shared" si="316"/>
        <v>807.29808499173839</v>
      </c>
      <c r="U294" s="14">
        <f t="shared" si="294"/>
        <v>49134.780242490138</v>
      </c>
      <c r="V294">
        <f t="shared" si="322"/>
        <v>221.66366468704368</v>
      </c>
      <c r="W294" s="6">
        <f t="shared" si="323"/>
        <v>434.46078278660559</v>
      </c>
      <c r="Y294" s="13">
        <f t="shared" si="317"/>
        <v>2013.2980849917385</v>
      </c>
      <c r="Z294">
        <f t="shared" si="318"/>
        <v>49134.780242490138</v>
      </c>
      <c r="AA294">
        <f t="shared" si="324"/>
        <v>221.66366468704368</v>
      </c>
      <c r="AB294" s="6">
        <f t="shared" si="325"/>
        <v>434.46078278660559</v>
      </c>
      <c r="AC294" s="14">
        <f t="shared" si="293"/>
        <v>0.11009977426564396</v>
      </c>
    </row>
    <row r="295" spans="1:29" x14ac:dyDescent="0.3">
      <c r="A295" t="str">
        <f>'rockfish harvests'!A294</f>
        <v>SE</v>
      </c>
      <c r="B295">
        <f>'rockfish harvests'!B294</f>
        <v>2015</v>
      </c>
      <c r="C295" t="str">
        <f>'rockfish harvests'!C294</f>
        <v>NSEI</v>
      </c>
      <c r="D295">
        <f>'rockfish harvests'!D294</f>
        <v>22095</v>
      </c>
      <c r="E295">
        <v>8119</v>
      </c>
      <c r="F295">
        <v>1555</v>
      </c>
      <c r="I295" s="13">
        <f t="shared" si="326"/>
        <v>1555</v>
      </c>
      <c r="J295">
        <f t="shared" si="319"/>
        <v>0</v>
      </c>
      <c r="K295">
        <f t="shared" si="320"/>
        <v>0</v>
      </c>
      <c r="L295" s="6">
        <f t="shared" si="321"/>
        <v>0</v>
      </c>
      <c r="N295" s="2">
        <f>'rockfish harvests'!O294</f>
        <v>9668.8857001484394</v>
      </c>
      <c r="O295">
        <f>'rockfish harvests'!P294</f>
        <v>4304414.6066964231</v>
      </c>
      <c r="P295">
        <f>IF([2]species_comp_Region1_forR!$D173&gt;49,[2]species_comp_Region1_forR!$J173,[2]species_comp_Region1_forR!$L173)</f>
        <v>7.3190789000000006E-2</v>
      </c>
      <c r="Q295">
        <f>IF([2]species_comp_Region1_forR!$D173&gt;49,[2]species_comp_Region1_forR!$K173,[2]species_comp_Region1_forR!$M173)</f>
        <v>5.58304E-5</v>
      </c>
      <c r="T295" s="13">
        <f t="shared" si="316"/>
        <v>707.6733731446817</v>
      </c>
      <c r="U295" s="14">
        <f t="shared" si="294"/>
        <v>28518.035798411587</v>
      </c>
      <c r="V295">
        <f t="shared" si="322"/>
        <v>168.87283913765287</v>
      </c>
      <c r="W295" s="6">
        <f t="shared" si="323"/>
        <v>330.99076470979963</v>
      </c>
      <c r="Y295" s="13">
        <f t="shared" si="317"/>
        <v>2262.6733731446816</v>
      </c>
      <c r="Z295">
        <f t="shared" si="318"/>
        <v>28518.035798411587</v>
      </c>
      <c r="AA295">
        <f t="shared" si="324"/>
        <v>168.87283913765287</v>
      </c>
      <c r="AB295" s="6">
        <f t="shared" si="325"/>
        <v>330.99076470979963</v>
      </c>
      <c r="AC295" s="14">
        <f t="shared" si="293"/>
        <v>7.4634209754699171E-2</v>
      </c>
    </row>
    <row r="296" spans="1:29" x14ac:dyDescent="0.3">
      <c r="A296" t="str">
        <f>'rockfish harvests'!A295</f>
        <v>SE</v>
      </c>
      <c r="B296">
        <f>'rockfish harvests'!B295</f>
        <v>2016</v>
      </c>
      <c r="C296" t="str">
        <f>'rockfish harvests'!C295</f>
        <v>NSEI</v>
      </c>
      <c r="D296">
        <f>'rockfish harvests'!D295</f>
        <v>25877</v>
      </c>
      <c r="E296">
        <v>9231</v>
      </c>
      <c r="F296">
        <v>1642</v>
      </c>
      <c r="I296" s="13">
        <f t="shared" si="326"/>
        <v>1642</v>
      </c>
      <c r="J296">
        <f t="shared" si="319"/>
        <v>0</v>
      </c>
      <c r="K296">
        <f t="shared" si="320"/>
        <v>0</v>
      </c>
      <c r="L296" s="6">
        <f t="shared" si="321"/>
        <v>0</v>
      </c>
      <c r="N296" s="2">
        <f>'rockfish harvests'!O295</f>
        <v>14189.291818701371</v>
      </c>
      <c r="O296">
        <f>'rockfish harvests'!P295</f>
        <v>6762576.6255513411</v>
      </c>
      <c r="P296">
        <f>IF([2]species_comp_Region1_forR!$D174&gt;49,[2]species_comp_Region1_forR!$J174,[2]species_comp_Region1_forR!$L174)</f>
        <v>6.4073226999999996E-2</v>
      </c>
      <c r="Q296">
        <f>IF([2]species_comp_Region1_forR!$D174&gt;49,[2]species_comp_Region1_forR!$K174,[2]species_comp_Region1_forR!$M174)</f>
        <v>4.5776999999999999E-5</v>
      </c>
      <c r="T296" s="13">
        <f t="shared" si="316"/>
        <v>909.15371566889576</v>
      </c>
      <c r="U296" s="14">
        <f t="shared" si="294"/>
        <v>37289.064778138047</v>
      </c>
      <c r="V296">
        <f t="shared" si="322"/>
        <v>193.10376686677566</v>
      </c>
      <c r="W296" s="6">
        <f t="shared" si="323"/>
        <v>378.48338305888029</v>
      </c>
      <c r="Y296" s="13">
        <f t="shared" si="317"/>
        <v>2551.1537156688955</v>
      </c>
      <c r="Z296">
        <f t="shared" si="318"/>
        <v>37289.064778138047</v>
      </c>
      <c r="AA296">
        <f t="shared" si="324"/>
        <v>193.10376686677566</v>
      </c>
      <c r="AB296" s="6">
        <f t="shared" si="325"/>
        <v>378.48338305888029</v>
      </c>
      <c r="AC296" s="14">
        <f t="shared" si="293"/>
        <v>7.5692721171897376E-2</v>
      </c>
    </row>
    <row r="297" spans="1:29" x14ac:dyDescent="0.3">
      <c r="A297" t="str">
        <f>'rockfish harvests'!A296</f>
        <v>SE</v>
      </c>
      <c r="B297">
        <f>'rockfish harvests'!B296</f>
        <v>2017</v>
      </c>
      <c r="C297" t="str">
        <f>'rockfish harvests'!C296</f>
        <v>NSEI</v>
      </c>
      <c r="D297">
        <f>'rockfish harvests'!D296</f>
        <v>24305</v>
      </c>
      <c r="E297">
        <v>5102</v>
      </c>
      <c r="F297">
        <v>1254</v>
      </c>
      <c r="I297" s="13">
        <f t="shared" si="326"/>
        <v>1254</v>
      </c>
      <c r="J297">
        <f t="shared" si="319"/>
        <v>0</v>
      </c>
      <c r="K297">
        <f t="shared" si="320"/>
        <v>0</v>
      </c>
      <c r="L297" s="6">
        <f t="shared" si="321"/>
        <v>0</v>
      </c>
      <c r="N297" s="2">
        <f>'rockfish harvests'!O296</f>
        <v>16806.228360636691</v>
      </c>
      <c r="O297">
        <f>'rockfish harvests'!P296</f>
        <v>14540377.874931889</v>
      </c>
      <c r="P297">
        <f>IF([2]species_comp_Region1_forR!$D175&gt;49,[2]species_comp_Region1_forR!$J175,[2]species_comp_Region1_forR!$L175)</f>
        <v>7.7260755E-2</v>
      </c>
      <c r="Q297">
        <f>IF([2]species_comp_Region1_forR!$D175&gt;49,[2]species_comp_Region1_forR!$K175,[2]species_comp_Region1_forR!$M175)</f>
        <v>6.2646300000000004E-5</v>
      </c>
      <c r="T297" s="13">
        <f t="shared" si="316"/>
        <v>1298.4618918452031</v>
      </c>
      <c r="U297" s="14">
        <f t="shared" si="294"/>
        <v>105400.08159734035</v>
      </c>
      <c r="V297">
        <f t="shared" si="322"/>
        <v>324.65378728322321</v>
      </c>
      <c r="W297" s="6">
        <f t="shared" si="323"/>
        <v>636.32142307511742</v>
      </c>
      <c r="Y297" s="13">
        <f t="shared" si="317"/>
        <v>2552.4618918452034</v>
      </c>
      <c r="Z297">
        <f t="shared" si="318"/>
        <v>105400.08159734035</v>
      </c>
      <c r="AA297">
        <f t="shared" si="324"/>
        <v>324.65378728322321</v>
      </c>
      <c r="AB297" s="6">
        <f t="shared" si="325"/>
        <v>636.32142307511742</v>
      </c>
      <c r="AC297" s="14">
        <f t="shared" si="293"/>
        <v>0.12719241306616622</v>
      </c>
    </row>
    <row r="298" spans="1:29" x14ac:dyDescent="0.3">
      <c r="A298" t="str">
        <f>'rockfish harvests'!A297</f>
        <v>SE</v>
      </c>
      <c r="B298">
        <f>'rockfish harvests'!B297</f>
        <v>2018</v>
      </c>
      <c r="C298" t="str">
        <f>'rockfish harvests'!C297</f>
        <v>NSEI</v>
      </c>
      <c r="D298">
        <f>'rockfish harvests'!D297</f>
        <v>34673</v>
      </c>
      <c r="E298">
        <v>6405</v>
      </c>
      <c r="F298">
        <v>1370</v>
      </c>
      <c r="I298" s="13">
        <f t="shared" si="326"/>
        <v>1370</v>
      </c>
      <c r="J298">
        <f t="shared" si="319"/>
        <v>0</v>
      </c>
      <c r="K298">
        <f t="shared" si="320"/>
        <v>0</v>
      </c>
      <c r="L298" s="6">
        <f t="shared" si="321"/>
        <v>0</v>
      </c>
      <c r="N298" s="2">
        <f>'rockfish harvests'!O297</f>
        <v>15349.26901059274</v>
      </c>
      <c r="O298">
        <f>'rockfish harvests'!P297</f>
        <v>8197994.4604236083</v>
      </c>
      <c r="P298">
        <f>IF([2]species_comp_Region1_forR!$D176&gt;49,[2]species_comp_Region1_forR!$J176,[2]species_comp_Region1_forR!$L176)</f>
        <v>8.1145585000000006E-2</v>
      </c>
      <c r="Q298">
        <f>IF([2]species_comp_Region1_forR!$D176&gt;49,[2]species_comp_Region1_forR!$K176,[2]species_comp_Region1_forR!$M176)</f>
        <v>5.9363800000000002E-5</v>
      </c>
      <c r="T298" s="13">
        <f t="shared" si="316"/>
        <v>1245.5254131869192</v>
      </c>
      <c r="U298" s="14">
        <f t="shared" si="294"/>
        <v>68453.34212056348</v>
      </c>
      <c r="V298">
        <f t="shared" si="322"/>
        <v>261.63589608569288</v>
      </c>
      <c r="W298" s="6">
        <f t="shared" si="323"/>
        <v>512.80635632795804</v>
      </c>
      <c r="Y298" s="13">
        <f t="shared" si="317"/>
        <v>2615.5254131869192</v>
      </c>
      <c r="Z298">
        <f t="shared" si="318"/>
        <v>68453.34212056348</v>
      </c>
      <c r="AA298">
        <f t="shared" si="324"/>
        <v>261.63589608569288</v>
      </c>
      <c r="AB298" s="6">
        <f t="shared" si="325"/>
        <v>512.80635632795804</v>
      </c>
      <c r="AC298" s="14">
        <f t="shared" si="293"/>
        <v>0.10003186922466159</v>
      </c>
    </row>
    <row r="299" spans="1:29" x14ac:dyDescent="0.3">
      <c r="A299" t="str">
        <f>'rockfish harvests'!A298</f>
        <v>SE</v>
      </c>
      <c r="B299">
        <f>'rockfish harvests'!B298</f>
        <v>2019</v>
      </c>
      <c r="C299" t="str">
        <f>'rockfish harvests'!C298</f>
        <v>NSEI</v>
      </c>
      <c r="D299">
        <f>'rockfish harvests'!D298</f>
        <v>36293</v>
      </c>
      <c r="E299">
        <v>6197</v>
      </c>
      <c r="F299">
        <v>1413</v>
      </c>
      <c r="I299" s="13">
        <f>F299</f>
        <v>1413</v>
      </c>
      <c r="J299">
        <f>(E299^2)*H299</f>
        <v>0</v>
      </c>
      <c r="K299">
        <f>SQRT(J299)</f>
        <v>0</v>
      </c>
      <c r="L299" s="6">
        <f>(1.96*K299)</f>
        <v>0</v>
      </c>
      <c r="N299" s="2">
        <f>'rockfish harvests'!O298</f>
        <v>23183.361216730038</v>
      </c>
      <c r="O299">
        <f>'rockfish harvests'!P298</f>
        <v>24125308.819017805</v>
      </c>
      <c r="P299">
        <v>6.2632696390658174E-2</v>
      </c>
      <c r="Q299">
        <v>3.1178885678966438E-5</v>
      </c>
      <c r="T299" s="13">
        <f>N299*P299</f>
        <v>1452.0364244024122</v>
      </c>
      <c r="U299" s="14">
        <f t="shared" si="294"/>
        <v>112149.94102887057</v>
      </c>
      <c r="V299">
        <f>SQRT(U299)</f>
        <v>334.88795294675884</v>
      </c>
      <c r="W299" s="6">
        <f>(1.96*V299)</f>
        <v>656.38038777564736</v>
      </c>
      <c r="Y299" s="13">
        <f>T299+I299</f>
        <v>2865.0364244024122</v>
      </c>
      <c r="Z299">
        <f>U299+J299</f>
        <v>112149.94102887057</v>
      </c>
      <c r="AA299">
        <f>SQRT(Z299)</f>
        <v>334.88795294675884</v>
      </c>
      <c r="AB299" s="6">
        <f>(1.96*AA299)</f>
        <v>656.38038777564736</v>
      </c>
      <c r="AC299" s="14">
        <f t="shared" si="293"/>
        <v>0.11688785178939202</v>
      </c>
    </row>
    <row r="300" spans="1:29" x14ac:dyDescent="0.3">
      <c r="A300" t="str">
        <f>'rockfish harvests'!A299</f>
        <v>SE</v>
      </c>
      <c r="B300">
        <f>'rockfish harvests'!B299</f>
        <v>2020</v>
      </c>
      <c r="C300" t="str">
        <f>'rockfish harvests'!C299</f>
        <v>NSEI</v>
      </c>
      <c r="D300">
        <f>'rockfish harvests'!D299</f>
        <v>17585</v>
      </c>
      <c r="E300">
        <v>283</v>
      </c>
      <c r="F300">
        <v>21</v>
      </c>
      <c r="I300" s="13">
        <f t="shared" ref="I300:I302" si="327">F300</f>
        <v>21</v>
      </c>
      <c r="J300">
        <f t="shared" ref="J300:J302" si="328">(E300^2)*H300</f>
        <v>0</v>
      </c>
      <c r="K300">
        <f t="shared" ref="K300:K302" si="329">SQRT(J300)</f>
        <v>0</v>
      </c>
      <c r="L300" s="6">
        <f t="shared" ref="L300:L302" si="330">(1.96*K300)</f>
        <v>0</v>
      </c>
      <c r="N300" s="2">
        <f>'rockfish harvests'!O299</f>
        <v>4858.3978904449577</v>
      </c>
      <c r="O300">
        <f>'rockfish harvests'!P299</f>
        <v>1472700.4379098967</v>
      </c>
      <c r="P300" t="s">
        <v>206</v>
      </c>
      <c r="Q300" t="s">
        <v>207</v>
      </c>
      <c r="T300" s="13">
        <f t="shared" ref="T300:T301" si="331">N300*P300</f>
        <v>52.381648414501136</v>
      </c>
      <c r="U300" s="14">
        <f t="shared" si="294"/>
        <v>894.04196161141999</v>
      </c>
      <c r="V300">
        <f t="shared" ref="V300:V301" si="332">SQRT(U300)</f>
        <v>29.900534470330459</v>
      </c>
      <c r="W300" s="6">
        <f t="shared" ref="W300:W301" si="333">(1.96*V300)</f>
        <v>58.605047561847698</v>
      </c>
      <c r="Y300" s="13">
        <f t="shared" ref="Y300:Y301" si="334">T300+I300</f>
        <v>73.381648414501143</v>
      </c>
      <c r="Z300">
        <f t="shared" ref="Z300:Z301" si="335">U300+J300</f>
        <v>894.04196161141999</v>
      </c>
      <c r="AA300">
        <f t="shared" ref="AA300:AA301" si="336">SQRT(Z300)</f>
        <v>29.900534470330459</v>
      </c>
      <c r="AB300" s="6">
        <f t="shared" ref="AB300:AB301" si="337">(1.96*AA300)</f>
        <v>58.605047561847698</v>
      </c>
      <c r="AC300" s="14">
        <f t="shared" ref="AC300:AC301" si="338">AA300/Y300</f>
        <v>0.40746610516890125</v>
      </c>
    </row>
    <row r="301" spans="1:29" x14ac:dyDescent="0.3">
      <c r="A301" t="str">
        <f>'rockfish harvests'!A300</f>
        <v>SE</v>
      </c>
      <c r="B301">
        <f>'rockfish harvests'!B300</f>
        <v>2021</v>
      </c>
      <c r="C301" t="str">
        <f>'rockfish harvests'!C300</f>
        <v>NSEI</v>
      </c>
      <c r="D301">
        <f>'rockfish harvests'!D300</f>
        <v>33151</v>
      </c>
      <c r="E301">
        <v>1940</v>
      </c>
      <c r="F301">
        <v>4</v>
      </c>
      <c r="I301" s="13">
        <f t="shared" si="327"/>
        <v>4</v>
      </c>
      <c r="J301">
        <f t="shared" si="328"/>
        <v>0</v>
      </c>
      <c r="K301">
        <f t="shared" si="329"/>
        <v>0</v>
      </c>
      <c r="L301" s="6">
        <f t="shared" si="330"/>
        <v>0</v>
      </c>
      <c r="N301" s="2">
        <f>'rockfish harvests'!O300</f>
        <v>7926.4899805809182</v>
      </c>
      <c r="O301">
        <f>'rockfish harvests'!P300</f>
        <v>3864104.3574178377</v>
      </c>
      <c r="P301" t="s">
        <v>208</v>
      </c>
      <c r="Q301" t="s">
        <v>209</v>
      </c>
      <c r="T301" s="13">
        <f t="shared" si="331"/>
        <v>94.36297595929662</v>
      </c>
      <c r="U301" s="14">
        <f t="shared" si="294"/>
        <v>2419.9880636599946</v>
      </c>
      <c r="V301">
        <f t="shared" si="332"/>
        <v>49.19337418453825</v>
      </c>
      <c r="W301" s="6">
        <f t="shared" si="333"/>
        <v>96.419013401694968</v>
      </c>
      <c r="Y301" s="13">
        <f t="shared" si="334"/>
        <v>98.36297595929662</v>
      </c>
      <c r="Z301">
        <f t="shared" si="335"/>
        <v>2419.9880636599946</v>
      </c>
      <c r="AA301">
        <f t="shared" si="336"/>
        <v>49.19337418453825</v>
      </c>
      <c r="AB301" s="6">
        <f t="shared" si="337"/>
        <v>96.419013401694968</v>
      </c>
      <c r="AC301" s="14">
        <f t="shared" si="338"/>
        <v>0.50012084023255721</v>
      </c>
    </row>
    <row r="302" spans="1:29" s="51" customFormat="1" x14ac:dyDescent="0.3">
      <c r="A302" s="51" t="s">
        <v>151</v>
      </c>
      <c r="B302" s="51">
        <v>2022</v>
      </c>
      <c r="C302" s="51" t="s">
        <v>38</v>
      </c>
      <c r="D302">
        <f>'rockfish harvests'!D301</f>
        <v>34168</v>
      </c>
      <c r="E302" s="51">
        <v>2848</v>
      </c>
      <c r="F302" s="51">
        <v>3</v>
      </c>
      <c r="I302" s="71">
        <f t="shared" si="327"/>
        <v>3</v>
      </c>
      <c r="J302" s="51">
        <f t="shared" si="328"/>
        <v>0</v>
      </c>
      <c r="K302" s="51">
        <f t="shared" si="329"/>
        <v>0</v>
      </c>
      <c r="L302" s="78">
        <f t="shared" si="330"/>
        <v>0</v>
      </c>
      <c r="N302" s="2">
        <f>'rockfish harvests'!O301</f>
        <v>23959.726273535314</v>
      </c>
      <c r="O302">
        <f>'rockfish harvests'!P301</f>
        <v>56312393.20575878</v>
      </c>
      <c r="P302" t="s">
        <v>210</v>
      </c>
      <c r="Q302" t="s">
        <v>211</v>
      </c>
      <c r="T302" s="13">
        <f t="shared" ref="T302" si="339">N302*P302</f>
        <v>17.028945468042153</v>
      </c>
      <c r="U302" s="14">
        <f t="shared" si="294"/>
        <v>346.87627428612643</v>
      </c>
      <c r="V302">
        <f t="shared" ref="V302" si="340">SQRT(U302)</f>
        <v>18.624614741951749</v>
      </c>
      <c r="W302" s="6">
        <f t="shared" ref="W302" si="341">(1.96*V302)</f>
        <v>36.50424489422543</v>
      </c>
      <c r="X302"/>
      <c r="Y302" s="13">
        <f t="shared" ref="Y302" si="342">T302+I302</f>
        <v>20.028945468042153</v>
      </c>
      <c r="Z302">
        <f t="shared" ref="Z302" si="343">U302+J302</f>
        <v>346.87627428612643</v>
      </c>
      <c r="AA302">
        <f t="shared" ref="AA302" si="344">SQRT(Z302)</f>
        <v>18.624614741951749</v>
      </c>
      <c r="AB302" s="6">
        <f t="shared" ref="AB302" si="345">(1.96*AA302)</f>
        <v>36.50424489422543</v>
      </c>
      <c r="AC302" s="14">
        <f t="shared" ref="AC302" si="346">AA302/Y302</f>
        <v>0.92988493935783434</v>
      </c>
    </row>
    <row r="303" spans="1:29" x14ac:dyDescent="0.3">
      <c r="A303" t="str">
        <f>'rockfish harvests'!A302</f>
        <v>SE</v>
      </c>
      <c r="B303">
        <f>'rockfish harvests'!B302</f>
        <v>1998</v>
      </c>
      <c r="C303" t="str">
        <f>'rockfish harvests'!C302</f>
        <v>NSEO</v>
      </c>
      <c r="D303">
        <f>'rockfish harvests'!D302</f>
        <v>1123</v>
      </c>
      <c r="E303">
        <v>522</v>
      </c>
      <c r="F303" t="s">
        <v>159</v>
      </c>
      <c r="G303" s="32">
        <v>0.43998231500000001</v>
      </c>
      <c r="H303" s="32">
        <v>8.6081189999999991E-3</v>
      </c>
      <c r="I303" s="13">
        <f t="shared" ref="I303:I310" si="347">E303*G303</f>
        <v>229.67076843000001</v>
      </c>
      <c r="J303">
        <f t="shared" si="319"/>
        <v>2345.5746975959996</v>
      </c>
      <c r="K303">
        <f t="shared" si="320"/>
        <v>48.43113355679381</v>
      </c>
      <c r="L303" s="6">
        <f t="shared" si="321"/>
        <v>94.925021771315869</v>
      </c>
      <c r="N303" s="2">
        <f>'rockfish harvests'!O302</f>
        <v>595.65533897155365</v>
      </c>
      <c r="O303">
        <f>'rockfish harvests'!P302</f>
        <v>93360.34279041113</v>
      </c>
      <c r="P303" s="32">
        <v>0.19025525099999999</v>
      </c>
      <c r="Q303" s="32">
        <v>1.3070167000000001E-2</v>
      </c>
      <c r="T303" s="13">
        <f t="shared" si="316"/>
        <v>113.32655602552302</v>
      </c>
      <c r="U303" s="14">
        <f t="shared" si="294"/>
        <v>9236.9695500913986</v>
      </c>
      <c r="V303">
        <f t="shared" si="322"/>
        <v>96.109154351140759</v>
      </c>
      <c r="W303" s="6">
        <f t="shared" si="323"/>
        <v>188.37394252823589</v>
      </c>
      <c r="Y303" s="13">
        <f t="shared" si="317"/>
        <v>342.99732445552303</v>
      </c>
      <c r="Z303">
        <f t="shared" si="318"/>
        <v>11582.544247687398</v>
      </c>
      <c r="AA303">
        <f t="shared" si="324"/>
        <v>107.62222933802941</v>
      </c>
      <c r="AB303" s="6">
        <f t="shared" si="325"/>
        <v>210.93956950253764</v>
      </c>
      <c r="AC303" s="14">
        <f t="shared" si="293"/>
        <v>0.31376988000961781</v>
      </c>
    </row>
    <row r="304" spans="1:29" x14ac:dyDescent="0.3">
      <c r="A304" t="str">
        <f>'rockfish harvests'!A303</f>
        <v>SE</v>
      </c>
      <c r="B304">
        <f>'rockfish harvests'!B303</f>
        <v>1999</v>
      </c>
      <c r="C304" t="str">
        <f>'rockfish harvests'!C303</f>
        <v>NSEO</v>
      </c>
      <c r="D304">
        <f>'rockfish harvests'!D303</f>
        <v>1071</v>
      </c>
      <c r="E304">
        <v>587</v>
      </c>
      <c r="F304" t="s">
        <v>159</v>
      </c>
      <c r="G304" s="32">
        <v>0.43998231500000001</v>
      </c>
      <c r="H304" s="32">
        <v>8.6081189999999991E-3</v>
      </c>
      <c r="I304" s="13">
        <f t="shared" si="347"/>
        <v>258.26961890500002</v>
      </c>
      <c r="J304">
        <f t="shared" si="319"/>
        <v>2966.0909557109999</v>
      </c>
      <c r="K304">
        <f t="shared" si="320"/>
        <v>54.461830264057411</v>
      </c>
      <c r="L304" s="6">
        <f t="shared" si="321"/>
        <v>106.74518731755252</v>
      </c>
      <c r="N304" s="2">
        <f>'rockfish harvests'!O303</f>
        <v>568.07379166387705</v>
      </c>
      <c r="O304">
        <f>'rockfish harvests'!P303</f>
        <v>84914.501969787365</v>
      </c>
      <c r="P304" s="32">
        <v>0.19025525099999999</v>
      </c>
      <c r="Q304" s="32">
        <v>1.3070167000000001E-2</v>
      </c>
      <c r="T304" s="13">
        <f t="shared" si="316"/>
        <v>108.07902181953263</v>
      </c>
      <c r="U304" s="14">
        <f t="shared" si="294"/>
        <v>8401.347355985301</v>
      </c>
      <c r="V304">
        <f t="shared" si="322"/>
        <v>91.658864033901821</v>
      </c>
      <c r="W304" s="6">
        <f t="shared" si="323"/>
        <v>179.65137350644756</v>
      </c>
      <c r="Y304" s="13">
        <f t="shared" si="317"/>
        <v>366.34864072453263</v>
      </c>
      <c r="Z304">
        <f t="shared" si="318"/>
        <v>11367.4383116963</v>
      </c>
      <c r="AA304">
        <f t="shared" si="324"/>
        <v>106.61818940357362</v>
      </c>
      <c r="AB304" s="6">
        <f t="shared" si="325"/>
        <v>208.9716512310043</v>
      </c>
      <c r="AC304" s="14">
        <f t="shared" si="293"/>
        <v>0.29102930255920534</v>
      </c>
    </row>
    <row r="305" spans="1:29" x14ac:dyDescent="0.3">
      <c r="A305" t="str">
        <f>'rockfish harvests'!A304</f>
        <v>SE</v>
      </c>
      <c r="B305">
        <f>'rockfish harvests'!B304</f>
        <v>2000</v>
      </c>
      <c r="C305" t="str">
        <f>'rockfish harvests'!C304</f>
        <v>NSEO</v>
      </c>
      <c r="D305">
        <f>'rockfish harvests'!D304</f>
        <v>2883</v>
      </c>
      <c r="E305">
        <v>1426</v>
      </c>
      <c r="F305" t="s">
        <v>159</v>
      </c>
      <c r="G305" s="32">
        <v>0.43998231500000001</v>
      </c>
      <c r="H305" s="32">
        <v>8.6081189999999991E-3</v>
      </c>
      <c r="I305" s="13">
        <f t="shared" si="347"/>
        <v>627.41478118999999</v>
      </c>
      <c r="J305">
        <f t="shared" si="319"/>
        <v>17504.403391643998</v>
      </c>
      <c r="K305">
        <f t="shared" si="320"/>
        <v>132.30420776242909</v>
      </c>
      <c r="L305" s="6">
        <f t="shared" si="321"/>
        <v>259.316247214361</v>
      </c>
      <c r="N305" s="2">
        <f>'rockfish harvests'!O304</f>
        <v>1529.1846324621447</v>
      </c>
      <c r="O305">
        <f>'rockfish harvests'!P304</f>
        <v>615307.50161743129</v>
      </c>
      <c r="P305" s="32">
        <v>0.19025525099999999</v>
      </c>
      <c r="Q305" s="32">
        <v>1.3070167000000001E-2</v>
      </c>
      <c r="T305" s="13">
        <f t="shared" si="316"/>
        <v>290.93540607442804</v>
      </c>
      <c r="U305" s="14">
        <f t="shared" si="294"/>
        <v>60877.846915604663</v>
      </c>
      <c r="V305">
        <f t="shared" si="322"/>
        <v>246.73436508845836</v>
      </c>
      <c r="W305" s="6">
        <f t="shared" si="323"/>
        <v>483.59935557337838</v>
      </c>
      <c r="Y305" s="13">
        <f t="shared" si="317"/>
        <v>918.35018726442809</v>
      </c>
      <c r="Z305">
        <f t="shared" si="318"/>
        <v>78382.250307248658</v>
      </c>
      <c r="AA305">
        <f t="shared" si="324"/>
        <v>279.96830232590378</v>
      </c>
      <c r="AB305" s="6">
        <f t="shared" si="325"/>
        <v>548.73787255877141</v>
      </c>
      <c r="AC305" s="14">
        <f t="shared" si="293"/>
        <v>0.30486006994768566</v>
      </c>
    </row>
    <row r="306" spans="1:29" x14ac:dyDescent="0.3">
      <c r="A306" t="str">
        <f>'rockfish harvests'!A305</f>
        <v>SE</v>
      </c>
      <c r="B306">
        <f>'rockfish harvests'!B305</f>
        <v>2001</v>
      </c>
      <c r="C306" t="str">
        <f>'rockfish harvests'!C305</f>
        <v>NSEO</v>
      </c>
      <c r="D306">
        <f>'rockfish harvests'!D305</f>
        <v>2839</v>
      </c>
      <c r="E306">
        <v>1604</v>
      </c>
      <c r="F306" t="s">
        <v>159</v>
      </c>
      <c r="G306" s="32">
        <v>0.43998231500000001</v>
      </c>
      <c r="H306" s="32">
        <v>8.6081189999999991E-3</v>
      </c>
      <c r="I306" s="13">
        <f t="shared" si="347"/>
        <v>705.73163325999997</v>
      </c>
      <c r="J306">
        <f t="shared" si="319"/>
        <v>22147.106293103996</v>
      </c>
      <c r="K306">
        <f t="shared" si="320"/>
        <v>148.81903874539708</v>
      </c>
      <c r="L306" s="6">
        <f t="shared" si="321"/>
        <v>291.68531594097828</v>
      </c>
      <c r="N306" s="2">
        <f>'rockfish harvests'!O305</f>
        <v>1505.8464001248803</v>
      </c>
      <c r="O306">
        <f>'rockfish harvests'!P305</f>
        <v>596669.32361688081</v>
      </c>
      <c r="P306" s="32">
        <v>0.19025525099999999</v>
      </c>
      <c r="Q306" s="32">
        <v>1.3070167000000001E-2</v>
      </c>
      <c r="T306" s="13">
        <f t="shared" si="316"/>
        <v>286.49518482320553</v>
      </c>
      <c r="U306" s="14">
        <f t="shared" si="294"/>
        <v>59033.806100043854</v>
      </c>
      <c r="V306">
        <f t="shared" si="322"/>
        <v>242.96873482002547</v>
      </c>
      <c r="W306" s="6">
        <f t="shared" si="323"/>
        <v>476.21872024724991</v>
      </c>
      <c r="Y306" s="13">
        <f t="shared" si="317"/>
        <v>992.22681808320544</v>
      </c>
      <c r="Z306">
        <f t="shared" si="318"/>
        <v>81180.912393147853</v>
      </c>
      <c r="AA306">
        <f t="shared" si="324"/>
        <v>284.92264282283332</v>
      </c>
      <c r="AB306" s="6">
        <f t="shared" si="325"/>
        <v>558.44837993275326</v>
      </c>
      <c r="AC306" s="14">
        <f t="shared" si="293"/>
        <v>0.28715474892449488</v>
      </c>
    </row>
    <row r="307" spans="1:29" x14ac:dyDescent="0.3">
      <c r="A307" t="str">
        <f>'rockfish harvests'!A306</f>
        <v>SE</v>
      </c>
      <c r="B307">
        <f>'rockfish harvests'!B306</f>
        <v>2002</v>
      </c>
      <c r="C307" t="str">
        <f>'rockfish harvests'!C306</f>
        <v>NSEO</v>
      </c>
      <c r="D307">
        <f>'rockfish harvests'!D306</f>
        <v>2029</v>
      </c>
      <c r="E307">
        <v>1342</v>
      </c>
      <c r="F307" t="s">
        <v>159</v>
      </c>
      <c r="G307" s="32">
        <v>0.43998231500000001</v>
      </c>
      <c r="H307" s="32">
        <v>8.6081189999999991E-3</v>
      </c>
      <c r="I307" s="13">
        <f t="shared" si="347"/>
        <v>590.45626673000004</v>
      </c>
      <c r="J307">
        <f t="shared" si="319"/>
        <v>15502.912426715999</v>
      </c>
      <c r="K307">
        <f t="shared" si="320"/>
        <v>124.51069201765766</v>
      </c>
      <c r="L307" s="6">
        <f t="shared" si="321"/>
        <v>244.04095635460902</v>
      </c>
      <c r="N307" s="2">
        <f>'rockfish harvests'!O306</f>
        <v>1076.2107593706878</v>
      </c>
      <c r="O307">
        <f>'rockfish harvests'!P306</f>
        <v>304766.3537779394</v>
      </c>
      <c r="P307" s="32">
        <v>0.19025525099999999</v>
      </c>
      <c r="Q307" s="32">
        <v>1.3070167000000001E-2</v>
      </c>
      <c r="T307" s="13">
        <f t="shared" si="316"/>
        <v>204.75474815297079</v>
      </c>
      <c r="U307" s="14">
        <f t="shared" si="294"/>
        <v>30153.247573854715</v>
      </c>
      <c r="V307">
        <f t="shared" si="322"/>
        <v>173.64690487841906</v>
      </c>
      <c r="W307" s="6">
        <f t="shared" si="323"/>
        <v>340.34793356170138</v>
      </c>
      <c r="Y307" s="13">
        <f t="shared" si="317"/>
        <v>795.21101488297086</v>
      </c>
      <c r="Z307">
        <f t="shared" si="318"/>
        <v>45656.160000570715</v>
      </c>
      <c r="AA307">
        <f t="shared" si="324"/>
        <v>213.67302122769433</v>
      </c>
      <c r="AB307" s="6">
        <f t="shared" si="325"/>
        <v>418.79912160628089</v>
      </c>
      <c r="AC307" s="14">
        <f t="shared" si="293"/>
        <v>0.26869977556729396</v>
      </c>
    </row>
    <row r="308" spans="1:29" x14ac:dyDescent="0.3">
      <c r="A308" t="str">
        <f>'rockfish harvests'!A307</f>
        <v>SE</v>
      </c>
      <c r="B308">
        <f>'rockfish harvests'!B307</f>
        <v>2003</v>
      </c>
      <c r="C308" t="str">
        <f>'rockfish harvests'!C307</f>
        <v>NSEO</v>
      </c>
      <c r="D308">
        <f>'rockfish harvests'!D307</f>
        <v>3083</v>
      </c>
      <c r="E308">
        <v>1659</v>
      </c>
      <c r="F308" t="s">
        <v>159</v>
      </c>
      <c r="G308" s="32">
        <v>0.43998231500000001</v>
      </c>
      <c r="H308" s="32">
        <v>8.6081189999999991E-3</v>
      </c>
      <c r="I308" s="13">
        <f t="shared" si="347"/>
        <v>729.93066058500006</v>
      </c>
      <c r="J308">
        <f t="shared" si="319"/>
        <v>23691.962369438999</v>
      </c>
      <c r="K308">
        <f t="shared" si="320"/>
        <v>153.92193595923553</v>
      </c>
      <c r="L308" s="6">
        <f t="shared" si="321"/>
        <v>301.68699448010165</v>
      </c>
      <c r="N308" s="2">
        <f>'rockfish harvests'!O307</f>
        <v>1635.26750672244</v>
      </c>
      <c r="O308">
        <f>'rockfish harvests'!P307</f>
        <v>703639.11639872531</v>
      </c>
      <c r="P308" s="32">
        <v>0.19025525099999999</v>
      </c>
      <c r="Q308" s="32">
        <v>1.3070167000000001E-2</v>
      </c>
      <c r="T308" s="13">
        <f t="shared" si="316"/>
        <v>311.118229943622</v>
      </c>
      <c r="U308" s="14">
        <f t="shared" si="294"/>
        <v>69617.279651803023</v>
      </c>
      <c r="V308">
        <f t="shared" si="322"/>
        <v>263.85086630860815</v>
      </c>
      <c r="W308" s="6">
        <f t="shared" si="323"/>
        <v>517.14769796487201</v>
      </c>
      <c r="Y308" s="13">
        <f t="shared" si="317"/>
        <v>1041.048890528622</v>
      </c>
      <c r="Z308">
        <f t="shared" si="318"/>
        <v>93309.242021242026</v>
      </c>
      <c r="AA308">
        <f t="shared" si="324"/>
        <v>305.46561512098549</v>
      </c>
      <c r="AB308" s="6">
        <f t="shared" si="325"/>
        <v>598.71260563713156</v>
      </c>
      <c r="AC308" s="14">
        <f t="shared" si="293"/>
        <v>0.29342100827356599</v>
      </c>
    </row>
    <row r="309" spans="1:29" x14ac:dyDescent="0.3">
      <c r="A309" t="str">
        <f>'rockfish harvests'!A308</f>
        <v>SE</v>
      </c>
      <c r="B309">
        <f>'rockfish harvests'!B308</f>
        <v>2004</v>
      </c>
      <c r="C309" t="str">
        <f>'rockfish harvests'!C308</f>
        <v>NSEO</v>
      </c>
      <c r="D309">
        <f>'rockfish harvests'!D308</f>
        <v>2923</v>
      </c>
      <c r="E309">
        <v>1924</v>
      </c>
      <c r="F309" t="s">
        <v>159</v>
      </c>
      <c r="G309" s="32">
        <v>0.43998231500000001</v>
      </c>
      <c r="H309" s="32">
        <v>8.6081189999999991E-3</v>
      </c>
      <c r="I309" s="13">
        <f t="shared" si="347"/>
        <v>846.52597406000007</v>
      </c>
      <c r="J309">
        <f t="shared" si="319"/>
        <v>31865.328319343997</v>
      </c>
      <c r="K309">
        <f t="shared" si="320"/>
        <v>178.50862253500247</v>
      </c>
      <c r="L309" s="6">
        <f t="shared" si="321"/>
        <v>349.87690016860483</v>
      </c>
      <c r="N309" s="2">
        <f>'rockfish harvests'!O308</f>
        <v>1550.4012073142039</v>
      </c>
      <c r="O309">
        <f>'rockfish harvests'!P308</f>
        <v>632500.03783668019</v>
      </c>
      <c r="P309" s="32">
        <v>0.19025525099999999</v>
      </c>
      <c r="Q309" s="32">
        <v>1.3070167000000001E-2</v>
      </c>
      <c r="T309" s="13">
        <f t="shared" si="316"/>
        <v>294.97197084826689</v>
      </c>
      <c r="U309" s="14">
        <f t="shared" si="294"/>
        <v>62578.857524601248</v>
      </c>
      <c r="V309">
        <f t="shared" si="322"/>
        <v>250.15766533248836</v>
      </c>
      <c r="W309" s="6">
        <f t="shared" si="323"/>
        <v>490.30902405167717</v>
      </c>
      <c r="Y309" s="13">
        <f t="shared" si="317"/>
        <v>1141.4979449082671</v>
      </c>
      <c r="Z309">
        <f t="shared" si="318"/>
        <v>94444.185843945248</v>
      </c>
      <c r="AA309">
        <f t="shared" si="324"/>
        <v>307.31772783870645</v>
      </c>
      <c r="AB309" s="6">
        <f t="shared" si="325"/>
        <v>602.34274656386458</v>
      </c>
      <c r="AC309" s="14">
        <f t="shared" si="293"/>
        <v>0.26922319852569082</v>
      </c>
    </row>
    <row r="310" spans="1:29" x14ac:dyDescent="0.3">
      <c r="A310" t="str">
        <f>'rockfish harvests'!A309</f>
        <v>SE</v>
      </c>
      <c r="B310">
        <f>'rockfish harvests'!B309</f>
        <v>2005</v>
      </c>
      <c r="C310" t="str">
        <f>'rockfish harvests'!C309</f>
        <v>NSEO</v>
      </c>
      <c r="D310">
        <f>'rockfish harvests'!D309</f>
        <v>2796</v>
      </c>
      <c r="E310">
        <v>1608</v>
      </c>
      <c r="F310" t="s">
        <v>159</v>
      </c>
      <c r="G310" s="32">
        <v>0.43998231500000001</v>
      </c>
      <c r="H310" s="32">
        <v>8.6081189999999991E-3</v>
      </c>
      <c r="I310" s="13">
        <f t="shared" si="347"/>
        <v>707.49156252</v>
      </c>
      <c r="J310">
        <f t="shared" si="319"/>
        <v>22257.703406015997</v>
      </c>
      <c r="K310">
        <f t="shared" si="320"/>
        <v>149.19015854276714</v>
      </c>
      <c r="L310" s="6">
        <f t="shared" si="321"/>
        <v>292.4127107438236</v>
      </c>
      <c r="N310" s="2">
        <f>'rockfish harvests'!O309</f>
        <v>1483.0385821589171</v>
      </c>
      <c r="O310">
        <f>'rockfish harvests'!P309</f>
        <v>578731.68372450606</v>
      </c>
      <c r="P310" s="32">
        <v>0.19025525099999999</v>
      </c>
      <c r="Q310" s="32">
        <v>1.3070167000000001E-2</v>
      </c>
      <c r="T310" s="13">
        <f t="shared" si="316"/>
        <v>282.15587769132884</v>
      </c>
      <c r="U310" s="14">
        <f t="shared" si="294"/>
        <v>57259.075753794663</v>
      </c>
      <c r="V310">
        <f t="shared" si="322"/>
        <v>239.28868705769327</v>
      </c>
      <c r="W310" s="6">
        <f t="shared" si="323"/>
        <v>469.00582663307881</v>
      </c>
      <c r="Y310" s="13">
        <f t="shared" si="317"/>
        <v>989.64744021132879</v>
      </c>
      <c r="Z310">
        <f t="shared" si="318"/>
        <v>79516.779159810656</v>
      </c>
      <c r="AA310">
        <f t="shared" si="324"/>
        <v>281.98719680122122</v>
      </c>
      <c r="AB310" s="6">
        <f t="shared" si="325"/>
        <v>552.69490573039354</v>
      </c>
      <c r="AC310" s="14">
        <f t="shared" si="293"/>
        <v>0.28493702438214341</v>
      </c>
    </row>
    <row r="311" spans="1:29" x14ac:dyDescent="0.3">
      <c r="A311" t="str">
        <f>'rockfish harvests'!A310</f>
        <v>SE</v>
      </c>
      <c r="B311">
        <f>'rockfish harvests'!B310</f>
        <v>2006</v>
      </c>
      <c r="C311" t="str">
        <f>'rockfish harvests'!C310</f>
        <v>NSEO</v>
      </c>
      <c r="D311">
        <f>'rockfish harvests'!D310</f>
        <v>3058</v>
      </c>
      <c r="E311">
        <v>1651</v>
      </c>
      <c r="F311">
        <v>931</v>
      </c>
      <c r="I311" s="13">
        <f>F311</f>
        <v>931</v>
      </c>
      <c r="J311">
        <f t="shared" si="319"/>
        <v>0</v>
      </c>
      <c r="K311">
        <f t="shared" si="320"/>
        <v>0</v>
      </c>
      <c r="L311" s="6">
        <f t="shared" si="321"/>
        <v>0</v>
      </c>
      <c r="N311" s="2">
        <f>'rockfish harvests'!O310</f>
        <v>1622.0071474399028</v>
      </c>
      <c r="O311">
        <f>'rockfish harvests'!P310</f>
        <v>692273.78689881065</v>
      </c>
      <c r="P311">
        <f>IF([2]species_comp_Region1_forR!$D208&gt;49,[2]species_comp_Region1_forR!$J208,[2]species_comp_Region1_forR!$L208)</f>
        <v>0.393939394</v>
      </c>
      <c r="Q311">
        <f>IF([2]species_comp_Region1_forR!$D208&gt;49,[2]species_comp_Region1_forR!$K208,[2]species_comp_Region1_forR!$M208)</f>
        <v>3.6730949999999999E-3</v>
      </c>
      <c r="T311" s="13">
        <f t="shared" si="316"/>
        <v>638.97251272614392</v>
      </c>
      <c r="U311" s="14">
        <f t="shared" si="294"/>
        <v>119639.11425796541</v>
      </c>
      <c r="V311">
        <f t="shared" si="322"/>
        <v>345.88887559151914</v>
      </c>
      <c r="W311" s="6">
        <f t="shared" si="323"/>
        <v>677.94219615937754</v>
      </c>
      <c r="Y311" s="13">
        <f t="shared" si="317"/>
        <v>1569.972512726144</v>
      </c>
      <c r="Z311">
        <f t="shared" si="318"/>
        <v>119639.11425796541</v>
      </c>
      <c r="AA311">
        <f t="shared" si="324"/>
        <v>345.88887559151914</v>
      </c>
      <c r="AB311" s="6">
        <f t="shared" si="325"/>
        <v>677.94219615937754</v>
      </c>
      <c r="AC311" s="14">
        <f t="shared" si="293"/>
        <v>0.22031524296620203</v>
      </c>
    </row>
    <row r="312" spans="1:29" x14ac:dyDescent="0.3">
      <c r="A312" t="str">
        <f>'rockfish harvests'!A311</f>
        <v>SE</v>
      </c>
      <c r="B312">
        <f>'rockfish harvests'!B311</f>
        <v>2007</v>
      </c>
      <c r="C312" t="str">
        <f>'rockfish harvests'!C311</f>
        <v>NSEO</v>
      </c>
      <c r="D312">
        <f>'rockfish harvests'!D311</f>
        <v>4266</v>
      </c>
      <c r="E312">
        <v>1748</v>
      </c>
      <c r="F312">
        <v>1014</v>
      </c>
      <c r="I312" s="13">
        <f t="shared" ref="I312:I323" si="348">F312</f>
        <v>1014</v>
      </c>
      <c r="J312">
        <f t="shared" si="319"/>
        <v>0</v>
      </c>
      <c r="K312">
        <f t="shared" si="320"/>
        <v>0</v>
      </c>
      <c r="L312" s="6">
        <f t="shared" si="321"/>
        <v>0</v>
      </c>
      <c r="N312" s="2">
        <f>'rockfish harvests'!O311</f>
        <v>2262.7477079720811</v>
      </c>
      <c r="O312">
        <f>'rockfish harvests'!P311</f>
        <v>1347238.9410750614</v>
      </c>
      <c r="P312">
        <f>IF([2]species_comp_Region1_forR!$D209&gt;49,[2]species_comp_Region1_forR!$J209,[2]species_comp_Region1_forR!$L209)</f>
        <v>0.44262295099999999</v>
      </c>
      <c r="Q312">
        <f>IF([2]species_comp_Region1_forR!$D209&gt;49,[2]species_comp_Region1_forR!$K209,[2]species_comp_Region1_forR!$M209)</f>
        <v>4.1117979999999998E-3</v>
      </c>
      <c r="T312" s="13">
        <f t="shared" si="316"/>
        <v>1001.5440678710887</v>
      </c>
      <c r="U312" s="14">
        <f t="shared" si="294"/>
        <v>290536.51248688065</v>
      </c>
      <c r="V312">
        <f t="shared" si="322"/>
        <v>539.01438986995572</v>
      </c>
      <c r="W312" s="6">
        <f t="shared" si="323"/>
        <v>1056.4682041451133</v>
      </c>
      <c r="Y312" s="13">
        <f t="shared" si="317"/>
        <v>2015.5440678710888</v>
      </c>
      <c r="Z312">
        <f t="shared" si="318"/>
        <v>290536.51248688065</v>
      </c>
      <c r="AA312">
        <f t="shared" si="324"/>
        <v>539.01438986995572</v>
      </c>
      <c r="AB312" s="6">
        <f t="shared" si="325"/>
        <v>1056.4682041451133</v>
      </c>
      <c r="AC312" s="14">
        <f t="shared" si="293"/>
        <v>0.2674287297718515</v>
      </c>
    </row>
    <row r="313" spans="1:29" x14ac:dyDescent="0.3">
      <c r="A313" t="str">
        <f>'rockfish harvests'!A312</f>
        <v>SE</v>
      </c>
      <c r="B313">
        <f>'rockfish harvests'!B312</f>
        <v>2008</v>
      </c>
      <c r="C313" t="str">
        <f>'rockfish harvests'!C312</f>
        <v>NSEO</v>
      </c>
      <c r="D313">
        <f>'rockfish harvests'!D312</f>
        <v>5010</v>
      </c>
      <c r="E313">
        <v>1963</v>
      </c>
      <c r="F313">
        <v>1009</v>
      </c>
      <c r="I313" s="13">
        <f t="shared" si="348"/>
        <v>1009</v>
      </c>
      <c r="J313">
        <f t="shared" si="319"/>
        <v>0</v>
      </c>
      <c r="K313">
        <f t="shared" si="320"/>
        <v>0</v>
      </c>
      <c r="L313" s="6">
        <f t="shared" si="321"/>
        <v>0</v>
      </c>
      <c r="N313" s="2">
        <f>'rockfish harvests'!O312</f>
        <v>2657.3760002203771</v>
      </c>
      <c r="O313">
        <f>'rockfish harvests'!P312</f>
        <v>1858139.7621286947</v>
      </c>
      <c r="P313">
        <f>IF([2]species_comp_Region1_forR!$D210&gt;49,[2]species_comp_Region1_forR!$J210,[2]species_comp_Region1_forR!$L210)</f>
        <v>0.19801980199999999</v>
      </c>
      <c r="Q313">
        <f>IF([2]species_comp_Region1_forR!$D210&gt;49,[2]species_comp_Region1_forR!$K210,[2]species_comp_Region1_forR!$M210)</f>
        <v>1.58808E-3</v>
      </c>
      <c r="T313" s="13">
        <f t="shared" si="316"/>
        <v>526.21306940319107</v>
      </c>
      <c r="U313" s="14">
        <f t="shared" si="294"/>
        <v>87026.418026214102</v>
      </c>
      <c r="V313">
        <f t="shared" si="322"/>
        <v>295.00240342447057</v>
      </c>
      <c r="W313" s="6">
        <f t="shared" si="323"/>
        <v>578.20471071196232</v>
      </c>
      <c r="Y313" s="13">
        <f t="shared" si="317"/>
        <v>1535.2130694031912</v>
      </c>
      <c r="Z313">
        <f t="shared" si="318"/>
        <v>87026.418026214102</v>
      </c>
      <c r="AA313">
        <f t="shared" si="324"/>
        <v>295.00240342447057</v>
      </c>
      <c r="AB313" s="6">
        <f t="shared" si="325"/>
        <v>578.20471071196232</v>
      </c>
      <c r="AC313" s="14">
        <f t="shared" si="293"/>
        <v>0.19215730331109787</v>
      </c>
    </row>
    <row r="314" spans="1:29" x14ac:dyDescent="0.3">
      <c r="A314" t="str">
        <f>'rockfish harvests'!A313</f>
        <v>SE</v>
      </c>
      <c r="B314">
        <f>'rockfish harvests'!B313</f>
        <v>2009</v>
      </c>
      <c r="C314" t="str">
        <f>'rockfish harvests'!C313</f>
        <v>NSEO</v>
      </c>
      <c r="D314">
        <f>'rockfish harvests'!D313</f>
        <v>2818</v>
      </c>
      <c r="E314">
        <v>864</v>
      </c>
      <c r="F314">
        <v>580</v>
      </c>
      <c r="I314" s="13">
        <f t="shared" si="348"/>
        <v>580</v>
      </c>
      <c r="J314">
        <f t="shared" si="319"/>
        <v>0</v>
      </c>
      <c r="K314">
        <f t="shared" si="320"/>
        <v>0</v>
      </c>
      <c r="L314" s="6">
        <f t="shared" si="321"/>
        <v>0</v>
      </c>
      <c r="N314" s="2">
        <f>'rockfish harvests'!O313</f>
        <v>1494.7076983275492</v>
      </c>
      <c r="O314">
        <f>'rockfish harvests'!P313</f>
        <v>587874.87939866644</v>
      </c>
      <c r="P314">
        <f>IF([2]species_comp_Region1_forR!$D211&gt;49,[2]species_comp_Region1_forR!$J211,[2]species_comp_Region1_forR!$L211)</f>
        <v>0.23076923099999999</v>
      </c>
      <c r="Q314">
        <f>IF([2]species_comp_Region1_forR!$D211&gt;49,[2]species_comp_Region1_forR!$K211,[2]species_comp_Region1_forR!$M211)</f>
        <v>2.3053869999999999E-3</v>
      </c>
      <c r="T314" s="13">
        <f t="shared" si="316"/>
        <v>344.9325461128285</v>
      </c>
      <c r="U314" s="14">
        <f t="shared" si="294"/>
        <v>37812.808317277217</v>
      </c>
      <c r="V314">
        <f t="shared" si="322"/>
        <v>194.45515760009354</v>
      </c>
      <c r="W314" s="6">
        <f t="shared" si="323"/>
        <v>381.13210889618335</v>
      </c>
      <c r="Y314" s="13">
        <f t="shared" si="317"/>
        <v>924.9325461128285</v>
      </c>
      <c r="Z314">
        <f t="shared" si="318"/>
        <v>37812.808317277217</v>
      </c>
      <c r="AA314">
        <f t="shared" si="324"/>
        <v>194.45515760009354</v>
      </c>
      <c r="AB314" s="6">
        <f t="shared" si="325"/>
        <v>381.13210889618335</v>
      </c>
      <c r="AC314" s="14">
        <f t="shared" si="293"/>
        <v>0.21023712314732712</v>
      </c>
    </row>
    <row r="315" spans="1:29" x14ac:dyDescent="0.3">
      <c r="A315" t="str">
        <f>'rockfish harvests'!A314</f>
        <v>SE</v>
      </c>
      <c r="B315">
        <f>'rockfish harvests'!B314</f>
        <v>2010</v>
      </c>
      <c r="C315" t="str">
        <f>'rockfish harvests'!C314</f>
        <v>NSEO</v>
      </c>
      <c r="D315">
        <f>'rockfish harvests'!D314</f>
        <v>4613</v>
      </c>
      <c r="E315">
        <v>1642</v>
      </c>
      <c r="F315">
        <v>737</v>
      </c>
      <c r="I315" s="13">
        <f t="shared" si="348"/>
        <v>737</v>
      </c>
      <c r="J315">
        <f t="shared" si="319"/>
        <v>0</v>
      </c>
      <c r="K315">
        <f t="shared" si="320"/>
        <v>0</v>
      </c>
      <c r="L315" s="6">
        <f t="shared" si="321"/>
        <v>0</v>
      </c>
      <c r="N315" s="2">
        <f>'rockfish harvests'!O314</f>
        <v>2446.8014948136924</v>
      </c>
      <c r="O315">
        <f>'rockfish harvests'!P314</f>
        <v>1575323.7998180711</v>
      </c>
      <c r="P315">
        <f>IF([2]species_comp_Region1_forR!$D212&gt;49,[2]species_comp_Region1_forR!$J212,[2]species_comp_Region1_forR!$L212)</f>
        <v>0.27160493800000002</v>
      </c>
      <c r="Q315">
        <f>IF([2]species_comp_Region1_forR!$D212&gt;49,[2]species_comp_Region1_forR!$K212,[2]species_comp_Region1_forR!$M212)</f>
        <v>1.2287929999999999E-3</v>
      </c>
      <c r="T315" s="13">
        <f t="shared" ref="T315:T354" si="349">N315*P315</f>
        <v>664.56336829718032</v>
      </c>
      <c r="U315" s="14">
        <f t="shared" si="294"/>
        <v>125502.77409987408</v>
      </c>
      <c r="V315">
        <f t="shared" si="322"/>
        <v>354.26370700351748</v>
      </c>
      <c r="W315" s="6">
        <f t="shared" si="323"/>
        <v>694.35686572689428</v>
      </c>
      <c r="Y315" s="13">
        <f t="shared" si="317"/>
        <v>1401.5633682971802</v>
      </c>
      <c r="Z315">
        <f t="shared" si="318"/>
        <v>125502.77409987408</v>
      </c>
      <c r="AA315">
        <f t="shared" si="324"/>
        <v>354.26370700351748</v>
      </c>
      <c r="AB315" s="6">
        <f t="shared" si="325"/>
        <v>694.35686572689428</v>
      </c>
      <c r="AC315" s="14">
        <f t="shared" si="293"/>
        <v>0.25276324639814735</v>
      </c>
    </row>
    <row r="316" spans="1:29" x14ac:dyDescent="0.3">
      <c r="A316" t="str">
        <f>'rockfish harvests'!A315</f>
        <v>SE</v>
      </c>
      <c r="B316">
        <f>'rockfish harvests'!B315</f>
        <v>2011</v>
      </c>
      <c r="C316" t="str">
        <f>'rockfish harvests'!C315</f>
        <v>NSEO</v>
      </c>
      <c r="D316">
        <f>'rockfish harvests'!D315</f>
        <v>8950</v>
      </c>
      <c r="E316">
        <v>2118</v>
      </c>
      <c r="F316">
        <v>831</v>
      </c>
      <c r="I316" s="13">
        <f t="shared" si="348"/>
        <v>831</v>
      </c>
      <c r="J316">
        <f t="shared" si="319"/>
        <v>0</v>
      </c>
      <c r="K316">
        <f t="shared" si="320"/>
        <v>0</v>
      </c>
      <c r="L316" s="6">
        <f t="shared" si="321"/>
        <v>0</v>
      </c>
      <c r="N316" s="2">
        <f>'rockfish harvests'!O315</f>
        <v>2109.8638720829731</v>
      </c>
      <c r="O316">
        <f>'rockfish harvests'!P315</f>
        <v>736850.51155388099</v>
      </c>
      <c r="P316">
        <f>IF([2]species_comp_Region1_forR!$D213&gt;49,[2]species_comp_Region1_forR!$J213,[2]species_comp_Region1_forR!$L213)</f>
        <v>0.212121212</v>
      </c>
      <c r="Q316">
        <f>IF([2]species_comp_Region1_forR!$D213&gt;49,[2]species_comp_Region1_forR!$K213,[2]species_comp_Region1_forR!$M213)</f>
        <v>1.01906E-3</v>
      </c>
      <c r="T316" s="13">
        <f t="shared" si="349"/>
        <v>447.5468817012532</v>
      </c>
      <c r="U316" s="14">
        <f t="shared" si="294"/>
        <v>38442.15634818028</v>
      </c>
      <c r="V316">
        <f t="shared" si="322"/>
        <v>196.06671402402878</v>
      </c>
      <c r="W316" s="6">
        <f t="shared" si="323"/>
        <v>384.29075948709641</v>
      </c>
      <c r="Y316" s="13">
        <f t="shared" si="317"/>
        <v>1278.5468817012531</v>
      </c>
      <c r="Z316">
        <f t="shared" si="318"/>
        <v>38442.15634818028</v>
      </c>
      <c r="AA316">
        <f t="shared" si="324"/>
        <v>196.06671402402878</v>
      </c>
      <c r="AB316" s="6">
        <f t="shared" si="325"/>
        <v>384.29075948709641</v>
      </c>
      <c r="AC316" s="14">
        <f t="shared" si="293"/>
        <v>0.15335121209097907</v>
      </c>
    </row>
    <row r="317" spans="1:29" x14ac:dyDescent="0.3">
      <c r="A317" t="str">
        <f>'rockfish harvests'!A316</f>
        <v>SE</v>
      </c>
      <c r="B317">
        <f>'rockfish harvests'!B316</f>
        <v>2012</v>
      </c>
      <c r="C317" t="str">
        <f>'rockfish harvests'!C316</f>
        <v>NSEO</v>
      </c>
      <c r="D317">
        <f>'rockfish harvests'!D316</f>
        <v>8600</v>
      </c>
      <c r="E317">
        <v>2133</v>
      </c>
      <c r="F317">
        <v>737</v>
      </c>
      <c r="I317" s="13">
        <f t="shared" si="348"/>
        <v>737</v>
      </c>
      <c r="J317">
        <f t="shared" si="319"/>
        <v>0</v>
      </c>
      <c r="K317">
        <f t="shared" si="320"/>
        <v>0</v>
      </c>
      <c r="L317" s="6">
        <f t="shared" si="321"/>
        <v>0</v>
      </c>
      <c r="N317" s="2">
        <f>'rockfish harvests'!O316</f>
        <v>4056.1403508771928</v>
      </c>
      <c r="O317">
        <f>'rockfish harvests'!P316</f>
        <v>2425591.2838210762</v>
      </c>
      <c r="P317">
        <f>IF([2]species_comp_Region1_forR!$D214&gt;49,[2]species_comp_Region1_forR!$J214,[2]species_comp_Region1_forR!$L214)</f>
        <v>0.13618677000000001</v>
      </c>
      <c r="Q317">
        <f>IF([2]species_comp_Region1_forR!$D214&gt;49,[2]species_comp_Region1_forR!$K214,[2]species_comp_Region1_forR!$M214)</f>
        <v>4.59531E-4</v>
      </c>
      <c r="T317" s="13">
        <f t="shared" si="349"/>
        <v>552.39265305263154</v>
      </c>
      <c r="U317" s="14">
        <f t="shared" si="294"/>
        <v>53662.00909025476</v>
      </c>
      <c r="V317">
        <f t="shared" si="322"/>
        <v>231.65061858379477</v>
      </c>
      <c r="W317" s="6">
        <f t="shared" si="323"/>
        <v>454.03521242423773</v>
      </c>
      <c r="Y317" s="13">
        <f t="shared" si="317"/>
        <v>1289.3926530526314</v>
      </c>
      <c r="Z317">
        <f t="shared" si="318"/>
        <v>53662.00909025476</v>
      </c>
      <c r="AA317">
        <f t="shared" si="324"/>
        <v>231.65061858379477</v>
      </c>
      <c r="AB317" s="6">
        <f t="shared" si="325"/>
        <v>454.03521242423773</v>
      </c>
      <c r="AC317" s="14">
        <f t="shared" si="293"/>
        <v>0.17965870833478301</v>
      </c>
    </row>
    <row r="318" spans="1:29" x14ac:dyDescent="0.3">
      <c r="A318" t="str">
        <f>'rockfish harvests'!A317</f>
        <v>SE</v>
      </c>
      <c r="B318">
        <f>'rockfish harvests'!B317</f>
        <v>2013</v>
      </c>
      <c r="C318" t="str">
        <f>'rockfish harvests'!C317</f>
        <v>NSEO</v>
      </c>
      <c r="D318">
        <f>'rockfish harvests'!D317</f>
        <v>6970</v>
      </c>
      <c r="E318">
        <v>1675</v>
      </c>
      <c r="F318">
        <v>713</v>
      </c>
      <c r="I318" s="13">
        <f t="shared" si="348"/>
        <v>713</v>
      </c>
      <c r="J318">
        <f t="shared" si="319"/>
        <v>0</v>
      </c>
      <c r="K318">
        <f t="shared" si="320"/>
        <v>0</v>
      </c>
      <c r="L318" s="6">
        <f t="shared" si="321"/>
        <v>0</v>
      </c>
      <c r="N318" s="2">
        <f>'rockfish harvests'!O317</f>
        <v>3563.4638032559742</v>
      </c>
      <c r="O318">
        <f>'rockfish harvests'!P317</f>
        <v>1983952.159720307</v>
      </c>
      <c r="P318">
        <f>IF([2]species_comp_Region1_forR!$D215&gt;49,[2]species_comp_Region1_forR!$J215,[2]species_comp_Region1_forR!$L215)</f>
        <v>0.130718954</v>
      </c>
      <c r="Q318">
        <f>IF([2]species_comp_Region1_forR!$D215&gt;49,[2]species_comp_Region1_forR!$K215,[2]species_comp_Region1_forR!$M215)</f>
        <v>3.72562E-4</v>
      </c>
      <c r="T318" s="13">
        <f t="shared" si="349"/>
        <v>465.81226097848275</v>
      </c>
      <c r="U318" s="14">
        <f t="shared" si="294"/>
        <v>39370.712928366076</v>
      </c>
      <c r="V318">
        <f t="shared" si="322"/>
        <v>198.42054563065307</v>
      </c>
      <c r="W318" s="6">
        <f t="shared" si="323"/>
        <v>388.90426943608003</v>
      </c>
      <c r="Y318" s="13">
        <f t="shared" si="317"/>
        <v>1178.8122609784828</v>
      </c>
      <c r="Z318">
        <f t="shared" si="318"/>
        <v>39370.712928366076</v>
      </c>
      <c r="AA318">
        <f t="shared" si="324"/>
        <v>198.42054563065307</v>
      </c>
      <c r="AB318" s="6">
        <f t="shared" si="325"/>
        <v>388.90426943608003</v>
      </c>
      <c r="AC318" s="14">
        <f t="shared" si="293"/>
        <v>0.16832243114433884</v>
      </c>
    </row>
    <row r="319" spans="1:29" x14ac:dyDescent="0.3">
      <c r="A319" t="str">
        <f>'rockfish harvests'!A318</f>
        <v>SE</v>
      </c>
      <c r="B319">
        <f>'rockfish harvests'!B318</f>
        <v>2014</v>
      </c>
      <c r="C319" t="str">
        <f>'rockfish harvests'!C318</f>
        <v>NSEO</v>
      </c>
      <c r="D319">
        <f>'rockfish harvests'!D318</f>
        <v>8688</v>
      </c>
      <c r="E319">
        <v>2260</v>
      </c>
      <c r="F319">
        <v>820</v>
      </c>
      <c r="I319" s="13">
        <f t="shared" si="348"/>
        <v>820</v>
      </c>
      <c r="J319">
        <f t="shared" si="319"/>
        <v>0</v>
      </c>
      <c r="K319">
        <f t="shared" si="320"/>
        <v>0</v>
      </c>
      <c r="L319" s="6">
        <f t="shared" si="321"/>
        <v>0</v>
      </c>
      <c r="N319" s="2">
        <f>'rockfish harvests'!O318</f>
        <v>9722.2508839872025</v>
      </c>
      <c r="O319">
        <f>'rockfish harvests'!P318</f>
        <v>9687106.4801495951</v>
      </c>
      <c r="P319">
        <f>IF([2]species_comp_Region1_forR!$D216&gt;49,[2]species_comp_Region1_forR!$J216,[2]species_comp_Region1_forR!$L216)</f>
        <v>7.0754716999999995E-2</v>
      </c>
      <c r="Q319">
        <f>IF([2]species_comp_Region1_forR!$D216&gt;49,[2]species_comp_Region1_forR!$K216,[2]species_comp_Region1_forR!$M216)</f>
        <v>1.55434E-4</v>
      </c>
      <c r="T319" s="13">
        <f t="shared" si="349"/>
        <v>687.8951098995143</v>
      </c>
      <c r="U319" s="14">
        <f t="shared" si="294"/>
        <v>64693.546334569073</v>
      </c>
      <c r="V319">
        <f t="shared" si="322"/>
        <v>254.34926053474004</v>
      </c>
      <c r="W319" s="6">
        <f t="shared" si="323"/>
        <v>498.5245506480905</v>
      </c>
      <c r="Y319" s="13">
        <f t="shared" si="317"/>
        <v>1507.8951098995144</v>
      </c>
      <c r="Z319">
        <f t="shared" si="318"/>
        <v>64693.546334569073</v>
      </c>
      <c r="AA319">
        <f t="shared" si="324"/>
        <v>254.34926053474004</v>
      </c>
      <c r="AB319" s="6">
        <f t="shared" si="325"/>
        <v>498.5245506480905</v>
      </c>
      <c r="AC319" s="14">
        <f t="shared" si="293"/>
        <v>0.16867835094424424</v>
      </c>
    </row>
    <row r="320" spans="1:29" x14ac:dyDescent="0.3">
      <c r="A320" t="str">
        <f>'rockfish harvests'!A319</f>
        <v>SE</v>
      </c>
      <c r="B320">
        <f>'rockfish harvests'!B319</f>
        <v>2015</v>
      </c>
      <c r="C320" t="str">
        <f>'rockfish harvests'!C319</f>
        <v>NSEO</v>
      </c>
      <c r="D320">
        <f>'rockfish harvests'!D319</f>
        <v>9156</v>
      </c>
      <c r="E320">
        <v>2579</v>
      </c>
      <c r="F320">
        <v>911</v>
      </c>
      <c r="I320" s="13">
        <f t="shared" si="348"/>
        <v>911</v>
      </c>
      <c r="J320">
        <f t="shared" si="319"/>
        <v>0</v>
      </c>
      <c r="K320">
        <f t="shared" si="320"/>
        <v>0</v>
      </c>
      <c r="L320" s="6">
        <f t="shared" si="321"/>
        <v>0</v>
      </c>
      <c r="N320" s="2">
        <f>'rockfish harvests'!O319</f>
        <v>4529.4803554223308</v>
      </c>
      <c r="O320">
        <f>'rockfish harvests'!P319</f>
        <v>3708908.4909766819</v>
      </c>
      <c r="P320">
        <f>IF([2]species_comp_Region1_forR!$D217&gt;49,[2]species_comp_Region1_forR!$J217,[2]species_comp_Region1_forR!$L217)</f>
        <v>0.17891373799999999</v>
      </c>
      <c r="Q320">
        <f>IF([2]species_comp_Region1_forR!$D217&gt;49,[2]species_comp_Region1_forR!$K217,[2]species_comp_Region1_forR!$M217)</f>
        <v>4.7084500000000001E-4</v>
      </c>
      <c r="T320" s="13">
        <f t="shared" si="349"/>
        <v>810.38626158617774</v>
      </c>
      <c r="U320" s="14">
        <f t="shared" si="294"/>
        <v>130128.89437975569</v>
      </c>
      <c r="V320">
        <f t="shared" si="322"/>
        <v>360.73382760666578</v>
      </c>
      <c r="W320" s="6">
        <f t="shared" si="323"/>
        <v>707.03830210906494</v>
      </c>
      <c r="Y320" s="13">
        <f t="shared" si="317"/>
        <v>1721.3862615861776</v>
      </c>
      <c r="Z320">
        <f t="shared" si="318"/>
        <v>130128.89437975569</v>
      </c>
      <c r="AA320">
        <f t="shared" si="324"/>
        <v>360.73382760666578</v>
      </c>
      <c r="AB320" s="6">
        <f t="shared" si="325"/>
        <v>707.03830210906494</v>
      </c>
      <c r="AC320" s="14">
        <f t="shared" si="293"/>
        <v>0.2095600712383206</v>
      </c>
    </row>
    <row r="321" spans="1:29" x14ac:dyDescent="0.3">
      <c r="A321" t="str">
        <f>'rockfish harvests'!A320</f>
        <v>SE</v>
      </c>
      <c r="B321">
        <f>'rockfish harvests'!B320</f>
        <v>2016</v>
      </c>
      <c r="C321" t="str">
        <f>'rockfish harvests'!C320</f>
        <v>NSEO</v>
      </c>
      <c r="D321">
        <f>'rockfish harvests'!D320</f>
        <v>5839</v>
      </c>
      <c r="E321">
        <v>1492</v>
      </c>
      <c r="F321">
        <v>698</v>
      </c>
      <c r="I321" s="13">
        <f>F321</f>
        <v>698</v>
      </c>
      <c r="J321">
        <f t="shared" si="319"/>
        <v>0</v>
      </c>
      <c r="K321">
        <f t="shared" si="320"/>
        <v>0</v>
      </c>
      <c r="L321" s="6">
        <f t="shared" si="321"/>
        <v>0</v>
      </c>
      <c r="N321" s="2">
        <f>'rockfish harvests'!O320</f>
        <v>1660.6278507924235</v>
      </c>
      <c r="O321">
        <f>'rockfish harvests'!P320</f>
        <v>405106.18509878113</v>
      </c>
      <c r="P321">
        <f>IF([2]species_comp_Region1_forR!$D218&gt;49,[2]species_comp_Region1_forR!$J218,[2]species_comp_Region1_forR!$L218)</f>
        <v>0.109561753</v>
      </c>
      <c r="Q321">
        <f>IF([2]species_comp_Region1_forR!$D218&gt;49,[2]species_comp_Region1_forR!$K218,[2]species_comp_Region1_forR!$M218)</f>
        <v>1.9472599999999999E-4</v>
      </c>
      <c r="T321" s="52">
        <f>N321*P321</f>
        <v>181.94129841344036</v>
      </c>
      <c r="U321" s="14">
        <f t="shared" ref="U321:U377" si="350">(N321^2)*Q321+(P321^2)*O321+(Q321*O321)</f>
        <v>5478.6822479179409</v>
      </c>
      <c r="V321">
        <f t="shared" si="322"/>
        <v>74.01812107800319</v>
      </c>
      <c r="W321" s="6">
        <f t="shared" si="323"/>
        <v>145.07551731288626</v>
      </c>
      <c r="Y321" s="13">
        <f t="shared" si="317"/>
        <v>879.94129841344034</v>
      </c>
      <c r="Z321">
        <f t="shared" si="318"/>
        <v>5478.6822479179409</v>
      </c>
      <c r="AA321">
        <f t="shared" si="324"/>
        <v>74.01812107800319</v>
      </c>
      <c r="AB321" s="6">
        <f t="shared" si="325"/>
        <v>145.07551731288626</v>
      </c>
      <c r="AC321" s="14">
        <f t="shared" si="293"/>
        <v>8.4117112370404715E-2</v>
      </c>
    </row>
    <row r="322" spans="1:29" x14ac:dyDescent="0.3">
      <c r="A322" t="str">
        <f>'rockfish harvests'!A321</f>
        <v>SE</v>
      </c>
      <c r="B322">
        <f>'rockfish harvests'!B321</f>
        <v>2017</v>
      </c>
      <c r="C322" t="str">
        <f>'rockfish harvests'!C321</f>
        <v>NSEO</v>
      </c>
      <c r="D322">
        <f>'rockfish harvests'!D321</f>
        <v>9211</v>
      </c>
      <c r="E322">
        <v>1716</v>
      </c>
      <c r="F322">
        <v>756</v>
      </c>
      <c r="I322" s="13">
        <f t="shared" si="348"/>
        <v>756</v>
      </c>
      <c r="J322">
        <f t="shared" si="319"/>
        <v>0</v>
      </c>
      <c r="K322">
        <f t="shared" si="320"/>
        <v>0</v>
      </c>
      <c r="L322" s="6">
        <f t="shared" si="321"/>
        <v>0</v>
      </c>
      <c r="N322" s="2">
        <f>'rockfish harvests'!O321</f>
        <v>6867.0171471927151</v>
      </c>
      <c r="O322">
        <f>'rockfish harvests'!P321</f>
        <v>4662505.6656814301</v>
      </c>
      <c r="P322">
        <f>IF([2]species_comp_Region1_forR!$D219&gt;49,[2]species_comp_Region1_forR!$J219,[2]species_comp_Region1_forR!$L219)</f>
        <v>0.10331384</v>
      </c>
      <c r="Q322">
        <f>IF([2]species_comp_Region1_forR!$D219&gt;49,[2]species_comp_Region1_forR!$K219,[2]species_comp_Region1_forR!$M219)</f>
        <v>1.8093800000000001E-4</v>
      </c>
      <c r="T322" s="13">
        <f t="shared" si="349"/>
        <v>709.45791082232461</v>
      </c>
      <c r="U322" s="14">
        <f t="shared" si="350"/>
        <v>59142.340800834791</v>
      </c>
      <c r="V322">
        <f t="shared" si="322"/>
        <v>243.19198342222302</v>
      </c>
      <c r="W322" s="6">
        <f t="shared" si="323"/>
        <v>476.65628750755712</v>
      </c>
      <c r="Y322" s="13">
        <f t="shared" si="317"/>
        <v>1465.4579108223247</v>
      </c>
      <c r="Z322">
        <f t="shared" si="318"/>
        <v>59142.340800834791</v>
      </c>
      <c r="AA322">
        <f t="shared" si="324"/>
        <v>243.19198342222302</v>
      </c>
      <c r="AB322" s="6">
        <f t="shared" si="325"/>
        <v>476.65628750755712</v>
      </c>
      <c r="AC322" s="14">
        <f t="shared" si="293"/>
        <v>0.16594948352065508</v>
      </c>
    </row>
    <row r="323" spans="1:29" x14ac:dyDescent="0.3">
      <c r="A323" t="str">
        <f>'rockfish harvests'!A322</f>
        <v>SE</v>
      </c>
      <c r="B323">
        <f>'rockfish harvests'!B322</f>
        <v>2018</v>
      </c>
      <c r="C323" t="str">
        <f>'rockfish harvests'!C322</f>
        <v>NSEO</v>
      </c>
      <c r="D323">
        <f>'rockfish harvests'!D322</f>
        <v>11024</v>
      </c>
      <c r="E323">
        <v>1835</v>
      </c>
      <c r="F323">
        <v>858</v>
      </c>
      <c r="I323" s="13">
        <f t="shared" si="348"/>
        <v>858</v>
      </c>
      <c r="J323">
        <f t="shared" si="319"/>
        <v>0</v>
      </c>
      <c r="K323">
        <f t="shared" si="320"/>
        <v>0</v>
      </c>
      <c r="L323" s="6">
        <f t="shared" si="321"/>
        <v>0</v>
      </c>
      <c r="N323" s="2">
        <f>'rockfish harvests'!O322</f>
        <v>7836.8836407058479</v>
      </c>
      <c r="O323">
        <f>'rockfish harvests'!P322</f>
        <v>7422148.5356027149</v>
      </c>
      <c r="P323">
        <f>IF([2]species_comp_Region1_forR!$D220&gt;49,[2]species_comp_Region1_forR!$J220,[2]species_comp_Region1_forR!$L220)</f>
        <v>0.10191082799999999</v>
      </c>
      <c r="Q323">
        <f>IF([2]species_comp_Region1_forR!$D220&gt;49,[2]species_comp_Region1_forR!$K220,[2]species_comp_Region1_forR!$M220)</f>
        <v>1.9473400000000001E-4</v>
      </c>
      <c r="T323" s="13">
        <f t="shared" si="349"/>
        <v>798.66330076398742</v>
      </c>
      <c r="U323" s="14">
        <f t="shared" si="350"/>
        <v>90490.348557857214</v>
      </c>
      <c r="V323">
        <f t="shared" si="322"/>
        <v>300.81613746249923</v>
      </c>
      <c r="W323" s="6">
        <f t="shared" si="323"/>
        <v>589.5996294264985</v>
      </c>
      <c r="Y323" s="13">
        <f t="shared" si="317"/>
        <v>1656.6633007639875</v>
      </c>
      <c r="Z323">
        <f t="shared" si="318"/>
        <v>90490.348557857214</v>
      </c>
      <c r="AA323">
        <f t="shared" si="324"/>
        <v>300.81613746249923</v>
      </c>
      <c r="AB323" s="6">
        <f t="shared" si="325"/>
        <v>589.5996294264985</v>
      </c>
      <c r="AC323" s="14">
        <f t="shared" si="293"/>
        <v>0.18157952634296584</v>
      </c>
    </row>
    <row r="324" spans="1:29" x14ac:dyDescent="0.3">
      <c r="A324" t="str">
        <f>'rockfish harvests'!A323</f>
        <v>SE</v>
      </c>
      <c r="B324">
        <f>'rockfish harvests'!B323</f>
        <v>2019</v>
      </c>
      <c r="C324" t="str">
        <f>'rockfish harvests'!C323</f>
        <v>NSEO</v>
      </c>
      <c r="D324">
        <f>'rockfish harvests'!D323</f>
        <v>11553</v>
      </c>
      <c r="E324">
        <v>1628</v>
      </c>
      <c r="F324">
        <v>769</v>
      </c>
      <c r="I324" s="13">
        <f>F324</f>
        <v>769</v>
      </c>
      <c r="J324">
        <f>(E324^2)*H324</f>
        <v>0</v>
      </c>
      <c r="K324">
        <f>SQRT(J324)</f>
        <v>0</v>
      </c>
      <c r="L324" s="6">
        <f>(1.96*K324)</f>
        <v>0</v>
      </c>
      <c r="N324" s="2">
        <f>'rockfish harvests'!O323</f>
        <v>6640.6634516724807</v>
      </c>
      <c r="O324">
        <f>'rockfish harvests'!P323</f>
        <v>4892127.8553123055</v>
      </c>
      <c r="P324">
        <v>5.7471264367816091E-2</v>
      </c>
      <c r="Q324">
        <v>8.9092628519376119E-5</v>
      </c>
      <c r="T324" s="13">
        <f>N324*P324</f>
        <v>381.64732480876324</v>
      </c>
      <c r="U324" s="14">
        <f t="shared" si="350"/>
        <v>20523.131132954088</v>
      </c>
      <c r="V324">
        <f>SQRT(U324)</f>
        <v>143.25896527950385</v>
      </c>
      <c r="W324" s="6">
        <f>(1.96*V324)</f>
        <v>280.78757194782753</v>
      </c>
      <c r="Y324" s="13">
        <f>T324+I324</f>
        <v>1150.6473248087632</v>
      </c>
      <c r="Z324">
        <f>U324+J324</f>
        <v>20523.131132954088</v>
      </c>
      <c r="AA324">
        <f>SQRT(Z324)</f>
        <v>143.25896527950385</v>
      </c>
      <c r="AB324" s="6">
        <f>(1.96*AA324)</f>
        <v>280.78757194782753</v>
      </c>
      <c r="AC324" s="14">
        <f>AA324/Y324</f>
        <v>0.12450293168961514</v>
      </c>
    </row>
    <row r="325" spans="1:29" x14ac:dyDescent="0.3">
      <c r="A325" t="str">
        <f>'rockfish harvests'!A324</f>
        <v>SE</v>
      </c>
      <c r="B325">
        <f>'rockfish harvests'!B324</f>
        <v>2020</v>
      </c>
      <c r="C325" t="str">
        <f>'rockfish harvests'!C324</f>
        <v>NSEO</v>
      </c>
      <c r="D325">
        <f>'rockfish harvests'!D324</f>
        <v>3314</v>
      </c>
      <c r="E325">
        <v>172</v>
      </c>
      <c r="F325">
        <v>3</v>
      </c>
      <c r="I325" s="13">
        <f>F325</f>
        <v>3</v>
      </c>
      <c r="J325">
        <f t="shared" ref="J325:J327" si="351">(E325^2)*H325</f>
        <v>0</v>
      </c>
      <c r="K325">
        <f t="shared" ref="K325:K327" si="352">SQRT(J325)</f>
        <v>0</v>
      </c>
      <c r="L325" s="6">
        <f t="shared" ref="L325:L327" si="353">(1.96*K325)</f>
        <v>0</v>
      </c>
      <c r="N325" s="2">
        <f>'rockfish harvests'!O324</f>
        <v>1085.5719163465646</v>
      </c>
      <c r="O325">
        <f>'rockfish harvests'!P324</f>
        <v>110201.41937596143</v>
      </c>
      <c r="P325" s="26" t="str">
        <f>P250</f>
        <v>0.0027027027027027</v>
      </c>
      <c r="Q325" s="26" t="str">
        <f>Q250</f>
        <v>7.30460189919649e-06</v>
      </c>
      <c r="T325" s="13">
        <f t="shared" ref="T325" si="354">N325*P325</f>
        <v>2.9339781522880095</v>
      </c>
      <c r="U325" s="14">
        <f t="shared" si="350"/>
        <v>10.21818279263897</v>
      </c>
      <c r="V325">
        <f t="shared" ref="V325:V326" si="355">SQRT(U325)</f>
        <v>3.1965892436531425</v>
      </c>
      <c r="W325" s="6">
        <f t="shared" ref="W325:W326" si="356">(1.96*V325)</f>
        <v>6.2653149175601595</v>
      </c>
      <c r="Y325" s="13">
        <f t="shared" ref="Y325:Y326" si="357">T325+I325</f>
        <v>5.9339781522880095</v>
      </c>
      <c r="Z325">
        <f t="shared" ref="Z325:Z326" si="358">U325+J325</f>
        <v>10.21818279263897</v>
      </c>
      <c r="AA325">
        <f t="shared" ref="AA325:AA326" si="359">SQRT(Z325)</f>
        <v>3.1965892436531425</v>
      </c>
      <c r="AB325" s="6">
        <f t="shared" ref="AB325:AB326" si="360">(1.96*AA325)</f>
        <v>6.2653149175601595</v>
      </c>
      <c r="AC325" s="14">
        <f t="shared" ref="AC325" si="361">AA325/Y325</f>
        <v>0.53869245245208885</v>
      </c>
    </row>
    <row r="326" spans="1:29" x14ac:dyDescent="0.3">
      <c r="A326" t="str">
        <f>'rockfish harvests'!A325</f>
        <v>SE</v>
      </c>
      <c r="B326">
        <f>'rockfish harvests'!B325</f>
        <v>2021</v>
      </c>
      <c r="C326" t="str">
        <f>'rockfish harvests'!C325</f>
        <v>NSEO</v>
      </c>
      <c r="D326">
        <f>'rockfish harvests'!D325</f>
        <v>9732</v>
      </c>
      <c r="E326">
        <v>638</v>
      </c>
      <c r="F326">
        <v>0</v>
      </c>
      <c r="I326" s="13">
        <f t="shared" ref="I326:I327" si="362">F326</f>
        <v>0</v>
      </c>
      <c r="J326">
        <f t="shared" si="351"/>
        <v>0</v>
      </c>
      <c r="K326">
        <f t="shared" si="352"/>
        <v>0</v>
      </c>
      <c r="L326" s="6">
        <f t="shared" si="353"/>
        <v>0</v>
      </c>
      <c r="N326" s="2">
        <f>'rockfish harvests'!O325</f>
        <v>6262.8946783553529</v>
      </c>
      <c r="O326">
        <f>'rockfish harvests'!P325</f>
        <v>3588518.0359388059</v>
      </c>
      <c r="P326" s="26">
        <v>0</v>
      </c>
      <c r="Q326" s="26">
        <v>0</v>
      </c>
      <c r="T326" s="52">
        <f>N326*P326</f>
        <v>0</v>
      </c>
      <c r="U326" s="14">
        <f t="shared" si="350"/>
        <v>0</v>
      </c>
      <c r="V326">
        <f t="shared" si="355"/>
        <v>0</v>
      </c>
      <c r="W326" s="6">
        <f t="shared" si="356"/>
        <v>0</v>
      </c>
      <c r="Y326" s="13">
        <f t="shared" si="357"/>
        <v>0</v>
      </c>
      <c r="Z326">
        <f t="shared" si="358"/>
        <v>0</v>
      </c>
      <c r="AA326">
        <f t="shared" si="359"/>
        <v>0</v>
      </c>
      <c r="AB326" s="6">
        <f t="shared" si="360"/>
        <v>0</v>
      </c>
      <c r="AC326" s="14">
        <v>0</v>
      </c>
    </row>
    <row r="327" spans="1:29" s="51" customFormat="1" x14ac:dyDescent="0.3">
      <c r="A327" s="51" t="s">
        <v>151</v>
      </c>
      <c r="B327" s="51">
        <v>2022</v>
      </c>
      <c r="C327" s="51" t="s">
        <v>41</v>
      </c>
      <c r="D327">
        <f>'rockfish harvests'!D326</f>
        <v>10558</v>
      </c>
      <c r="E327" s="51">
        <v>884</v>
      </c>
      <c r="F327" s="51">
        <v>0</v>
      </c>
      <c r="I327" s="71">
        <f t="shared" si="362"/>
        <v>0</v>
      </c>
      <c r="J327" s="51">
        <f t="shared" si="351"/>
        <v>0</v>
      </c>
      <c r="K327" s="51">
        <f t="shared" si="352"/>
        <v>0</v>
      </c>
      <c r="L327" s="78">
        <f t="shared" si="353"/>
        <v>0</v>
      </c>
      <c r="N327" s="2">
        <f>'rockfish harvests'!O326</f>
        <v>4984.0158085410021</v>
      </c>
      <c r="O327">
        <f>'rockfish harvests'!P326</f>
        <v>3116937.6581412847</v>
      </c>
      <c r="P327" s="51">
        <v>0</v>
      </c>
      <c r="Q327" s="51">
        <v>0</v>
      </c>
      <c r="T327" s="52">
        <f>N327*P327</f>
        <v>0</v>
      </c>
      <c r="U327" s="14">
        <f t="shared" si="350"/>
        <v>0</v>
      </c>
      <c r="V327">
        <f t="shared" ref="V327" si="363">SQRT(U327)</f>
        <v>0</v>
      </c>
      <c r="W327" s="6">
        <f t="shared" ref="W327" si="364">(1.96*V327)</f>
        <v>0</v>
      </c>
      <c r="X327"/>
      <c r="Y327" s="13">
        <f t="shared" ref="Y327" si="365">T327+I327</f>
        <v>0</v>
      </c>
      <c r="Z327">
        <f t="shared" ref="Z327" si="366">U327+J327</f>
        <v>0</v>
      </c>
      <c r="AA327">
        <f t="shared" ref="AA327" si="367">SQRT(Z327)</f>
        <v>0</v>
      </c>
      <c r="AB327" s="6">
        <f t="shared" ref="AB327" si="368">(1.96*AA327)</f>
        <v>0</v>
      </c>
      <c r="AC327" s="14">
        <v>0</v>
      </c>
    </row>
    <row r="328" spans="1:29" x14ac:dyDescent="0.3">
      <c r="A328" t="str">
        <f>'rockfish harvests'!A327</f>
        <v>SE</v>
      </c>
      <c r="B328">
        <f>'rockfish harvests'!B327</f>
        <v>1998</v>
      </c>
      <c r="C328" t="str">
        <f>'rockfish harvests'!C327</f>
        <v>SSEI</v>
      </c>
      <c r="D328">
        <f>'rockfish harvests'!D327</f>
        <v>6261</v>
      </c>
      <c r="E328">
        <v>3492</v>
      </c>
      <c r="F328" t="s">
        <v>159</v>
      </c>
      <c r="G328" s="32">
        <v>0.26406052499999999</v>
      </c>
      <c r="H328" s="32">
        <v>2.0028440000000002E-3</v>
      </c>
      <c r="I328" s="13">
        <f>E328*G328</f>
        <v>922.09935329999996</v>
      </c>
      <c r="J328">
        <f t="shared" si="319"/>
        <v>24422.807918016002</v>
      </c>
      <c r="K328">
        <f t="shared" si="320"/>
        <v>156.27798283192678</v>
      </c>
      <c r="L328" s="6">
        <f t="shared" si="321"/>
        <v>306.3048463505765</v>
      </c>
      <c r="N328" s="2">
        <f>'rockfish harvests'!O327</f>
        <v>7422.4767633387146</v>
      </c>
      <c r="O328">
        <f>'rockfish harvests'!P327</f>
        <v>2528282.455604976</v>
      </c>
      <c r="P328" s="32">
        <v>0.22084458100000001</v>
      </c>
      <c r="Q328" s="32">
        <v>1.365163E-3</v>
      </c>
      <c r="T328" s="13">
        <f t="shared" si="349"/>
        <v>1639.2137707817747</v>
      </c>
      <c r="U328" s="14">
        <f t="shared" si="350"/>
        <v>201972.88664602058</v>
      </c>
      <c r="V328">
        <f t="shared" si="322"/>
        <v>449.41393686224347</v>
      </c>
      <c r="W328" s="6">
        <f t="shared" si="323"/>
        <v>880.85131624999724</v>
      </c>
      <c r="Y328" s="13">
        <f t="shared" si="317"/>
        <v>2561.3131240817747</v>
      </c>
      <c r="Z328">
        <f t="shared" si="318"/>
        <v>226395.69456403659</v>
      </c>
      <c r="AA328">
        <f t="shared" si="324"/>
        <v>475.81056583900761</v>
      </c>
      <c r="AB328" s="6">
        <f t="shared" si="325"/>
        <v>932.58870904445484</v>
      </c>
      <c r="AC328" s="14">
        <f t="shared" si="293"/>
        <v>0.18576821450113978</v>
      </c>
    </row>
    <row r="329" spans="1:29" x14ac:dyDescent="0.3">
      <c r="A329" t="str">
        <f>'rockfish harvests'!A328</f>
        <v>SE</v>
      </c>
      <c r="B329">
        <f>'rockfish harvests'!B328</f>
        <v>1999</v>
      </c>
      <c r="C329" t="str">
        <f>'rockfish harvests'!C328</f>
        <v>SSEI</v>
      </c>
      <c r="D329">
        <f>'rockfish harvests'!D328</f>
        <v>7370</v>
      </c>
      <c r="E329">
        <v>3538</v>
      </c>
      <c r="F329" t="s">
        <v>159</v>
      </c>
      <c r="G329" s="32">
        <v>0.26406052499999999</v>
      </c>
      <c r="H329" s="32">
        <v>2.0028440000000002E-3</v>
      </c>
      <c r="I329" s="13">
        <f t="shared" ref="I329:I335" si="369">E329*G329</f>
        <v>934.24613744999999</v>
      </c>
      <c r="J329">
        <f t="shared" si="319"/>
        <v>25070.487610736003</v>
      </c>
      <c r="K329">
        <f t="shared" si="320"/>
        <v>158.33662750840693</v>
      </c>
      <c r="L329" s="6">
        <f t="shared" si="321"/>
        <v>310.33978991647757</v>
      </c>
      <c r="N329" s="2">
        <f>'rockfish harvests'!O328</f>
        <v>8737.2071148069517</v>
      </c>
      <c r="O329">
        <f>'rockfish harvests'!P328</f>
        <v>3503266.3626943887</v>
      </c>
      <c r="P329" s="32">
        <v>0.22084458100000001</v>
      </c>
      <c r="Q329" s="32">
        <v>1.365163E-3</v>
      </c>
      <c r="T329" s="13">
        <f t="shared" si="349"/>
        <v>1929.5648443797602</v>
      </c>
      <c r="U329" s="14">
        <f t="shared" si="350"/>
        <v>279859.87815351982</v>
      </c>
      <c r="V329">
        <f t="shared" si="322"/>
        <v>529.01784294437539</v>
      </c>
      <c r="W329" s="6">
        <f t="shared" si="323"/>
        <v>1036.8749721709758</v>
      </c>
      <c r="Y329" s="13">
        <f t="shared" si="317"/>
        <v>2863.8109818297603</v>
      </c>
      <c r="Z329">
        <f t="shared" si="318"/>
        <v>304930.36576425581</v>
      </c>
      <c r="AA329">
        <f t="shared" si="324"/>
        <v>552.20500338574971</v>
      </c>
      <c r="AB329" s="6">
        <f t="shared" si="325"/>
        <v>1082.3218066360694</v>
      </c>
      <c r="AC329" s="14">
        <f t="shared" ref="AC329:AC374" si="370">AA329/Y329</f>
        <v>0.19282173540410552</v>
      </c>
    </row>
    <row r="330" spans="1:29" x14ac:dyDescent="0.3">
      <c r="A330" t="str">
        <f>'rockfish harvests'!A329</f>
        <v>SE</v>
      </c>
      <c r="B330">
        <f>'rockfish harvests'!B329</f>
        <v>2000</v>
      </c>
      <c r="C330" t="str">
        <f>'rockfish harvests'!C329</f>
        <v>SSEI</v>
      </c>
      <c r="D330">
        <f>'rockfish harvests'!D329</f>
        <v>11989</v>
      </c>
      <c r="E330">
        <v>6877</v>
      </c>
      <c r="F330" t="s">
        <v>159</v>
      </c>
      <c r="G330" s="32">
        <v>0.26406052499999999</v>
      </c>
      <c r="H330" s="32">
        <v>2.0028440000000002E-3</v>
      </c>
      <c r="I330" s="13">
        <f t="shared" si="369"/>
        <v>1815.9442304249999</v>
      </c>
      <c r="J330">
        <f t="shared" si="319"/>
        <v>94720.759658876006</v>
      </c>
      <c r="K330">
        <f t="shared" si="320"/>
        <v>307.7673791337802</v>
      </c>
      <c r="L330" s="6">
        <f t="shared" si="321"/>
        <v>603.22406310220913</v>
      </c>
      <c r="N330" s="2">
        <f>'rockfish harvests'!O329</f>
        <v>14213.076811318933</v>
      </c>
      <c r="O330">
        <f>'rockfish harvests'!P329</f>
        <v>9270520.1843895838</v>
      </c>
      <c r="P330" s="32">
        <v>0.22084458100000001</v>
      </c>
      <c r="Q330" s="32">
        <v>1.365163E-3</v>
      </c>
      <c r="T330" s="13">
        <f t="shared" si="349"/>
        <v>3138.8809931165461</v>
      </c>
      <c r="U330" s="14">
        <f t="shared" si="350"/>
        <v>740579.32815237227</v>
      </c>
      <c r="V330">
        <f t="shared" si="322"/>
        <v>860.56918847491409</v>
      </c>
      <c r="W330" s="6">
        <f t="shared" si="323"/>
        <v>1686.7156094108316</v>
      </c>
      <c r="Y330" s="13">
        <f t="shared" si="317"/>
        <v>4954.8252235415457</v>
      </c>
      <c r="Z330">
        <f t="shared" si="318"/>
        <v>835300.08781124826</v>
      </c>
      <c r="AA330">
        <f t="shared" si="324"/>
        <v>913.94753011934347</v>
      </c>
      <c r="AB330" s="6">
        <f t="shared" si="325"/>
        <v>1791.3371590339132</v>
      </c>
      <c r="AC330" s="14">
        <f t="shared" si="370"/>
        <v>0.18445605826356148</v>
      </c>
    </row>
    <row r="331" spans="1:29" x14ac:dyDescent="0.3">
      <c r="A331" t="str">
        <f>'rockfish harvests'!A330</f>
        <v>SE</v>
      </c>
      <c r="B331">
        <f>'rockfish harvests'!B330</f>
        <v>2001</v>
      </c>
      <c r="C331" t="str">
        <f>'rockfish harvests'!C330</f>
        <v>SSEI</v>
      </c>
      <c r="D331">
        <f>'rockfish harvests'!D330</f>
        <v>9348</v>
      </c>
      <c r="E331">
        <v>4834</v>
      </c>
      <c r="F331" t="s">
        <v>159</v>
      </c>
      <c r="G331" s="32">
        <v>0.26406052499999999</v>
      </c>
      <c r="H331" s="32">
        <v>2.0028440000000002E-3</v>
      </c>
      <c r="I331" s="13">
        <f t="shared" si="369"/>
        <v>1276.46857785</v>
      </c>
      <c r="J331">
        <f t="shared" si="319"/>
        <v>46801.569329264006</v>
      </c>
      <c r="K331">
        <f t="shared" si="320"/>
        <v>216.33670361097768</v>
      </c>
      <c r="L331" s="6">
        <f t="shared" si="321"/>
        <v>424.01993907751626</v>
      </c>
      <c r="N331" s="2">
        <f>'rockfish harvests'!O330</f>
        <v>11082.145469364368</v>
      </c>
      <c r="O331">
        <f>'rockfish harvests'!P330</f>
        <v>5636059.7796220118</v>
      </c>
      <c r="P331" s="32">
        <v>0.22084458100000001</v>
      </c>
      <c r="Q331" s="32">
        <v>1.365163E-3</v>
      </c>
      <c r="T331" s="13">
        <f t="shared" si="349"/>
        <v>2447.4317727628222</v>
      </c>
      <c r="U331" s="14">
        <f t="shared" si="350"/>
        <v>450238.95984256576</v>
      </c>
      <c r="V331">
        <f t="shared" si="322"/>
        <v>670.99847976173965</v>
      </c>
      <c r="W331" s="6">
        <f t="shared" si="323"/>
        <v>1315.1570203330098</v>
      </c>
      <c r="Y331" s="13">
        <f t="shared" si="317"/>
        <v>3723.900350612822</v>
      </c>
      <c r="Z331">
        <f t="shared" si="318"/>
        <v>497040.52917182975</v>
      </c>
      <c r="AA331">
        <f t="shared" si="324"/>
        <v>705.01101351101579</v>
      </c>
      <c r="AB331" s="6">
        <f t="shared" si="325"/>
        <v>1381.8215864815909</v>
      </c>
      <c r="AC331" s="14">
        <f t="shared" si="370"/>
        <v>0.1893205905456079</v>
      </c>
    </row>
    <row r="332" spans="1:29" x14ac:dyDescent="0.3">
      <c r="A332" t="str">
        <f>'rockfish harvests'!A331</f>
        <v>SE</v>
      </c>
      <c r="B332">
        <f>'rockfish harvests'!B331</f>
        <v>2002</v>
      </c>
      <c r="C332" t="str">
        <f>'rockfish harvests'!C331</f>
        <v>SSEI</v>
      </c>
      <c r="D332">
        <f>'rockfish harvests'!D331</f>
        <v>8033</v>
      </c>
      <c r="E332">
        <v>4064</v>
      </c>
      <c r="F332" t="s">
        <v>159</v>
      </c>
      <c r="G332" s="32">
        <v>0.26406052499999999</v>
      </c>
      <c r="H332" s="32">
        <v>2.0028440000000002E-3</v>
      </c>
      <c r="I332" s="13">
        <f t="shared" si="369"/>
        <v>1073.1419736</v>
      </c>
      <c r="J332">
        <f t="shared" si="319"/>
        <v>33079.163777024005</v>
      </c>
      <c r="K332">
        <f t="shared" si="320"/>
        <v>181.87678185250587</v>
      </c>
      <c r="L332" s="6">
        <f t="shared" si="321"/>
        <v>356.4784924309115</v>
      </c>
      <c r="N332" s="2">
        <f>'rockfish harvests'!O331</f>
        <v>9523.200102204104</v>
      </c>
      <c r="O332">
        <f>'rockfish harvests'!P331</f>
        <v>4161919.8980246014</v>
      </c>
      <c r="P332" s="32">
        <v>0.22084458100000001</v>
      </c>
      <c r="Q332" s="32">
        <v>1.365163E-3</v>
      </c>
      <c r="T332" s="13">
        <f t="shared" si="349"/>
        <v>2103.1471363504224</v>
      </c>
      <c r="U332" s="14">
        <f t="shared" si="350"/>
        <v>332476.68745634664</v>
      </c>
      <c r="V332">
        <f t="shared" si="322"/>
        <v>576.60791484018557</v>
      </c>
      <c r="W332" s="6">
        <f t="shared" si="323"/>
        <v>1130.1515130867638</v>
      </c>
      <c r="Y332" s="13">
        <f t="shared" si="317"/>
        <v>3176.2891099504222</v>
      </c>
      <c r="Z332">
        <f t="shared" si="318"/>
        <v>365555.85123337066</v>
      </c>
      <c r="AA332">
        <f t="shared" si="324"/>
        <v>604.61214942587014</v>
      </c>
      <c r="AB332" s="6">
        <f t="shared" si="325"/>
        <v>1185.0398128747054</v>
      </c>
      <c r="AC332" s="14">
        <f t="shared" si="370"/>
        <v>0.19035173704175415</v>
      </c>
    </row>
    <row r="333" spans="1:29" x14ac:dyDescent="0.3">
      <c r="A333" t="str">
        <f>'rockfish harvests'!A332</f>
        <v>SE</v>
      </c>
      <c r="B333">
        <f>'rockfish harvests'!B332</f>
        <v>2003</v>
      </c>
      <c r="C333" t="str">
        <f>'rockfish harvests'!C332</f>
        <v>SSEI</v>
      </c>
      <c r="D333">
        <f>'rockfish harvests'!D332</f>
        <v>11263</v>
      </c>
      <c r="E333">
        <v>5615</v>
      </c>
      <c r="F333" t="s">
        <v>159</v>
      </c>
      <c r="G333" s="32">
        <v>0.26406052499999999</v>
      </c>
      <c r="H333" s="32">
        <v>2.0028440000000002E-3</v>
      </c>
      <c r="I333" s="13">
        <f t="shared" si="369"/>
        <v>1482.6998478749999</v>
      </c>
      <c r="J333">
        <f t="shared" si="319"/>
        <v>63146.116271900006</v>
      </c>
      <c r="K333">
        <f t="shared" si="320"/>
        <v>251.2889099659991</v>
      </c>
      <c r="L333" s="6">
        <f t="shared" si="321"/>
        <v>492.52626353335825</v>
      </c>
      <c r="N333" s="2">
        <f>'rockfish harvests'!O332</f>
        <v>13352.396707472279</v>
      </c>
      <c r="O333">
        <f>'rockfish harvests'!P332</f>
        <v>8181752.760036231</v>
      </c>
      <c r="P333" s="32">
        <v>0.22084458100000001</v>
      </c>
      <c r="Q333" s="32">
        <v>1.365163E-3</v>
      </c>
      <c r="T333" s="13">
        <f t="shared" si="349"/>
        <v>2948.8044562074952</v>
      </c>
      <c r="U333" s="14">
        <f t="shared" si="350"/>
        <v>653602.69344318553</v>
      </c>
      <c r="V333">
        <f t="shared" si="322"/>
        <v>808.4569830505427</v>
      </c>
      <c r="W333" s="6">
        <f t="shared" si="323"/>
        <v>1584.5756867790637</v>
      </c>
      <c r="Y333" s="13">
        <f t="shared" si="317"/>
        <v>4431.5043040824949</v>
      </c>
      <c r="Z333">
        <f t="shared" si="318"/>
        <v>716748.80971508555</v>
      </c>
      <c r="AA333">
        <f t="shared" si="324"/>
        <v>846.61018758049772</v>
      </c>
      <c r="AB333" s="6">
        <f t="shared" si="325"/>
        <v>1659.3559676577754</v>
      </c>
      <c r="AC333" s="14">
        <f t="shared" si="370"/>
        <v>0.19104352145174799</v>
      </c>
    </row>
    <row r="334" spans="1:29" x14ac:dyDescent="0.3">
      <c r="A334" t="str">
        <f>'rockfish harvests'!A333</f>
        <v>SE</v>
      </c>
      <c r="B334">
        <f>'rockfish harvests'!B333</f>
        <v>2004</v>
      </c>
      <c r="C334" t="str">
        <f>'rockfish harvests'!C333</f>
        <v>SSEI</v>
      </c>
      <c r="D334">
        <f>'rockfish harvests'!D333</f>
        <v>13195</v>
      </c>
      <c r="E334">
        <v>7929</v>
      </c>
      <c r="F334" t="s">
        <v>159</v>
      </c>
      <c r="G334" s="32">
        <v>0.26406052499999999</v>
      </c>
      <c r="H334" s="32">
        <v>2.0028440000000002E-3</v>
      </c>
      <c r="I334" s="13">
        <f t="shared" si="369"/>
        <v>2093.735902725</v>
      </c>
      <c r="J334">
        <f t="shared" si="319"/>
        <v>125916.88155260401</v>
      </c>
      <c r="K334">
        <f t="shared" si="320"/>
        <v>354.84768782197807</v>
      </c>
      <c r="L334" s="6">
        <f t="shared" si="321"/>
        <v>695.50146813107699</v>
      </c>
      <c r="N334" s="2">
        <f>'rockfish harvests'!O333</f>
        <v>15642.801611923707</v>
      </c>
      <c r="O334">
        <f>'rockfish harvests'!P333</f>
        <v>11229410.873184105</v>
      </c>
      <c r="P334" s="32">
        <v>0.22084458100000001</v>
      </c>
      <c r="Q334" s="32">
        <v>1.365163E-3</v>
      </c>
      <c r="T334" s="13">
        <f t="shared" si="349"/>
        <v>3454.6279676514159</v>
      </c>
      <c r="U334" s="14">
        <f t="shared" si="350"/>
        <v>897066.11868589674</v>
      </c>
      <c r="V334">
        <f t="shared" si="322"/>
        <v>947.13574459308461</v>
      </c>
      <c r="W334" s="6">
        <f t="shared" si="323"/>
        <v>1856.3860594024459</v>
      </c>
      <c r="Y334" s="13">
        <f t="shared" si="317"/>
        <v>5548.3638703764154</v>
      </c>
      <c r="Z334">
        <f t="shared" si="318"/>
        <v>1022983.0002385008</v>
      </c>
      <c r="AA334">
        <f t="shared" si="324"/>
        <v>1011.4262208577059</v>
      </c>
      <c r="AB334" s="6">
        <f t="shared" si="325"/>
        <v>1982.3953928811034</v>
      </c>
      <c r="AC334" s="14">
        <f t="shared" si="370"/>
        <v>0.18229269825972824</v>
      </c>
    </row>
    <row r="335" spans="1:29" x14ac:dyDescent="0.3">
      <c r="A335" t="str">
        <f>'rockfish harvests'!A334</f>
        <v>SE</v>
      </c>
      <c r="B335">
        <f>'rockfish harvests'!B334</f>
        <v>2005</v>
      </c>
      <c r="C335" t="str">
        <f>'rockfish harvests'!C334</f>
        <v>SSEI</v>
      </c>
      <c r="D335">
        <f>'rockfish harvests'!D334</f>
        <v>15329</v>
      </c>
      <c r="E335">
        <v>9584</v>
      </c>
      <c r="F335" t="s">
        <v>159</v>
      </c>
      <c r="G335" s="32">
        <v>0.26406052499999999</v>
      </c>
      <c r="H335" s="32">
        <v>2.0028440000000002E-3</v>
      </c>
      <c r="I335" s="13">
        <f t="shared" si="369"/>
        <v>2530.7560715999998</v>
      </c>
      <c r="J335">
        <f t="shared" si="319"/>
        <v>183967.342091264</v>
      </c>
      <c r="K335">
        <f t="shared" si="320"/>
        <v>428.91414303012203</v>
      </c>
      <c r="L335" s="6">
        <f t="shared" si="321"/>
        <v>840.67172033903921</v>
      </c>
      <c r="N335" s="2">
        <f>'rockfish harvests'!O334</f>
        <v>18172.679492927513</v>
      </c>
      <c r="O335">
        <f>'rockfish harvests'!P334</f>
        <v>15155345.162562583</v>
      </c>
      <c r="P335" s="32">
        <v>0.22084458100000001</v>
      </c>
      <c r="Q335" s="32">
        <v>1.365163E-3</v>
      </c>
      <c r="T335" s="13">
        <f t="shared" si="349"/>
        <v>4013.3377882628693</v>
      </c>
      <c r="U335" s="14">
        <f t="shared" si="350"/>
        <v>1210690.9984735583</v>
      </c>
      <c r="V335">
        <f t="shared" si="322"/>
        <v>1100.3140453859337</v>
      </c>
      <c r="W335" s="6">
        <f t="shared" si="323"/>
        <v>2156.6155289564299</v>
      </c>
      <c r="Y335" s="13">
        <f t="shared" si="317"/>
        <v>6544.0938598628691</v>
      </c>
      <c r="Z335">
        <f t="shared" si="318"/>
        <v>1394658.3405648223</v>
      </c>
      <c r="AA335">
        <f t="shared" si="324"/>
        <v>1180.9565362725345</v>
      </c>
      <c r="AB335" s="6">
        <f t="shared" si="325"/>
        <v>2314.6748110941676</v>
      </c>
      <c r="AC335" s="14">
        <f t="shared" si="370"/>
        <v>0.18046143004087067</v>
      </c>
    </row>
    <row r="336" spans="1:29" x14ac:dyDescent="0.3">
      <c r="A336" t="str">
        <f>'rockfish harvests'!A335</f>
        <v>SE</v>
      </c>
      <c r="B336">
        <f>'rockfish harvests'!B335</f>
        <v>2006</v>
      </c>
      <c r="C336" t="str">
        <f>'rockfish harvests'!C335</f>
        <v>SSEI</v>
      </c>
      <c r="D336">
        <f>'rockfish harvests'!D335</f>
        <v>17714</v>
      </c>
      <c r="E336">
        <v>11388</v>
      </c>
      <c r="F336">
        <v>4211</v>
      </c>
      <c r="I336" s="13">
        <f>F336</f>
        <v>4211</v>
      </c>
      <c r="J336">
        <f t="shared" si="319"/>
        <v>0</v>
      </c>
      <c r="K336">
        <f t="shared" si="320"/>
        <v>0</v>
      </c>
      <c r="L336" s="6">
        <f t="shared" si="321"/>
        <v>0</v>
      </c>
      <c r="N336" s="2">
        <f>'rockfish harvests'!O335</f>
        <v>21000.120329944417</v>
      </c>
      <c r="O336">
        <f>'rockfish harvests'!P335</f>
        <v>20238180.459821593</v>
      </c>
      <c r="P336">
        <f>IF([2]species_comp_Region1_forR!$D252&gt;49,[2]species_comp_Region1_forR!$J252,[2]species_comp_Region1_forR!$L252)</f>
        <v>0.246519247</v>
      </c>
      <c r="Q336">
        <f>IF([2]species_comp_Region1_forR!$D252&gt;49,[2]species_comp_Region1_forR!$K252,[2]species_comp_Region1_forR!$M252)</f>
        <v>1.5225199999999999E-4</v>
      </c>
      <c r="T336" s="13">
        <f t="shared" si="349"/>
        <v>5176.9338506472895</v>
      </c>
      <c r="U336" s="14">
        <f t="shared" si="350"/>
        <v>1300134.6285153185</v>
      </c>
      <c r="V336">
        <f t="shared" si="322"/>
        <v>1140.234462080198</v>
      </c>
      <c r="W336" s="6">
        <f t="shared" si="323"/>
        <v>2234.8595456771882</v>
      </c>
      <c r="Y336" s="13">
        <f t="shared" si="317"/>
        <v>9387.9338506472886</v>
      </c>
      <c r="Z336">
        <f t="shared" si="318"/>
        <v>1300134.6285153185</v>
      </c>
      <c r="AA336">
        <f t="shared" si="324"/>
        <v>1140.234462080198</v>
      </c>
      <c r="AB336" s="6">
        <f t="shared" si="325"/>
        <v>2234.8595456771882</v>
      </c>
      <c r="AC336" s="14">
        <f t="shared" si="370"/>
        <v>0.12145744529309609</v>
      </c>
    </row>
    <row r="337" spans="1:29" x14ac:dyDescent="0.3">
      <c r="A337" t="str">
        <f>'rockfish harvests'!A336</f>
        <v>SE</v>
      </c>
      <c r="B337">
        <f>'rockfish harvests'!B336</f>
        <v>2007</v>
      </c>
      <c r="C337" t="str">
        <f>'rockfish harvests'!C336</f>
        <v>SSEI</v>
      </c>
      <c r="D337">
        <f>'rockfish harvests'!D336</f>
        <v>20368</v>
      </c>
      <c r="E337">
        <v>12015</v>
      </c>
      <c r="F337">
        <v>3637</v>
      </c>
      <c r="I337" s="13">
        <f t="shared" ref="I337:I348" si="371">F337</f>
        <v>3637</v>
      </c>
      <c r="J337">
        <f t="shared" si="319"/>
        <v>0</v>
      </c>
      <c r="K337">
        <f t="shared" si="320"/>
        <v>0</v>
      </c>
      <c r="L337" s="6">
        <f t="shared" si="321"/>
        <v>0</v>
      </c>
      <c r="N337" s="2">
        <f>'rockfish harvests'!O336</f>
        <v>24146.463299102848</v>
      </c>
      <c r="O337">
        <f>'rockfish harvests'!P336</f>
        <v>26756848.278906163</v>
      </c>
      <c r="P337">
        <f>IF([2]species_comp_Region1_forR!$D253&gt;49,[2]species_comp_Region1_forR!$J253,[2]species_comp_Region1_forR!$L253)</f>
        <v>0.233815211</v>
      </c>
      <c r="Q337">
        <f>IF([2]species_comp_Region1_forR!$D253&gt;49,[2]species_comp_Region1_forR!$K253,[2]species_comp_Region1_forR!$M253)</f>
        <v>1.1267E-4</v>
      </c>
      <c r="T337" s="13">
        <f t="shared" si="349"/>
        <v>5645.8104111834882</v>
      </c>
      <c r="U337" s="14">
        <f t="shared" si="350"/>
        <v>1531492.0602780068</v>
      </c>
      <c r="V337">
        <f t="shared" si="322"/>
        <v>1237.5346703337273</v>
      </c>
      <c r="W337" s="6">
        <f t="shared" si="323"/>
        <v>2425.5679538541053</v>
      </c>
      <c r="Y337" s="13">
        <f t="shared" si="317"/>
        <v>9282.8104111834873</v>
      </c>
      <c r="Z337">
        <f t="shared" si="318"/>
        <v>1531492.0602780068</v>
      </c>
      <c r="AA337">
        <f t="shared" si="324"/>
        <v>1237.5346703337273</v>
      </c>
      <c r="AB337" s="6">
        <f t="shared" si="325"/>
        <v>2425.5679538541053</v>
      </c>
      <c r="AC337" s="14">
        <f t="shared" si="370"/>
        <v>0.1333146553163258</v>
      </c>
    </row>
    <row r="338" spans="1:29" x14ac:dyDescent="0.3">
      <c r="A338" t="str">
        <f>'rockfish harvests'!A337</f>
        <v>SE</v>
      </c>
      <c r="B338">
        <f>'rockfish harvests'!B337</f>
        <v>2008</v>
      </c>
      <c r="C338" t="str">
        <f>'rockfish harvests'!C337</f>
        <v>SSEI</v>
      </c>
      <c r="D338">
        <f>'rockfish harvests'!D337</f>
        <v>18756</v>
      </c>
      <c r="E338">
        <v>10550</v>
      </c>
      <c r="F338">
        <v>3569</v>
      </c>
      <c r="I338" s="13">
        <f t="shared" si="371"/>
        <v>3569</v>
      </c>
      <c r="J338">
        <f t="shared" si="319"/>
        <v>0</v>
      </c>
      <c r="K338">
        <f t="shared" si="320"/>
        <v>0</v>
      </c>
      <c r="L338" s="6">
        <f t="shared" si="321"/>
        <v>0</v>
      </c>
      <c r="N338" s="2">
        <f>'rockfish harvests'!O337</f>
        <v>22235.421525823498</v>
      </c>
      <c r="O338">
        <f>'rockfish harvests'!P337</f>
        <v>22689171.172948774</v>
      </c>
      <c r="P338">
        <f>IF([2]species_comp_Region1_forR!$D254&gt;49,[2]species_comp_Region1_forR!$J254,[2]species_comp_Region1_forR!$L254)</f>
        <v>0.20532003300000001</v>
      </c>
      <c r="Q338">
        <f>IF([2]species_comp_Region1_forR!$D254&gt;49,[2]species_comp_Region1_forR!$K254,[2]species_comp_Region1_forR!$M254)</f>
        <v>1.3574400000000001E-4</v>
      </c>
      <c r="T338" s="13">
        <f t="shared" si="349"/>
        <v>4565.3774814509916</v>
      </c>
      <c r="U338" s="14">
        <f t="shared" si="350"/>
        <v>1026685.5174897911</v>
      </c>
      <c r="V338">
        <f t="shared" si="322"/>
        <v>1013.2549123936144</v>
      </c>
      <c r="W338" s="6">
        <f t="shared" si="323"/>
        <v>1985.9796282914842</v>
      </c>
      <c r="Y338" s="13">
        <f t="shared" si="317"/>
        <v>8134.3774814509916</v>
      </c>
      <c r="Z338">
        <f t="shared" si="318"/>
        <v>1026685.5174897911</v>
      </c>
      <c r="AA338">
        <f t="shared" si="324"/>
        <v>1013.2549123936144</v>
      </c>
      <c r="AB338" s="6">
        <f t="shared" si="325"/>
        <v>1985.9796282914842</v>
      </c>
      <c r="AC338" s="14">
        <f t="shared" si="370"/>
        <v>0.12456453056231567</v>
      </c>
    </row>
    <row r="339" spans="1:29" x14ac:dyDescent="0.3">
      <c r="A339" t="str">
        <f>'rockfish harvests'!A338</f>
        <v>SE</v>
      </c>
      <c r="B339">
        <f>'rockfish harvests'!B338</f>
        <v>2009</v>
      </c>
      <c r="C339" t="str">
        <f>'rockfish harvests'!C338</f>
        <v>SSEI</v>
      </c>
      <c r="D339">
        <f>'rockfish harvests'!D338</f>
        <v>14837</v>
      </c>
      <c r="E339">
        <v>8319</v>
      </c>
      <c r="F339">
        <v>2902</v>
      </c>
      <c r="I339" s="13">
        <f t="shared" si="371"/>
        <v>2902</v>
      </c>
      <c r="J339">
        <f t="shared" si="319"/>
        <v>0</v>
      </c>
      <c r="K339">
        <f t="shared" si="320"/>
        <v>0</v>
      </c>
      <c r="L339" s="6">
        <f t="shared" si="321"/>
        <v>0</v>
      </c>
      <c r="N339" s="2">
        <f>'rockfish harvests'!O338</f>
        <v>17589.408678750442</v>
      </c>
      <c r="O339">
        <f>'rockfish harvests'!P338</f>
        <v>14198104.777272861</v>
      </c>
      <c r="P339">
        <f>IF([2]species_comp_Region1_forR!$D255&gt;49,[2]species_comp_Region1_forR!$J255,[2]species_comp_Region1_forR!$L255)</f>
        <v>0.20845341000000001</v>
      </c>
      <c r="Q339">
        <f>IF([2]species_comp_Region1_forR!$D255&gt;49,[2]species_comp_Region1_forR!$K255,[2]species_comp_Region1_forR!$M255)</f>
        <v>1.5865399999999999E-4</v>
      </c>
      <c r="T339" s="13">
        <f t="shared" si="349"/>
        <v>3666.5722189691242</v>
      </c>
      <c r="U339" s="14">
        <f t="shared" si="350"/>
        <v>668285.86845661781</v>
      </c>
      <c r="V339">
        <f t="shared" si="322"/>
        <v>817.48753412918643</v>
      </c>
      <c r="W339" s="6">
        <f t="shared" si="323"/>
        <v>1602.2755668932055</v>
      </c>
      <c r="Y339" s="13">
        <f t="shared" si="317"/>
        <v>6568.5722189691242</v>
      </c>
      <c r="Z339">
        <f t="shared" si="318"/>
        <v>668285.86845661781</v>
      </c>
      <c r="AA339">
        <f t="shared" si="324"/>
        <v>817.48753412918643</v>
      </c>
      <c r="AB339" s="6">
        <f t="shared" si="325"/>
        <v>1602.2755668932055</v>
      </c>
      <c r="AC339" s="14">
        <f t="shared" si="370"/>
        <v>0.12445437256035581</v>
      </c>
    </row>
    <row r="340" spans="1:29" x14ac:dyDescent="0.3">
      <c r="A340" t="str">
        <f>'rockfish harvests'!A339</f>
        <v>SE</v>
      </c>
      <c r="B340">
        <f>'rockfish harvests'!B339</f>
        <v>2010</v>
      </c>
      <c r="C340" t="str">
        <f>'rockfish harvests'!C339</f>
        <v>SSEI</v>
      </c>
      <c r="D340">
        <f>'rockfish harvests'!D339</f>
        <v>20015</v>
      </c>
      <c r="E340">
        <v>11058</v>
      </c>
      <c r="F340">
        <v>3159</v>
      </c>
      <c r="I340" s="13">
        <f t="shared" si="371"/>
        <v>3159</v>
      </c>
      <c r="J340">
        <f t="shared" si="319"/>
        <v>0</v>
      </c>
      <c r="K340">
        <f t="shared" si="320"/>
        <v>0</v>
      </c>
      <c r="L340" s="6">
        <f t="shared" si="321"/>
        <v>0</v>
      </c>
      <c r="N340" s="2">
        <f>'rockfish harvests'!O339</f>
        <v>23727.978345028649</v>
      </c>
      <c r="O340">
        <f>'rockfish harvests'!P339</f>
        <v>25837433.526771665</v>
      </c>
      <c r="P340">
        <f>IF([2]species_comp_Region1_forR!$D256&gt;49,[2]species_comp_Region1_forR!$J256,[2]species_comp_Region1_forR!$L256)</f>
        <v>0.28021486099999998</v>
      </c>
      <c r="Q340">
        <f>IF([2]species_comp_Region1_forR!$D256&gt;49,[2]species_comp_Region1_forR!$K256,[2]species_comp_Region1_forR!$M256)</f>
        <v>1.8073000000000001E-4</v>
      </c>
      <c r="T340" s="13">
        <f t="shared" si="349"/>
        <v>6648.9321537632122</v>
      </c>
      <c r="U340" s="14">
        <f t="shared" si="350"/>
        <v>2135188.4509822661</v>
      </c>
      <c r="V340">
        <f t="shared" si="322"/>
        <v>1461.2284047958642</v>
      </c>
      <c r="W340" s="6">
        <f t="shared" si="323"/>
        <v>2864.007673399894</v>
      </c>
      <c r="Y340" s="13">
        <f t="shared" si="317"/>
        <v>9807.9321537632131</v>
      </c>
      <c r="Z340">
        <f t="shared" si="318"/>
        <v>2135188.4509822661</v>
      </c>
      <c r="AA340">
        <f t="shared" si="324"/>
        <v>1461.2284047958642</v>
      </c>
      <c r="AB340" s="6">
        <f t="shared" si="325"/>
        <v>2864.007673399894</v>
      </c>
      <c r="AC340" s="14">
        <f t="shared" si="370"/>
        <v>0.14898435081804723</v>
      </c>
    </row>
    <row r="341" spans="1:29" x14ac:dyDescent="0.3">
      <c r="A341" t="str">
        <f>'rockfish harvests'!A340</f>
        <v>SE</v>
      </c>
      <c r="B341">
        <f>'rockfish harvests'!B340</f>
        <v>2011</v>
      </c>
      <c r="C341" t="str">
        <f>'rockfish harvests'!C340</f>
        <v>SSEI</v>
      </c>
      <c r="D341">
        <f>'rockfish harvests'!D340</f>
        <v>17328</v>
      </c>
      <c r="E341">
        <v>8097</v>
      </c>
      <c r="F341">
        <v>2407</v>
      </c>
      <c r="I341" s="13">
        <f t="shared" si="371"/>
        <v>2407</v>
      </c>
      <c r="J341">
        <f t="shared" si="319"/>
        <v>0</v>
      </c>
      <c r="K341">
        <f t="shared" si="320"/>
        <v>0</v>
      </c>
      <c r="L341" s="6">
        <f t="shared" si="321"/>
        <v>0</v>
      </c>
      <c r="N341" s="2">
        <f>'rockfish harvests'!O340</f>
        <v>26057.656259472569</v>
      </c>
      <c r="O341">
        <f>'rockfish harvests'!P340</f>
        <v>22721971.694568597</v>
      </c>
      <c r="P341">
        <f>IF([2]species_comp_Region1_forR!$D257&gt;49,[2]species_comp_Region1_forR!$J257,[2]species_comp_Region1_forR!$L257)</f>
        <v>0.27513639899999998</v>
      </c>
      <c r="Q341">
        <f>IF([2]species_comp_Region1_forR!$D257&gt;49,[2]species_comp_Region1_forR!$K257,[2]species_comp_Region1_forR!$M257)</f>
        <v>1.5556700000000001E-4</v>
      </c>
      <c r="T341" s="13">
        <f t="shared" si="349"/>
        <v>7169.4097096110918</v>
      </c>
      <c r="U341" s="14">
        <f t="shared" si="350"/>
        <v>1829219.1294581862</v>
      </c>
      <c r="V341">
        <f t="shared" si="322"/>
        <v>1352.486276994405</v>
      </c>
      <c r="W341" s="6">
        <f t="shared" si="323"/>
        <v>2650.8731029090336</v>
      </c>
      <c r="Y341" s="13">
        <f t="shared" si="317"/>
        <v>9576.4097096110927</v>
      </c>
      <c r="Z341">
        <f t="shared" si="318"/>
        <v>1829219.1294581862</v>
      </c>
      <c r="AA341">
        <f t="shared" si="324"/>
        <v>1352.486276994405</v>
      </c>
      <c r="AB341" s="6">
        <f t="shared" si="325"/>
        <v>2650.8731029090336</v>
      </c>
      <c r="AC341" s="14">
        <f t="shared" si="370"/>
        <v>0.14123103731004955</v>
      </c>
    </row>
    <row r="342" spans="1:29" x14ac:dyDescent="0.3">
      <c r="A342" t="str">
        <f>'rockfish harvests'!A341</f>
        <v>SE</v>
      </c>
      <c r="B342">
        <f>'rockfish harvests'!B341</f>
        <v>2012</v>
      </c>
      <c r="C342" t="str">
        <f>'rockfish harvests'!C341</f>
        <v>SSEI</v>
      </c>
      <c r="D342">
        <f>'rockfish harvests'!D341</f>
        <v>20908</v>
      </c>
      <c r="E342">
        <v>11877</v>
      </c>
      <c r="F342">
        <v>3147</v>
      </c>
      <c r="I342" s="13">
        <f t="shared" si="371"/>
        <v>3147</v>
      </c>
      <c r="J342">
        <f t="shared" si="319"/>
        <v>0</v>
      </c>
      <c r="K342">
        <f t="shared" si="320"/>
        <v>0</v>
      </c>
      <c r="L342" s="6">
        <f t="shared" si="321"/>
        <v>0</v>
      </c>
      <c r="N342" s="2">
        <f>'rockfish harvests'!O341</f>
        <v>30342.239687848378</v>
      </c>
      <c r="O342">
        <f>'rockfish harvests'!P341</f>
        <v>23087012.957423236</v>
      </c>
      <c r="P342">
        <f>IF([2]species_comp_Region1_forR!$D258&gt;49,[2]species_comp_Region1_forR!$J258,[2]species_comp_Region1_forR!$L258)</f>
        <v>0.26649528700000003</v>
      </c>
      <c r="Q342">
        <f>IF([2]species_comp_Region1_forR!$D258&gt;49,[2]species_comp_Region1_forR!$K258,[2]species_comp_Region1_forR!$M258)</f>
        <v>1.67646E-4</v>
      </c>
      <c r="T342" s="13">
        <f t="shared" si="349"/>
        <v>8086.0638738359448</v>
      </c>
      <c r="U342" s="14">
        <f t="shared" si="350"/>
        <v>1797847.5995802479</v>
      </c>
      <c r="V342">
        <f t="shared" si="322"/>
        <v>1340.8383942818195</v>
      </c>
      <c r="W342" s="6">
        <f t="shared" si="323"/>
        <v>2628.0432527923663</v>
      </c>
      <c r="Y342" s="13">
        <f t="shared" si="317"/>
        <v>11233.063873835945</v>
      </c>
      <c r="Z342">
        <f t="shared" si="318"/>
        <v>1797847.5995802479</v>
      </c>
      <c r="AA342">
        <f t="shared" si="324"/>
        <v>1340.8383942818195</v>
      </c>
      <c r="AB342" s="6">
        <f t="shared" si="325"/>
        <v>2628.0432527923663</v>
      </c>
      <c r="AC342" s="14">
        <f t="shared" si="370"/>
        <v>0.11936533160867185</v>
      </c>
    </row>
    <row r="343" spans="1:29" x14ac:dyDescent="0.3">
      <c r="A343" t="str">
        <f>'rockfish harvests'!A342</f>
        <v>SE</v>
      </c>
      <c r="B343">
        <f>'rockfish harvests'!B342</f>
        <v>2013</v>
      </c>
      <c r="C343" t="str">
        <f>'rockfish harvests'!C342</f>
        <v>SSEI</v>
      </c>
      <c r="D343">
        <f>'rockfish harvests'!D342</f>
        <v>24779</v>
      </c>
      <c r="E343">
        <v>13572</v>
      </c>
      <c r="F343">
        <v>3164</v>
      </c>
      <c r="I343" s="13">
        <f t="shared" si="371"/>
        <v>3164</v>
      </c>
      <c r="J343">
        <f t="shared" si="319"/>
        <v>0</v>
      </c>
      <c r="K343">
        <f t="shared" si="320"/>
        <v>0</v>
      </c>
      <c r="L343" s="6">
        <f t="shared" si="321"/>
        <v>0</v>
      </c>
      <c r="N343" s="2">
        <f>'rockfish harvests'!O342</f>
        <v>34267.842065821518</v>
      </c>
      <c r="O343">
        <f>'rockfish harvests'!P342</f>
        <v>37595985.131994449</v>
      </c>
      <c r="P343">
        <f>IF([2]species_comp_Region1_forR!$D259&gt;49,[2]species_comp_Region1_forR!$J259,[2]species_comp_Region1_forR!$L259)</f>
        <v>0.187141948</v>
      </c>
      <c r="Q343">
        <f>IF([2]species_comp_Region1_forR!$D259&gt;49,[2]species_comp_Region1_forR!$K259,[2]species_comp_Region1_forR!$M259)</f>
        <v>9.6891600000000006E-5</v>
      </c>
      <c r="T343" s="13">
        <f t="shared" si="349"/>
        <v>6412.9507179541833</v>
      </c>
      <c r="U343" s="14">
        <f t="shared" si="350"/>
        <v>1434111.7656670096</v>
      </c>
      <c r="V343">
        <f t="shared" si="322"/>
        <v>1197.5440558355294</v>
      </c>
      <c r="W343" s="6">
        <f t="shared" si="323"/>
        <v>2347.1863494376375</v>
      </c>
      <c r="Y343" s="13">
        <f t="shared" si="317"/>
        <v>9576.9507179541833</v>
      </c>
      <c r="Z343">
        <f t="shared" si="318"/>
        <v>1434111.7656670096</v>
      </c>
      <c r="AA343">
        <f t="shared" si="324"/>
        <v>1197.5440558355294</v>
      </c>
      <c r="AB343" s="6">
        <f t="shared" si="325"/>
        <v>2347.1863494376375</v>
      </c>
      <c r="AC343" s="14">
        <f t="shared" si="370"/>
        <v>0.12504439994563815</v>
      </c>
    </row>
    <row r="344" spans="1:29" x14ac:dyDescent="0.3">
      <c r="A344" t="str">
        <f>'rockfish harvests'!A343</f>
        <v>SE</v>
      </c>
      <c r="B344">
        <f>'rockfish harvests'!B343</f>
        <v>2014</v>
      </c>
      <c r="C344" t="str">
        <f>'rockfish harvests'!C343</f>
        <v>SSEI</v>
      </c>
      <c r="D344">
        <f>'rockfish harvests'!D343</f>
        <v>25686</v>
      </c>
      <c r="E344">
        <v>15018</v>
      </c>
      <c r="F344">
        <v>2923</v>
      </c>
      <c r="I344" s="13">
        <f t="shared" si="371"/>
        <v>2923</v>
      </c>
      <c r="J344">
        <f t="shared" si="319"/>
        <v>0</v>
      </c>
      <c r="K344">
        <f t="shared" si="320"/>
        <v>0</v>
      </c>
      <c r="L344" s="6">
        <f t="shared" si="321"/>
        <v>0</v>
      </c>
      <c r="N344" s="2">
        <f>'rockfish harvests'!O343</f>
        <v>33152.073336968373</v>
      </c>
      <c r="O344">
        <f>'rockfish harvests'!P343</f>
        <v>19566076.633357268</v>
      </c>
      <c r="P344">
        <f>IF([2]species_comp_Region1_forR!$D260&gt;49,[2]species_comp_Region1_forR!$J260,[2]species_comp_Region1_forR!$L260)</f>
        <v>0.16776149600000001</v>
      </c>
      <c r="Q344">
        <f>IF([2]species_comp_Region1_forR!$D260&gt;49,[2]species_comp_Region1_forR!$K260,[2]species_comp_Region1_forR!$M260)</f>
        <v>7.0585200000000003E-5</v>
      </c>
      <c r="T344" s="13">
        <f t="shared" si="349"/>
        <v>5561.6414185115264</v>
      </c>
      <c r="U344" s="14">
        <f t="shared" si="350"/>
        <v>629624.52946835384</v>
      </c>
      <c r="V344">
        <f t="shared" si="322"/>
        <v>793.4888338649472</v>
      </c>
      <c r="W344" s="6">
        <f t="shared" si="323"/>
        <v>1555.2381143752964</v>
      </c>
      <c r="Y344" s="13">
        <f t="shared" si="317"/>
        <v>8484.6414185115264</v>
      </c>
      <c r="Z344">
        <f t="shared" si="318"/>
        <v>629624.52946835384</v>
      </c>
      <c r="AA344">
        <f t="shared" si="324"/>
        <v>793.4888338649472</v>
      </c>
      <c r="AB344" s="6">
        <f t="shared" si="325"/>
        <v>1555.2381143752964</v>
      </c>
      <c r="AC344" s="14">
        <f t="shared" si="370"/>
        <v>9.3520609148400546E-2</v>
      </c>
    </row>
    <row r="345" spans="1:29" x14ac:dyDescent="0.3">
      <c r="A345" t="str">
        <f>'rockfish harvests'!A344</f>
        <v>SE</v>
      </c>
      <c r="B345">
        <f>'rockfish harvests'!B344</f>
        <v>2015</v>
      </c>
      <c r="C345" t="str">
        <f>'rockfish harvests'!C344</f>
        <v>SSEI</v>
      </c>
      <c r="D345">
        <f>'rockfish harvests'!D344</f>
        <v>29160</v>
      </c>
      <c r="E345">
        <v>17942</v>
      </c>
      <c r="F345">
        <v>4271</v>
      </c>
      <c r="I345" s="13">
        <f t="shared" si="371"/>
        <v>4271</v>
      </c>
      <c r="J345">
        <f t="shared" si="319"/>
        <v>0</v>
      </c>
      <c r="K345">
        <f t="shared" si="320"/>
        <v>0</v>
      </c>
      <c r="L345" s="6">
        <f t="shared" si="321"/>
        <v>0</v>
      </c>
      <c r="N345" s="2">
        <f>'rockfish harvests'!O344</f>
        <v>31796.645359656926</v>
      </c>
      <c r="O345">
        <f>'rockfish harvests'!P344</f>
        <v>18451721.940392502</v>
      </c>
      <c r="P345">
        <f>IF([2]species_comp_Region1_forR!$D261&gt;49,[2]species_comp_Region1_forR!$J261,[2]species_comp_Region1_forR!$L261)</f>
        <v>0.17763157900000001</v>
      </c>
      <c r="Q345">
        <f>IF([2]species_comp_Region1_forR!$D261&gt;49,[2]species_comp_Region1_forR!$K261,[2]species_comp_Region1_forR!$M261)</f>
        <v>7.3963799999999998E-5</v>
      </c>
      <c r="T345" s="13">
        <f t="shared" si="349"/>
        <v>5648.0883221388831</v>
      </c>
      <c r="U345" s="14">
        <f t="shared" si="350"/>
        <v>658350.90668755048</v>
      </c>
      <c r="V345">
        <f t="shared" si="322"/>
        <v>811.38825890417615</v>
      </c>
      <c r="W345" s="6">
        <f t="shared" si="323"/>
        <v>1590.3209874521851</v>
      </c>
      <c r="Y345" s="13">
        <f t="shared" si="317"/>
        <v>9919.0883221388831</v>
      </c>
      <c r="Z345">
        <f t="shared" si="318"/>
        <v>658350.90668755048</v>
      </c>
      <c r="AA345">
        <f t="shared" si="324"/>
        <v>811.38825890417615</v>
      </c>
      <c r="AB345" s="6">
        <f t="shared" si="325"/>
        <v>1590.3209874521851</v>
      </c>
      <c r="AC345" s="14">
        <f t="shared" si="370"/>
        <v>8.18006889900557E-2</v>
      </c>
    </row>
    <row r="346" spans="1:29" x14ac:dyDescent="0.3">
      <c r="A346" t="str">
        <f>'rockfish harvests'!A345</f>
        <v>SE</v>
      </c>
      <c r="B346">
        <f>'rockfish harvests'!B345</f>
        <v>2016</v>
      </c>
      <c r="C346" t="str">
        <f>'rockfish harvests'!C345</f>
        <v>SSEI</v>
      </c>
      <c r="D346">
        <f>'rockfish harvests'!D345</f>
        <v>32540</v>
      </c>
      <c r="E346">
        <v>19167</v>
      </c>
      <c r="F346">
        <v>4529</v>
      </c>
      <c r="I346" s="13">
        <f t="shared" si="371"/>
        <v>4529</v>
      </c>
      <c r="J346">
        <f t="shared" si="319"/>
        <v>0</v>
      </c>
      <c r="K346">
        <f t="shared" si="320"/>
        <v>0</v>
      </c>
      <c r="L346" s="6">
        <f t="shared" si="321"/>
        <v>0</v>
      </c>
      <c r="N346" s="2">
        <f>'rockfish harvests'!O345</f>
        <v>33865.532446281708</v>
      </c>
      <c r="O346">
        <f>'rockfish harvests'!P345</f>
        <v>23923054.468410891</v>
      </c>
      <c r="P346">
        <f>IF([2]species_comp_Region1_forR!$D262&gt;49,[2]species_comp_Region1_forR!$J262,[2]species_comp_Region1_forR!$L262)</f>
        <v>0.17826740099999999</v>
      </c>
      <c r="Q346">
        <f>IF([2]species_comp_Region1_forR!$D262&gt;49,[2]species_comp_Region1_forR!$K262,[2]species_comp_Region1_forR!$M262)</f>
        <v>7.3390800000000002E-5</v>
      </c>
      <c r="T346" s="13">
        <f t="shared" si="349"/>
        <v>6037.1204526798119</v>
      </c>
      <c r="U346" s="14">
        <f t="shared" si="350"/>
        <v>846182.8712793435</v>
      </c>
      <c r="V346">
        <f t="shared" si="322"/>
        <v>919.88198769154269</v>
      </c>
      <c r="W346" s="6">
        <f t="shared" si="323"/>
        <v>1802.9686958754237</v>
      </c>
      <c r="Y346" s="13">
        <f t="shared" si="317"/>
        <v>10566.120452679812</v>
      </c>
      <c r="Z346">
        <f t="shared" si="318"/>
        <v>846182.8712793435</v>
      </c>
      <c r="AA346">
        <f t="shared" si="324"/>
        <v>919.88198769154269</v>
      </c>
      <c r="AB346" s="6">
        <f t="shared" si="325"/>
        <v>1802.9686958754237</v>
      </c>
      <c r="AC346" s="14">
        <f t="shared" si="370"/>
        <v>8.7059577998492288E-2</v>
      </c>
    </row>
    <row r="347" spans="1:29" x14ac:dyDescent="0.3">
      <c r="A347" t="str">
        <f>'rockfish harvests'!A346</f>
        <v>SE</v>
      </c>
      <c r="B347">
        <f>'rockfish harvests'!B346</f>
        <v>2017</v>
      </c>
      <c r="C347" t="str">
        <f>'rockfish harvests'!C346</f>
        <v>SSEI</v>
      </c>
      <c r="D347">
        <f>'rockfish harvests'!D346</f>
        <v>30249</v>
      </c>
      <c r="E347">
        <v>13768</v>
      </c>
      <c r="F347">
        <v>3574</v>
      </c>
      <c r="I347" s="13">
        <f t="shared" si="371"/>
        <v>3574</v>
      </c>
      <c r="J347">
        <f t="shared" si="319"/>
        <v>0</v>
      </c>
      <c r="K347">
        <f t="shared" si="320"/>
        <v>0</v>
      </c>
      <c r="L347" s="6">
        <f t="shared" si="321"/>
        <v>0</v>
      </c>
      <c r="N347" s="2">
        <f>'rockfish harvests'!O346</f>
        <v>32660.834871736792</v>
      </c>
      <c r="O347">
        <f>'rockfish harvests'!P346</f>
        <v>21220862.426665116</v>
      </c>
      <c r="P347">
        <f>IF([2]species_comp_Region1_forR!$D263&gt;49,[2]species_comp_Region1_forR!$J263,[2]species_comp_Region1_forR!$L263)</f>
        <v>0.228940217</v>
      </c>
      <c r="Q347">
        <f>IF([2]species_comp_Region1_forR!$D263&gt;49,[2]species_comp_Region1_forR!$K263,[2]species_comp_Region1_forR!$M263)</f>
        <v>1.20004E-4</v>
      </c>
      <c r="T347" s="13">
        <f t="shared" si="349"/>
        <v>7477.3786229365887</v>
      </c>
      <c r="U347" s="14">
        <f t="shared" si="350"/>
        <v>1242820.7535548569</v>
      </c>
      <c r="V347">
        <f t="shared" si="322"/>
        <v>1114.8187088288646</v>
      </c>
      <c r="W347" s="6">
        <f t="shared" si="323"/>
        <v>2185.0446693045747</v>
      </c>
      <c r="Y347" s="13">
        <f t="shared" si="317"/>
        <v>11051.378622936589</v>
      </c>
      <c r="Z347">
        <f t="shared" si="318"/>
        <v>1242820.7535548569</v>
      </c>
      <c r="AA347">
        <f t="shared" si="324"/>
        <v>1114.8187088288646</v>
      </c>
      <c r="AB347" s="6">
        <f t="shared" si="325"/>
        <v>2185.0446693045747</v>
      </c>
      <c r="AC347" s="14">
        <f t="shared" si="370"/>
        <v>0.10087598541915066</v>
      </c>
    </row>
    <row r="348" spans="1:29" x14ac:dyDescent="0.3">
      <c r="A348" t="str">
        <f>'rockfish harvests'!A347</f>
        <v>SE</v>
      </c>
      <c r="B348">
        <f>'rockfish harvests'!B347</f>
        <v>2018</v>
      </c>
      <c r="C348" t="str">
        <f>'rockfish harvests'!C347</f>
        <v>SSEI</v>
      </c>
      <c r="D348">
        <f>'rockfish harvests'!D347</f>
        <v>42049</v>
      </c>
      <c r="E348">
        <v>16630</v>
      </c>
      <c r="F348">
        <v>3678</v>
      </c>
      <c r="I348" s="13">
        <f t="shared" si="371"/>
        <v>3678</v>
      </c>
      <c r="J348">
        <f t="shared" si="319"/>
        <v>0</v>
      </c>
      <c r="K348">
        <f t="shared" si="320"/>
        <v>0</v>
      </c>
      <c r="L348" s="6">
        <f t="shared" si="321"/>
        <v>0</v>
      </c>
      <c r="N348" s="2">
        <f>'rockfish harvests'!O347</f>
        <v>34725.8595505618</v>
      </c>
      <c r="O348">
        <f>'rockfish harvests'!P347</f>
        <v>18537755.684375577</v>
      </c>
      <c r="P348">
        <f>IF([2]species_comp_Region1_forR!$D264&gt;49,[2]species_comp_Region1_forR!$J264,[2]species_comp_Region1_forR!$L264)</f>
        <v>0.21062160499999999</v>
      </c>
      <c r="Q348">
        <f>IF([2]species_comp_Region1_forR!$D264&gt;49,[2]species_comp_Region1_forR!$K264,[2]species_comp_Region1_forR!$M264)</f>
        <v>1.00399E-4</v>
      </c>
      <c r="T348" s="13">
        <f t="shared" si="349"/>
        <v>7314.0162735439044</v>
      </c>
      <c r="U348" s="14">
        <f t="shared" si="350"/>
        <v>945292.76894593984</v>
      </c>
      <c r="V348">
        <f t="shared" si="322"/>
        <v>972.26167719700845</v>
      </c>
      <c r="W348" s="6">
        <f t="shared" si="323"/>
        <v>1905.6328873061366</v>
      </c>
      <c r="Y348" s="13">
        <f t="shared" si="317"/>
        <v>10992.016273543904</v>
      </c>
      <c r="Z348">
        <f t="shared" si="318"/>
        <v>945292.76894593984</v>
      </c>
      <c r="AA348">
        <f t="shared" si="324"/>
        <v>972.26167719700845</v>
      </c>
      <c r="AB348" s="6">
        <f t="shared" si="325"/>
        <v>1905.6328873061366</v>
      </c>
      <c r="AC348" s="14">
        <f t="shared" si="370"/>
        <v>8.8451622796182808E-2</v>
      </c>
    </row>
    <row r="349" spans="1:29" x14ac:dyDescent="0.3">
      <c r="A349" t="str">
        <f>'rockfish harvests'!A348</f>
        <v>SE</v>
      </c>
      <c r="B349">
        <f>'rockfish harvests'!B348</f>
        <v>2019</v>
      </c>
      <c r="C349" t="str">
        <f>'rockfish harvests'!C348</f>
        <v>SSEI</v>
      </c>
      <c r="D349">
        <f>'rockfish harvests'!D348</f>
        <v>35867</v>
      </c>
      <c r="E349">
        <v>14851</v>
      </c>
      <c r="F349">
        <v>3091</v>
      </c>
      <c r="I349" s="13">
        <f>F349</f>
        <v>3091</v>
      </c>
      <c r="J349">
        <f>(E349^2)*H349</f>
        <v>0</v>
      </c>
      <c r="K349">
        <f>SQRT(J349)</f>
        <v>0</v>
      </c>
      <c r="L349" s="6">
        <f>(1.96*K349)</f>
        <v>0</v>
      </c>
      <c r="N349" s="2">
        <f>'rockfish harvests'!O348</f>
        <v>69950.34860446323</v>
      </c>
      <c r="O349">
        <f>'rockfish harvests'!P348</f>
        <v>111154603.32156514</v>
      </c>
      <c r="P349">
        <v>0.19235225955967555</v>
      </c>
      <c r="Q349">
        <v>1.8022374454984078E-4</v>
      </c>
      <c r="T349" s="13">
        <f>N349*P349</f>
        <v>13455.1076110555</v>
      </c>
      <c r="U349" s="14">
        <f t="shared" si="350"/>
        <v>5014529.434935513</v>
      </c>
      <c r="V349">
        <f>SQRT(U349)</f>
        <v>2239.314501122054</v>
      </c>
      <c r="W349" s="6">
        <f>(1.96*V349)</f>
        <v>4389.0564221992254</v>
      </c>
      <c r="Y349" s="13">
        <f>T349+I349</f>
        <v>16546.1076110555</v>
      </c>
      <c r="Z349">
        <f>U349+J349</f>
        <v>5014529.434935513</v>
      </c>
      <c r="AA349">
        <f>SQRT(Z349)</f>
        <v>2239.314501122054</v>
      </c>
      <c r="AB349" s="6">
        <f>(1.96*AA349)</f>
        <v>4389.0564221992254</v>
      </c>
      <c r="AC349" s="14">
        <f t="shared" si="370"/>
        <v>0.13533784221407011</v>
      </c>
    </row>
    <row r="350" spans="1:29" x14ac:dyDescent="0.3">
      <c r="A350" t="str">
        <f>'rockfish harvests'!A349</f>
        <v>SE</v>
      </c>
      <c r="B350">
        <f>'rockfish harvests'!B349</f>
        <v>2020</v>
      </c>
      <c r="C350" t="str">
        <f>'rockfish harvests'!C349</f>
        <v>SSEI</v>
      </c>
      <c r="D350">
        <f>'rockfish harvests'!D349</f>
        <v>11107</v>
      </c>
      <c r="E350">
        <v>325</v>
      </c>
      <c r="F350">
        <v>8</v>
      </c>
      <c r="I350" s="13">
        <f t="shared" ref="I350:I352" si="372">F350</f>
        <v>8</v>
      </c>
      <c r="J350">
        <f t="shared" ref="J350:J352" si="373">(E350^2)*H350</f>
        <v>0</v>
      </c>
      <c r="K350">
        <f t="shared" ref="K350:K352" si="374">SQRT(J350)</f>
        <v>0</v>
      </c>
      <c r="L350" s="6">
        <f t="shared" ref="L350:L352" si="375">(1.96*K350)</f>
        <v>0</v>
      </c>
      <c r="N350" s="2">
        <f>'rockfish harvests'!O349</f>
        <v>15196.649154865238</v>
      </c>
      <c r="O350">
        <f>'rockfish harvests'!P349</f>
        <v>6640608.2621304234</v>
      </c>
      <c r="P350" t="s">
        <v>313</v>
      </c>
      <c r="Q350" t="s">
        <v>314</v>
      </c>
      <c r="T350" s="13">
        <f t="shared" ref="T350:T351" si="376">N350*P350</f>
        <v>156.20637897805707</v>
      </c>
      <c r="U350" s="14">
        <f t="shared" si="350"/>
        <v>4256.0006114777416</v>
      </c>
      <c r="V350">
        <f t="shared" ref="V350:V351" si="377">SQRT(U350)</f>
        <v>65.238030407713424</v>
      </c>
      <c r="W350" s="6">
        <f t="shared" ref="W350:W351" si="378">(1.96*V350)</f>
        <v>127.86653959911831</v>
      </c>
      <c r="Y350" s="13">
        <f t="shared" ref="Y350:Y351" si="379">T350+I350</f>
        <v>164.20637897805707</v>
      </c>
      <c r="Z350">
        <f t="shared" ref="Z350:Z351" si="380">U350+J350</f>
        <v>4256.0006114777416</v>
      </c>
      <c r="AA350">
        <f t="shared" ref="AA350:AA351" si="381">SQRT(Z350)</f>
        <v>65.238030407713424</v>
      </c>
      <c r="AB350" s="6">
        <f t="shared" ref="AB350:AB351" si="382">(1.96*AA350)</f>
        <v>127.86653959911831</v>
      </c>
      <c r="AC350" s="14">
        <f t="shared" ref="AC350:AC351" si="383">AA350/Y350</f>
        <v>0.39729291160138908</v>
      </c>
    </row>
    <row r="351" spans="1:29" x14ac:dyDescent="0.3">
      <c r="A351" t="str">
        <f>'rockfish harvests'!A350</f>
        <v>SE</v>
      </c>
      <c r="B351">
        <f>'rockfish harvests'!B350</f>
        <v>2021</v>
      </c>
      <c r="C351" t="str">
        <f>'rockfish harvests'!C350</f>
        <v>SSEI</v>
      </c>
      <c r="D351">
        <f>'rockfish harvests'!D350</f>
        <v>28388</v>
      </c>
      <c r="E351">
        <v>1254</v>
      </c>
      <c r="F351">
        <v>6</v>
      </c>
      <c r="I351" s="13">
        <f t="shared" si="372"/>
        <v>6</v>
      </c>
      <c r="J351">
        <f t="shared" si="373"/>
        <v>0</v>
      </c>
      <c r="K351">
        <f t="shared" si="374"/>
        <v>0</v>
      </c>
      <c r="L351" s="6">
        <f t="shared" si="375"/>
        <v>0</v>
      </c>
      <c r="N351" s="2">
        <f>'rockfish harvests'!O350</f>
        <v>14186.636497865038</v>
      </c>
      <c r="O351">
        <f>'rockfish harvests'!P350</f>
        <v>6428956.9149598647</v>
      </c>
      <c r="P351" t="s">
        <v>315</v>
      </c>
      <c r="Q351" t="s">
        <v>316</v>
      </c>
      <c r="T351" s="13">
        <f t="shared" si="376"/>
        <v>141.86636497865038</v>
      </c>
      <c r="U351" s="14">
        <f t="shared" si="350"/>
        <v>3584.4223855895716</v>
      </c>
      <c r="V351">
        <f t="shared" si="377"/>
        <v>59.87004581248933</v>
      </c>
      <c r="W351" s="6">
        <f t="shared" si="378"/>
        <v>117.34528979247908</v>
      </c>
      <c r="Y351" s="13">
        <f t="shared" si="379"/>
        <v>147.86636497865038</v>
      </c>
      <c r="Z351">
        <f t="shared" si="380"/>
        <v>3584.4223855895716</v>
      </c>
      <c r="AA351">
        <f t="shared" si="381"/>
        <v>59.87004581248933</v>
      </c>
      <c r="AB351" s="6">
        <f t="shared" si="382"/>
        <v>117.34528979247908</v>
      </c>
      <c r="AC351" s="14">
        <f t="shared" si="383"/>
        <v>0.4048929303234961</v>
      </c>
    </row>
    <row r="352" spans="1:29" s="51" customFormat="1" x14ac:dyDescent="0.3">
      <c r="A352" s="51" t="s">
        <v>151</v>
      </c>
      <c r="B352" s="51">
        <v>2022</v>
      </c>
      <c r="C352" s="51" t="s">
        <v>39</v>
      </c>
      <c r="D352">
        <f>'rockfish harvests'!D351</f>
        <v>33837</v>
      </c>
      <c r="E352" s="51">
        <v>3983</v>
      </c>
      <c r="F352" s="51">
        <v>34</v>
      </c>
      <c r="I352" s="71">
        <f t="shared" si="372"/>
        <v>34</v>
      </c>
      <c r="J352" s="51">
        <f t="shared" si="373"/>
        <v>0</v>
      </c>
      <c r="K352" s="51">
        <f t="shared" si="374"/>
        <v>0</v>
      </c>
      <c r="L352" s="78">
        <f t="shared" si="375"/>
        <v>0</v>
      </c>
      <c r="N352" s="2">
        <f>'rockfish harvests'!O351</f>
        <v>25305.766593391003</v>
      </c>
      <c r="O352">
        <f>'rockfish harvests'!P351</f>
        <v>17493065.751002964</v>
      </c>
      <c r="P352" t="s">
        <v>212</v>
      </c>
      <c r="Q352" t="s">
        <v>213</v>
      </c>
      <c r="T352" s="13">
        <f t="shared" ref="T352" si="384">N352*P352</f>
        <v>583.28894630156515</v>
      </c>
      <c r="U352" s="14">
        <f t="shared" si="350"/>
        <v>35606.901886990832</v>
      </c>
      <c r="V352">
        <f t="shared" ref="V352" si="385">SQRT(U352)</f>
        <v>188.69791171868022</v>
      </c>
      <c r="W352" s="6">
        <f t="shared" ref="W352" si="386">(1.96*V352)</f>
        <v>369.84790696861324</v>
      </c>
      <c r="X352"/>
      <c r="Y352" s="13">
        <f t="shared" ref="Y352" si="387">T352+I352</f>
        <v>617.28894630156515</v>
      </c>
      <c r="Z352">
        <f t="shared" ref="Z352" si="388">U352+J352</f>
        <v>35606.901886990832</v>
      </c>
      <c r="AA352">
        <f t="shared" ref="AA352" si="389">SQRT(Z352)</f>
        <v>188.69791171868022</v>
      </c>
      <c r="AB352" s="6">
        <f t="shared" ref="AB352" si="390">(1.96*AA352)</f>
        <v>369.84790696861324</v>
      </c>
      <c r="AC352" s="14">
        <f t="shared" ref="AC352" si="391">AA352/Y352</f>
        <v>0.30568814304751107</v>
      </c>
    </row>
    <row r="353" spans="1:29" x14ac:dyDescent="0.3">
      <c r="A353" t="str">
        <f>'rockfish harvests'!A352</f>
        <v>SE</v>
      </c>
      <c r="B353">
        <f>'rockfish harvests'!B352</f>
        <v>1998</v>
      </c>
      <c r="C353" t="str">
        <f>'rockfish harvests'!C352</f>
        <v>SSEO</v>
      </c>
      <c r="D353">
        <f>'rockfish harvests'!D352</f>
        <v>3185</v>
      </c>
      <c r="E353">
        <v>1723</v>
      </c>
      <c r="F353" t="s">
        <v>159</v>
      </c>
      <c r="G353" s="32">
        <v>0.357901688</v>
      </c>
      <c r="H353" s="32">
        <v>1.1641748E-2</v>
      </c>
      <c r="I353" s="13">
        <f t="shared" ref="I353:I360" si="392">E353*G353</f>
        <v>616.66460842399999</v>
      </c>
      <c r="J353">
        <f t="shared" si="319"/>
        <v>34561.194898292</v>
      </c>
      <c r="K353">
        <f t="shared" si="320"/>
        <v>185.90641435488988</v>
      </c>
      <c r="L353" s="6">
        <f t="shared" si="321"/>
        <v>364.37657213558413</v>
      </c>
      <c r="N353" s="2">
        <f>'rockfish harvests'!O352</f>
        <v>1543.4215757484271</v>
      </c>
      <c r="O353">
        <f>'rockfish harvests'!P352</f>
        <v>277633.92962977174</v>
      </c>
      <c r="P353" s="32">
        <v>0.14601389000000001</v>
      </c>
      <c r="Q353" s="32">
        <v>1.586648E-3</v>
      </c>
      <c r="T353" s="13">
        <f t="shared" si="349"/>
        <v>225.36098818495751</v>
      </c>
      <c r="U353" s="14">
        <f t="shared" si="350"/>
        <v>10139.312054468845</v>
      </c>
      <c r="V353">
        <f t="shared" si="322"/>
        <v>100.6941510439849</v>
      </c>
      <c r="W353" s="6">
        <f t="shared" si="323"/>
        <v>197.3605360462104</v>
      </c>
      <c r="Y353" s="13">
        <f t="shared" si="317"/>
        <v>842.02559660895747</v>
      </c>
      <c r="Z353">
        <f t="shared" si="318"/>
        <v>44700.506952760843</v>
      </c>
      <c r="AA353">
        <f t="shared" si="324"/>
        <v>211.42494401740029</v>
      </c>
      <c r="AB353" s="6">
        <f t="shared" si="325"/>
        <v>414.39289027410456</v>
      </c>
      <c r="AC353" s="14">
        <f t="shared" si="370"/>
        <v>0.25109087522856804</v>
      </c>
    </row>
    <row r="354" spans="1:29" x14ac:dyDescent="0.3">
      <c r="A354" t="str">
        <f>'rockfish harvests'!A353</f>
        <v>SE</v>
      </c>
      <c r="B354">
        <f>'rockfish harvests'!B353</f>
        <v>1999</v>
      </c>
      <c r="C354" t="str">
        <f>'rockfish harvests'!C353</f>
        <v>SSEO</v>
      </c>
      <c r="D354">
        <f>'rockfish harvests'!D353</f>
        <v>4616</v>
      </c>
      <c r="E354">
        <v>3048</v>
      </c>
      <c r="F354" t="s">
        <v>159</v>
      </c>
      <c r="G354" s="32">
        <v>0.357901688</v>
      </c>
      <c r="H354" s="32">
        <v>1.1641748E-2</v>
      </c>
      <c r="I354" s="13">
        <f t="shared" si="392"/>
        <v>1090.8843450239999</v>
      </c>
      <c r="J354">
        <f t="shared" si="319"/>
        <v>108155.37801139201</v>
      </c>
      <c r="K354">
        <f t="shared" si="320"/>
        <v>328.86984965392008</v>
      </c>
      <c r="L354" s="6">
        <f t="shared" si="321"/>
        <v>644.58490532168332</v>
      </c>
      <c r="N354" s="2">
        <f>'rockfish harvests'!O353</f>
        <v>2236.8709556215817</v>
      </c>
      <c r="O354">
        <f>'rockfish harvests'!P353</f>
        <v>583156.69651387446</v>
      </c>
      <c r="P354" s="32">
        <v>0.14601389000000001</v>
      </c>
      <c r="Q354" s="32">
        <v>1.586648E-3</v>
      </c>
      <c r="T354" s="13">
        <f t="shared" si="349"/>
        <v>326.61422965832452</v>
      </c>
      <c r="U354" s="14">
        <f t="shared" si="350"/>
        <v>21297.136594551528</v>
      </c>
      <c r="V354">
        <f t="shared" si="322"/>
        <v>145.93538499812692</v>
      </c>
      <c r="W354" s="6">
        <f t="shared" si="323"/>
        <v>286.03335459632876</v>
      </c>
      <c r="Y354" s="13">
        <f t="shared" si="317"/>
        <v>1417.4985746823245</v>
      </c>
      <c r="Z354">
        <f t="shared" si="318"/>
        <v>129452.51460594354</v>
      </c>
      <c r="AA354">
        <f t="shared" si="324"/>
        <v>359.79510086428849</v>
      </c>
      <c r="AB354" s="6">
        <f t="shared" si="325"/>
        <v>705.19839769400539</v>
      </c>
      <c r="AC354" s="14">
        <f t="shared" si="370"/>
        <v>0.25382395953725889</v>
      </c>
    </row>
    <row r="355" spans="1:29" x14ac:dyDescent="0.3">
      <c r="A355" t="str">
        <f>'rockfish harvests'!A354</f>
        <v>SE</v>
      </c>
      <c r="B355">
        <f>'rockfish harvests'!B354</f>
        <v>2000</v>
      </c>
      <c r="C355" t="str">
        <f>'rockfish harvests'!C354</f>
        <v>SSEO</v>
      </c>
      <c r="D355">
        <f>'rockfish harvests'!D354</f>
        <v>6910</v>
      </c>
      <c r="E355">
        <v>4760</v>
      </c>
      <c r="F355" t="s">
        <v>159</v>
      </c>
      <c r="G355" s="32">
        <v>0.357901688</v>
      </c>
      <c r="H355" s="32">
        <v>1.1641748E-2</v>
      </c>
      <c r="I355" s="13">
        <f t="shared" si="392"/>
        <v>1703.61203488</v>
      </c>
      <c r="J355">
        <f t="shared" si="319"/>
        <v>263774.06948479998</v>
      </c>
      <c r="K355">
        <f t="shared" si="320"/>
        <v>513.58939775349722</v>
      </c>
      <c r="L355" s="6">
        <f t="shared" si="321"/>
        <v>1006.6352195968545</v>
      </c>
      <c r="N355" s="2">
        <f>'rockfish harvests'!O354</f>
        <v>3348.5221627697429</v>
      </c>
      <c r="O355">
        <f>'rockfish harvests'!P354</f>
        <v>1306801.9129460659</v>
      </c>
      <c r="P355" s="32">
        <v>0.14601389000000001</v>
      </c>
      <c r="Q355" s="32">
        <v>1.586648E-3</v>
      </c>
      <c r="T355" s="13">
        <f t="shared" ref="T355:T372" si="393">N355*P355</f>
        <v>488.93074673722333</v>
      </c>
      <c r="U355" s="14">
        <f t="shared" si="350"/>
        <v>47724.975136886627</v>
      </c>
      <c r="V355">
        <f t="shared" si="322"/>
        <v>218.4604658442498</v>
      </c>
      <c r="W355" s="6">
        <f t="shared" si="323"/>
        <v>428.18251305472961</v>
      </c>
      <c r="Y355" s="13">
        <f t="shared" si="317"/>
        <v>2192.5427816172232</v>
      </c>
      <c r="Z355">
        <f t="shared" si="318"/>
        <v>311499.04462168663</v>
      </c>
      <c r="AA355">
        <f t="shared" si="324"/>
        <v>558.12099460751938</v>
      </c>
      <c r="AB355" s="6">
        <f t="shared" si="325"/>
        <v>1093.9171494307379</v>
      </c>
      <c r="AC355" s="14">
        <f t="shared" si="370"/>
        <v>0.25455420951733876</v>
      </c>
    </row>
    <row r="356" spans="1:29" x14ac:dyDescent="0.3">
      <c r="A356" t="str">
        <f>'rockfish harvests'!A355</f>
        <v>SE</v>
      </c>
      <c r="B356">
        <f>'rockfish harvests'!B355</f>
        <v>2001</v>
      </c>
      <c r="C356" t="str">
        <f>'rockfish harvests'!C355</f>
        <v>SSEO</v>
      </c>
      <c r="D356">
        <f>'rockfish harvests'!D355</f>
        <v>5756</v>
      </c>
      <c r="E356">
        <v>3877</v>
      </c>
      <c r="F356" t="s">
        <v>159</v>
      </c>
      <c r="G356" s="32">
        <v>0.357901688</v>
      </c>
      <c r="H356" s="32">
        <v>1.1641748E-2</v>
      </c>
      <c r="I356" s="13">
        <f t="shared" si="392"/>
        <v>1387.5848443760001</v>
      </c>
      <c r="J356">
        <f t="shared" si="319"/>
        <v>174988.61597349201</v>
      </c>
      <c r="K356">
        <f t="shared" si="320"/>
        <v>418.31640653157751</v>
      </c>
      <c r="L356" s="6">
        <f t="shared" si="321"/>
        <v>819.90015680189197</v>
      </c>
      <c r="N356" s="2">
        <f>'rockfish harvests'!O355</f>
        <v>2789.304423864347</v>
      </c>
      <c r="O356">
        <f>'rockfish harvests'!P355</f>
        <v>906766.02050430153</v>
      </c>
      <c r="P356" s="32">
        <v>0.14601389000000001</v>
      </c>
      <c r="Q356" s="32">
        <v>1.586648E-3</v>
      </c>
      <c r="T356" s="13">
        <f t="shared" si="393"/>
        <v>407.27718932264213</v>
      </c>
      <c r="U356" s="14">
        <f t="shared" si="350"/>
        <v>33115.490079120718</v>
      </c>
      <c r="V356">
        <f t="shared" si="322"/>
        <v>181.97661959471804</v>
      </c>
      <c r="W356" s="6">
        <f t="shared" si="323"/>
        <v>356.67417440564736</v>
      </c>
      <c r="Y356" s="13">
        <f t="shared" si="317"/>
        <v>1794.8620336986423</v>
      </c>
      <c r="Z356">
        <f t="shared" si="318"/>
        <v>208104.10605261271</v>
      </c>
      <c r="AA356">
        <f t="shared" si="324"/>
        <v>456.18428957233141</v>
      </c>
      <c r="AB356" s="6">
        <f t="shared" si="325"/>
        <v>894.12120756176955</v>
      </c>
      <c r="AC356" s="14">
        <f t="shared" si="370"/>
        <v>0.25416120069812831</v>
      </c>
    </row>
    <row r="357" spans="1:29" x14ac:dyDescent="0.3">
      <c r="A357" t="str">
        <f>'rockfish harvests'!A356</f>
        <v>SE</v>
      </c>
      <c r="B357">
        <f>'rockfish harvests'!B356</f>
        <v>2002</v>
      </c>
      <c r="C357" t="str">
        <f>'rockfish harvests'!C356</f>
        <v>SSEO</v>
      </c>
      <c r="D357">
        <f>'rockfish harvests'!D356</f>
        <v>7617</v>
      </c>
      <c r="E357">
        <v>4125</v>
      </c>
      <c r="F357" t="s">
        <v>159</v>
      </c>
      <c r="G357" s="32">
        <v>0.357901688</v>
      </c>
      <c r="H357" s="32">
        <v>1.1641748E-2</v>
      </c>
      <c r="I357" s="13">
        <f t="shared" si="392"/>
        <v>1476.3444629999999</v>
      </c>
      <c r="J357">
        <f t="shared" si="319"/>
        <v>198091.61831250001</v>
      </c>
      <c r="K357">
        <f t="shared" si="320"/>
        <v>445.0748457422639</v>
      </c>
      <c r="L357" s="6">
        <f t="shared" si="321"/>
        <v>872.34669765483727</v>
      </c>
      <c r="N357" s="2">
        <f>'rockfish harvests'!O356</f>
        <v>3691.1278312325794</v>
      </c>
      <c r="O357">
        <f>'rockfish harvests'!P356</f>
        <v>1587894.256982432</v>
      </c>
      <c r="P357" s="32">
        <v>0.14601389000000001</v>
      </c>
      <c r="Q357" s="32">
        <v>1.586648E-3</v>
      </c>
      <c r="T357" s="13">
        <f t="shared" si="393"/>
        <v>538.9559331255324</v>
      </c>
      <c r="U357" s="14">
        <f t="shared" si="350"/>
        <v>57990.589992057423</v>
      </c>
      <c r="V357">
        <f t="shared" si="322"/>
        <v>240.81235431774971</v>
      </c>
      <c r="W357" s="6">
        <f t="shared" si="323"/>
        <v>471.99221446278943</v>
      </c>
      <c r="Y357" s="13">
        <f t="shared" si="317"/>
        <v>2015.3003961255322</v>
      </c>
      <c r="Z357">
        <f t="shared" si="318"/>
        <v>256082.20830455743</v>
      </c>
      <c r="AA357">
        <f t="shared" si="324"/>
        <v>506.04565832003482</v>
      </c>
      <c r="AB357" s="6">
        <f t="shared" si="325"/>
        <v>991.84949030726818</v>
      </c>
      <c r="AC357" s="14">
        <f t="shared" si="370"/>
        <v>0.25110185027151327</v>
      </c>
    </row>
    <row r="358" spans="1:29" x14ac:dyDescent="0.3">
      <c r="A358" t="str">
        <f>'rockfish harvests'!A357</f>
        <v>SE</v>
      </c>
      <c r="B358">
        <f>'rockfish harvests'!B357</f>
        <v>2003</v>
      </c>
      <c r="C358" t="str">
        <f>'rockfish harvests'!C357</f>
        <v>SSEO</v>
      </c>
      <c r="D358">
        <f>'rockfish harvests'!D357</f>
        <v>6896</v>
      </c>
      <c r="E358">
        <v>4090</v>
      </c>
      <c r="F358" t="s">
        <v>159</v>
      </c>
      <c r="G358" s="32">
        <v>0.357901688</v>
      </c>
      <c r="H358" s="32">
        <v>1.1641748E-2</v>
      </c>
      <c r="I358" s="13">
        <f t="shared" si="392"/>
        <v>1463.8179039199999</v>
      </c>
      <c r="J358">
        <f t="shared" si="319"/>
        <v>194744.3247188</v>
      </c>
      <c r="K358">
        <f t="shared" si="320"/>
        <v>441.29845311172346</v>
      </c>
      <c r="L358" s="6">
        <f t="shared" si="321"/>
        <v>864.94496809897794</v>
      </c>
      <c r="N358" s="2">
        <f>'rockfish harvests'!O357</f>
        <v>3341.7378921071122</v>
      </c>
      <c r="O358">
        <f>'rockfish harvests'!P357</f>
        <v>1301511.9872539048</v>
      </c>
      <c r="P358" s="32">
        <v>0.14601389000000001</v>
      </c>
      <c r="Q358" s="32">
        <v>1.586648E-3</v>
      </c>
      <c r="T358" s="13">
        <f t="shared" si="393"/>
        <v>487.9401489869598</v>
      </c>
      <c r="U358" s="14">
        <f t="shared" si="350"/>
        <v>47531.784746182951</v>
      </c>
      <c r="V358">
        <f t="shared" si="322"/>
        <v>218.0178541913092</v>
      </c>
      <c r="W358" s="6">
        <f t="shared" si="323"/>
        <v>427.31499421496602</v>
      </c>
      <c r="Y358" s="13">
        <f t="shared" si="317"/>
        <v>1951.7580529069596</v>
      </c>
      <c r="Z358">
        <f t="shared" si="318"/>
        <v>242276.10946498293</v>
      </c>
      <c r="AA358">
        <f t="shared" si="324"/>
        <v>492.21551119909145</v>
      </c>
      <c r="AB358" s="6">
        <f t="shared" si="325"/>
        <v>964.74240195021923</v>
      </c>
      <c r="AC358" s="14">
        <f t="shared" si="370"/>
        <v>0.25219084428317479</v>
      </c>
    </row>
    <row r="359" spans="1:29" x14ac:dyDescent="0.3">
      <c r="A359" t="str">
        <f>'rockfish harvests'!A358</f>
        <v>SE</v>
      </c>
      <c r="B359">
        <f>'rockfish harvests'!B358</f>
        <v>2004</v>
      </c>
      <c r="C359" t="str">
        <f>'rockfish harvests'!C358</f>
        <v>SSEO</v>
      </c>
      <c r="D359">
        <f>'rockfish harvests'!D358</f>
        <v>10061</v>
      </c>
      <c r="E359">
        <v>5918</v>
      </c>
      <c r="F359" t="s">
        <v>159</v>
      </c>
      <c r="G359" s="32">
        <v>0.357901688</v>
      </c>
      <c r="H359" s="32">
        <v>1.1641748E-2</v>
      </c>
      <c r="I359" s="13">
        <f t="shared" si="392"/>
        <v>2118.062189584</v>
      </c>
      <c r="J359">
        <f t="shared" si="319"/>
        <v>407725.72708155203</v>
      </c>
      <c r="K359">
        <f t="shared" si="320"/>
        <v>638.53404535823461</v>
      </c>
      <c r="L359" s="6">
        <f t="shared" si="321"/>
        <v>1251.5267289021399</v>
      </c>
      <c r="N359" s="2">
        <f>'rockfish harvests'!O358</f>
        <v>4875.4676526232088</v>
      </c>
      <c r="O359">
        <f>'rockfish harvests'!P358</f>
        <v>2770358.4485732173</v>
      </c>
      <c r="P359" s="32">
        <v>0.14601389000000001</v>
      </c>
      <c r="Q359" s="32">
        <v>1.586648E-3</v>
      </c>
      <c r="T359" s="13">
        <f t="shared" si="393"/>
        <v>711.88599752868345</v>
      </c>
      <c r="U359" s="14">
        <f t="shared" si="350"/>
        <v>101174.69738038053</v>
      </c>
      <c r="V359">
        <f t="shared" si="322"/>
        <v>318.07970287395034</v>
      </c>
      <c r="W359" s="6">
        <f t="shared" si="323"/>
        <v>623.43621763294266</v>
      </c>
      <c r="Y359" s="13">
        <f t="shared" si="317"/>
        <v>2829.9481871126836</v>
      </c>
      <c r="Z359">
        <f t="shared" si="318"/>
        <v>508900.42446193256</v>
      </c>
      <c r="AA359">
        <f t="shared" si="324"/>
        <v>713.37257058421619</v>
      </c>
      <c r="AB359" s="6">
        <f t="shared" si="325"/>
        <v>1398.2102383450638</v>
      </c>
      <c r="AC359" s="14">
        <f t="shared" si="370"/>
        <v>0.25207972846741417</v>
      </c>
    </row>
    <row r="360" spans="1:29" x14ac:dyDescent="0.3">
      <c r="A360" t="str">
        <f>'rockfish harvests'!A359</f>
        <v>SE</v>
      </c>
      <c r="B360">
        <f>'rockfish harvests'!B359</f>
        <v>2005</v>
      </c>
      <c r="C360" t="str">
        <f>'rockfish harvests'!C359</f>
        <v>SSEO</v>
      </c>
      <c r="D360">
        <f>'rockfish harvests'!D359</f>
        <v>12666</v>
      </c>
      <c r="E360">
        <v>7243</v>
      </c>
      <c r="F360" t="s">
        <v>159</v>
      </c>
      <c r="G360" s="32">
        <v>0.357901688</v>
      </c>
      <c r="H360" s="32">
        <v>1.1641748E-2</v>
      </c>
      <c r="I360" s="13">
        <f t="shared" si="392"/>
        <v>2592.281926184</v>
      </c>
      <c r="J360">
        <f t="shared" si="319"/>
        <v>610738.31227365206</v>
      </c>
      <c r="K360">
        <f t="shared" si="320"/>
        <v>781.49748065726487</v>
      </c>
      <c r="L360" s="6">
        <f t="shared" si="321"/>
        <v>1531.7350620882391</v>
      </c>
      <c r="N360" s="2">
        <f>'rockfish harvests'!O359</f>
        <v>6137.826586634088</v>
      </c>
      <c r="O360">
        <f>'rockfish harvests'!P359</f>
        <v>4390688.5733686173</v>
      </c>
      <c r="P360" s="32">
        <v>0.14601389000000001</v>
      </c>
      <c r="Q360" s="32">
        <v>1.586648E-3</v>
      </c>
      <c r="T360" s="13">
        <f t="shared" si="393"/>
        <v>896.20793605986523</v>
      </c>
      <c r="U360" s="14">
        <f t="shared" si="350"/>
        <v>160349.85939485519</v>
      </c>
      <c r="V360">
        <f t="shared" si="322"/>
        <v>400.43708543896781</v>
      </c>
      <c r="W360" s="6">
        <f t="shared" si="323"/>
        <v>784.85668746037686</v>
      </c>
      <c r="Y360" s="13">
        <f t="shared" ref="Y360:Y372" si="394">T360+I360</f>
        <v>3488.489862243865</v>
      </c>
      <c r="Z360">
        <f t="shared" ref="Z360:Z373" si="395">U360+J360</f>
        <v>771088.17166850728</v>
      </c>
      <c r="AA360">
        <f t="shared" si="324"/>
        <v>878.11626318415676</v>
      </c>
      <c r="AB360" s="6">
        <f t="shared" si="325"/>
        <v>1721.1078758409471</v>
      </c>
      <c r="AC360" s="14">
        <f t="shared" si="370"/>
        <v>0.25171816397922259</v>
      </c>
    </row>
    <row r="361" spans="1:29" x14ac:dyDescent="0.3">
      <c r="A361" t="str">
        <f>'rockfish harvests'!A360</f>
        <v>SE</v>
      </c>
      <c r="B361">
        <f>'rockfish harvests'!B360</f>
        <v>2006</v>
      </c>
      <c r="C361" t="str">
        <f>'rockfish harvests'!C360</f>
        <v>SSEO</v>
      </c>
      <c r="D361">
        <f>'rockfish harvests'!D360</f>
        <v>12007</v>
      </c>
      <c r="E361">
        <v>7233</v>
      </c>
      <c r="F361">
        <v>4257</v>
      </c>
      <c r="I361" s="13">
        <f>F361</f>
        <v>4257</v>
      </c>
      <c r="J361">
        <f t="shared" ref="J361:J373" si="396">(E361^2)*H361</f>
        <v>0</v>
      </c>
      <c r="K361">
        <f t="shared" ref="K361:K373" si="397">SQRT(J361)</f>
        <v>0</v>
      </c>
      <c r="L361" s="6">
        <f t="shared" ref="L361:L373" si="398">(1.96*K361)</f>
        <v>0</v>
      </c>
      <c r="N361" s="2">
        <f>'rockfish harvests'!O360</f>
        <v>5818.4812747288415</v>
      </c>
      <c r="O361">
        <f>'rockfish harvests'!P360</f>
        <v>3945687.5188521035</v>
      </c>
      <c r="P361">
        <f>IF([2]species_comp_Region1_forR!$D296&gt;49,[2]species_comp_Region1_forR!$J296,[2]species_comp_Region1_forR!$L296)</f>
        <v>0.20588235299999999</v>
      </c>
      <c r="Q361">
        <f>IF([2]species_comp_Region1_forR!$D296&gt;49,[2]species_comp_Region1_forR!$K296,[2]species_comp_Region1_forR!$M296)</f>
        <v>1.211073E-3</v>
      </c>
      <c r="T361" s="13">
        <f t="shared" si="393"/>
        <v>1197.9226157276132</v>
      </c>
      <c r="U361" s="14">
        <f t="shared" si="350"/>
        <v>213027.05865856685</v>
      </c>
      <c r="V361">
        <f t="shared" ref="V361:V373" si="399">SQRT(U361)</f>
        <v>461.54854420587964</v>
      </c>
      <c r="W361" s="6">
        <f t="shared" ref="W361:W373" si="400">(1.96*V361)</f>
        <v>904.63514664352408</v>
      </c>
      <c r="Y361" s="13">
        <f t="shared" si="394"/>
        <v>5454.9226157276134</v>
      </c>
      <c r="Z361">
        <f t="shared" si="395"/>
        <v>213027.05865856685</v>
      </c>
      <c r="AA361">
        <f t="shared" ref="AA361:AA373" si="401">SQRT(Z361)</f>
        <v>461.54854420587964</v>
      </c>
      <c r="AB361" s="6">
        <f t="shared" ref="AB361:AB373" si="402">(1.96*AA361)</f>
        <v>904.63514664352408</v>
      </c>
      <c r="AC361" s="14">
        <f t="shared" si="370"/>
        <v>8.4611382547415889E-2</v>
      </c>
    </row>
    <row r="362" spans="1:29" x14ac:dyDescent="0.3">
      <c r="A362" t="str">
        <f>'rockfish harvests'!A361</f>
        <v>SE</v>
      </c>
      <c r="B362">
        <f>'rockfish harvests'!B361</f>
        <v>2007</v>
      </c>
      <c r="C362" t="str">
        <f>'rockfish harvests'!C361</f>
        <v>SSEO</v>
      </c>
      <c r="D362">
        <f>'rockfish harvests'!D361</f>
        <v>12018</v>
      </c>
      <c r="E362">
        <v>6094</v>
      </c>
      <c r="F362">
        <v>3554</v>
      </c>
      <c r="I362" s="13">
        <f t="shared" ref="I362:I372" si="403">F362</f>
        <v>3554</v>
      </c>
      <c r="J362">
        <f t="shared" si="396"/>
        <v>0</v>
      </c>
      <c r="K362">
        <f t="shared" si="397"/>
        <v>0</v>
      </c>
      <c r="L362" s="6">
        <f t="shared" si="398"/>
        <v>0</v>
      </c>
      <c r="N362" s="2">
        <f>'rockfish harvests'!O361</f>
        <v>5823.8117731066231</v>
      </c>
      <c r="O362">
        <f>'rockfish harvests'!P361</f>
        <v>3952920.3736786586</v>
      </c>
      <c r="P362">
        <f>IF([2]species_comp_Region1_forR!$D297&gt;49,[2]species_comp_Region1_forR!$J297,[2]species_comp_Region1_forR!$L297)</f>
        <v>0.15094339600000001</v>
      </c>
      <c r="Q362">
        <f>IF([2]species_comp_Region1_forR!$D297&gt;49,[2]species_comp_Region1_forR!$K297,[2]species_comp_Region1_forR!$M297)</f>
        <v>3.4637699999999998E-4</v>
      </c>
      <c r="T362" s="13">
        <f t="shared" si="393"/>
        <v>879.06592669749523</v>
      </c>
      <c r="U362" s="14">
        <f t="shared" si="350"/>
        <v>103180.17171420157</v>
      </c>
      <c r="V362">
        <f t="shared" si="399"/>
        <v>321.21670522281613</v>
      </c>
      <c r="W362" s="6">
        <f t="shared" si="400"/>
        <v>629.58474223671965</v>
      </c>
      <c r="Y362" s="13">
        <f t="shared" si="394"/>
        <v>4433.0659266974953</v>
      </c>
      <c r="Z362">
        <f t="shared" si="395"/>
        <v>103180.17171420157</v>
      </c>
      <c r="AA362">
        <f t="shared" si="401"/>
        <v>321.21670522281613</v>
      </c>
      <c r="AB362" s="6">
        <f t="shared" si="402"/>
        <v>629.58474223671965</v>
      </c>
      <c r="AC362" s="14">
        <f t="shared" si="370"/>
        <v>7.2459266461239652E-2</v>
      </c>
    </row>
    <row r="363" spans="1:29" x14ac:dyDescent="0.3">
      <c r="A363" t="str">
        <f>'rockfish harvests'!A362</f>
        <v>SE</v>
      </c>
      <c r="B363">
        <f>'rockfish harvests'!B362</f>
        <v>2008</v>
      </c>
      <c r="C363" t="str">
        <f>'rockfish harvests'!C362</f>
        <v>SSEO</v>
      </c>
      <c r="D363">
        <f>'rockfish harvests'!D362</f>
        <v>17754</v>
      </c>
      <c r="E363">
        <v>6953</v>
      </c>
      <c r="F363">
        <v>3418</v>
      </c>
      <c r="I363" s="13">
        <f t="shared" si="403"/>
        <v>3418</v>
      </c>
      <c r="J363">
        <f t="shared" si="396"/>
        <v>0</v>
      </c>
      <c r="K363">
        <f t="shared" si="397"/>
        <v>0</v>
      </c>
      <c r="L363" s="6">
        <f t="shared" si="398"/>
        <v>0</v>
      </c>
      <c r="N363" s="2">
        <f>'rockfish harvests'!O362</f>
        <v>8603.4243817386414</v>
      </c>
      <c r="O363">
        <f>'rockfish harvests'!P362</f>
        <v>8626727.8588684946</v>
      </c>
      <c r="P363">
        <f>IF([2]species_comp_Region1_forR!$D298&gt;49,[2]species_comp_Region1_forR!$J298,[2]species_comp_Region1_forR!$L298)</f>
        <v>0.12593984999999999</v>
      </c>
      <c r="Q363">
        <f>IF([2]species_comp_Region1_forR!$D298&gt;49,[2]species_comp_Region1_forR!$K298,[2]species_comp_Region1_forR!$M298)</f>
        <v>2.0730499999999999E-4</v>
      </c>
      <c r="T363" s="13">
        <f t="shared" si="393"/>
        <v>1083.5139761225071</v>
      </c>
      <c r="U363" s="14">
        <f t="shared" si="350"/>
        <v>153960.0546663235</v>
      </c>
      <c r="V363">
        <f t="shared" si="399"/>
        <v>392.37743903838748</v>
      </c>
      <c r="W363" s="6">
        <f t="shared" si="400"/>
        <v>769.05978051523948</v>
      </c>
      <c r="Y363" s="13">
        <f t="shared" si="394"/>
        <v>4501.5139761225073</v>
      </c>
      <c r="Z363">
        <f t="shared" si="395"/>
        <v>153960.0546663235</v>
      </c>
      <c r="AA363">
        <f t="shared" si="401"/>
        <v>392.37743903838748</v>
      </c>
      <c r="AB363" s="6">
        <f t="shared" si="402"/>
        <v>769.05978051523948</v>
      </c>
      <c r="AC363" s="14">
        <f t="shared" si="370"/>
        <v>8.716566051325951E-2</v>
      </c>
    </row>
    <row r="364" spans="1:29" x14ac:dyDescent="0.3">
      <c r="A364" t="str">
        <f>'rockfish harvests'!A363</f>
        <v>SE</v>
      </c>
      <c r="B364">
        <f>'rockfish harvests'!B363</f>
        <v>2009</v>
      </c>
      <c r="C364" t="str">
        <f>'rockfish harvests'!C363</f>
        <v>SSEO</v>
      </c>
      <c r="D364">
        <f>'rockfish harvests'!D363</f>
        <v>9645</v>
      </c>
      <c r="E364">
        <v>3692</v>
      </c>
      <c r="F364">
        <v>1788</v>
      </c>
      <c r="I364" s="13">
        <f t="shared" si="403"/>
        <v>1788</v>
      </c>
      <c r="J364">
        <f t="shared" si="396"/>
        <v>0</v>
      </c>
      <c r="K364">
        <f t="shared" si="397"/>
        <v>0</v>
      </c>
      <c r="L364" s="6">
        <f t="shared" si="398"/>
        <v>0</v>
      </c>
      <c r="N364" s="2">
        <f>'rockfish harvests'!O363</f>
        <v>4673.8778957907616</v>
      </c>
      <c r="O364">
        <f>'rockfish harvests'!P363</f>
        <v>2545998.4255660125</v>
      </c>
      <c r="P364">
        <f>IF([2]species_comp_Region1_forR!$D299&gt;49,[2]species_comp_Region1_forR!$J299,[2]species_comp_Region1_forR!$L299)</f>
        <v>0.120795107</v>
      </c>
      <c r="Q364">
        <f>IF([2]species_comp_Region1_forR!$D299&gt;49,[2]species_comp_Region1_forR!$K299,[2]species_comp_Region1_forR!$M299)</f>
        <v>1.6264E-4</v>
      </c>
      <c r="T364" s="13">
        <f t="shared" si="393"/>
        <v>564.58158052697991</v>
      </c>
      <c r="U364" s="14">
        <f t="shared" si="350"/>
        <v>41116.802649622587</v>
      </c>
      <c r="V364">
        <f t="shared" si="399"/>
        <v>202.77278577171688</v>
      </c>
      <c r="W364" s="6">
        <f t="shared" si="400"/>
        <v>397.4346601125651</v>
      </c>
      <c r="Y364" s="13">
        <f t="shared" si="394"/>
        <v>2352.5815805269799</v>
      </c>
      <c r="Z364">
        <f t="shared" si="395"/>
        <v>41116.802649622587</v>
      </c>
      <c r="AA364">
        <f t="shared" si="401"/>
        <v>202.77278577171688</v>
      </c>
      <c r="AB364" s="6">
        <f t="shared" si="402"/>
        <v>397.4346601125651</v>
      </c>
      <c r="AC364" s="14">
        <f t="shared" si="370"/>
        <v>8.6191606467604681E-2</v>
      </c>
    </row>
    <row r="365" spans="1:29" x14ac:dyDescent="0.3">
      <c r="A365" t="str">
        <f>'rockfish harvests'!A364</f>
        <v>SE</v>
      </c>
      <c r="B365">
        <f>'rockfish harvests'!B364</f>
        <v>2010</v>
      </c>
      <c r="C365" t="str">
        <f>'rockfish harvests'!C364</f>
        <v>SSEO</v>
      </c>
      <c r="D365">
        <f>'rockfish harvests'!D364</f>
        <v>12415</v>
      </c>
      <c r="E365">
        <v>4993</v>
      </c>
      <c r="F365">
        <v>2393</v>
      </c>
      <c r="I365" s="13">
        <f t="shared" si="403"/>
        <v>2393</v>
      </c>
      <c r="J365">
        <f t="shared" si="396"/>
        <v>0</v>
      </c>
      <c r="K365">
        <f t="shared" si="397"/>
        <v>0</v>
      </c>
      <c r="L365" s="6">
        <f t="shared" si="398"/>
        <v>0</v>
      </c>
      <c r="N365" s="2">
        <f>'rockfish harvests'!O364</f>
        <v>6016.1943054683579</v>
      </c>
      <c r="O365">
        <f>'rockfish harvests'!P364</f>
        <v>4218393.7471152442</v>
      </c>
      <c r="P365">
        <f>IF([2]species_comp_Region1_forR!$D300&gt;49,[2]species_comp_Region1_forR!$J300,[2]species_comp_Region1_forR!$L300)</f>
        <v>0.185185185</v>
      </c>
      <c r="Q365">
        <f>IF([2]species_comp_Region1_forR!$D300&gt;49,[2]species_comp_Region1_forR!$K300,[2]species_comp_Region1_forR!$M300)</f>
        <v>1.9295599999999999E-4</v>
      </c>
      <c r="T365" s="13">
        <f t="shared" si="393"/>
        <v>1114.1100554541044</v>
      </c>
      <c r="U365" s="14">
        <f t="shared" si="350"/>
        <v>152461.63690799841</v>
      </c>
      <c r="V365">
        <f t="shared" si="399"/>
        <v>390.46336179979602</v>
      </c>
      <c r="W365" s="6">
        <f t="shared" si="400"/>
        <v>765.30818912760014</v>
      </c>
      <c r="Y365" s="13">
        <f t="shared" si="394"/>
        <v>3507.1100554541044</v>
      </c>
      <c r="Z365">
        <f t="shared" si="395"/>
        <v>152461.63690799841</v>
      </c>
      <c r="AA365">
        <f t="shared" si="401"/>
        <v>390.46336179979602</v>
      </c>
      <c r="AB365" s="6">
        <f t="shared" si="402"/>
        <v>765.30818912760014</v>
      </c>
      <c r="AC365" s="14">
        <f t="shared" si="370"/>
        <v>0.11133479007667993</v>
      </c>
    </row>
    <row r="366" spans="1:29" x14ac:dyDescent="0.3">
      <c r="A366" t="str">
        <f>'rockfish harvests'!A365</f>
        <v>SE</v>
      </c>
      <c r="B366">
        <f>'rockfish harvests'!B365</f>
        <v>2011</v>
      </c>
      <c r="C366" t="str">
        <f>'rockfish harvests'!C365</f>
        <v>SSEO</v>
      </c>
      <c r="D366">
        <f>'rockfish harvests'!D365</f>
        <v>11926</v>
      </c>
      <c r="E366">
        <v>3783</v>
      </c>
      <c r="F366">
        <v>1424</v>
      </c>
      <c r="I366" s="13">
        <f t="shared" si="403"/>
        <v>1424</v>
      </c>
      <c r="J366">
        <f t="shared" si="396"/>
        <v>0</v>
      </c>
      <c r="K366">
        <f t="shared" si="397"/>
        <v>0</v>
      </c>
      <c r="L366" s="6">
        <f t="shared" si="398"/>
        <v>0</v>
      </c>
      <c r="N366" s="2">
        <f>'rockfish harvests'!O365</f>
        <v>5499.8326454033777</v>
      </c>
      <c r="O366">
        <f>'rockfish harvests'!P365</f>
        <v>3434887.6393615259</v>
      </c>
      <c r="P366">
        <f>IF([2]species_comp_Region1_forR!$D301&gt;49,[2]species_comp_Region1_forR!$J301,[2]species_comp_Region1_forR!$L301)</f>
        <v>0.121330724</v>
      </c>
      <c r="Q366">
        <f>IF([2]species_comp_Region1_forR!$D301&gt;49,[2]species_comp_Region1_forR!$K301,[2]species_comp_Region1_forR!$M301)</f>
        <v>2.0903800000000001E-4</v>
      </c>
      <c r="T366" s="13">
        <f t="shared" si="393"/>
        <v>667.29867674562706</v>
      </c>
      <c r="U366" s="14">
        <f t="shared" si="350"/>
        <v>57606.514306995792</v>
      </c>
      <c r="V366">
        <f t="shared" si="399"/>
        <v>240.0135710892111</v>
      </c>
      <c r="W366" s="6">
        <f t="shared" si="400"/>
        <v>470.42659933485373</v>
      </c>
      <c r="Y366" s="13">
        <f t="shared" si="394"/>
        <v>2091.2986767456268</v>
      </c>
      <c r="Z366">
        <f t="shared" si="395"/>
        <v>57606.514306995792</v>
      </c>
      <c r="AA366">
        <f t="shared" si="401"/>
        <v>240.0135710892111</v>
      </c>
      <c r="AB366" s="6">
        <f t="shared" si="402"/>
        <v>470.42659933485373</v>
      </c>
      <c r="AC366" s="14">
        <f t="shared" si="370"/>
        <v>0.11476771527570996</v>
      </c>
    </row>
    <row r="367" spans="1:29" x14ac:dyDescent="0.3">
      <c r="A367" t="str">
        <f>'rockfish harvests'!A366</f>
        <v>SE</v>
      </c>
      <c r="B367">
        <f>'rockfish harvests'!B366</f>
        <v>2012</v>
      </c>
      <c r="C367" t="str">
        <f>'rockfish harvests'!C366</f>
        <v>SSEO</v>
      </c>
      <c r="D367">
        <f>'rockfish harvests'!D366</f>
        <v>14290</v>
      </c>
      <c r="E367">
        <v>4684</v>
      </c>
      <c r="F367">
        <v>1749</v>
      </c>
      <c r="I367" s="13">
        <f t="shared" si="403"/>
        <v>1749</v>
      </c>
      <c r="J367">
        <f t="shared" si="396"/>
        <v>0</v>
      </c>
      <c r="K367">
        <f t="shared" si="397"/>
        <v>0</v>
      </c>
      <c r="L367" s="6">
        <f t="shared" si="398"/>
        <v>0</v>
      </c>
      <c r="N367" s="2">
        <f>'rockfish harvests'!O366</f>
        <v>7211.4840486137473</v>
      </c>
      <c r="O367">
        <f>'rockfish harvests'!P366</f>
        <v>3512142.9566568048</v>
      </c>
      <c r="P367">
        <f>IF([2]species_comp_Region1_forR!$D302&gt;49,[2]species_comp_Region1_forR!$J302,[2]species_comp_Region1_forR!$L302)</f>
        <v>0.13888888899999999</v>
      </c>
      <c r="Q367">
        <f>IF([2]species_comp_Region1_forR!$D302&gt;49,[2]species_comp_Region1_forR!$K302,[2]species_comp_Region1_forR!$M302)</f>
        <v>1.9574300000000001E-4</v>
      </c>
      <c r="T367" s="13">
        <f t="shared" si="393"/>
        <v>1001.5950075531853</v>
      </c>
      <c r="U367" s="14">
        <f t="shared" si="350"/>
        <v>78616.861752857309</v>
      </c>
      <c r="V367">
        <f t="shared" si="399"/>
        <v>280.38698570521655</v>
      </c>
      <c r="W367" s="6">
        <f t="shared" si="400"/>
        <v>549.55849198222438</v>
      </c>
      <c r="Y367" s="13">
        <f t="shared" si="394"/>
        <v>2750.5950075531855</v>
      </c>
      <c r="Z367">
        <f t="shared" si="395"/>
        <v>78616.861752857309</v>
      </c>
      <c r="AA367">
        <f t="shared" si="401"/>
        <v>280.38698570521655</v>
      </c>
      <c r="AB367" s="6">
        <f t="shared" si="402"/>
        <v>549.55849198222438</v>
      </c>
      <c r="AC367" s="14">
        <f t="shared" si="370"/>
        <v>0.10193684818567206</v>
      </c>
    </row>
    <row r="368" spans="1:29" x14ac:dyDescent="0.3">
      <c r="A368" t="str">
        <f>'rockfish harvests'!A367</f>
        <v>SE</v>
      </c>
      <c r="B368">
        <f>'rockfish harvests'!B367</f>
        <v>2013</v>
      </c>
      <c r="C368" t="str">
        <f>'rockfish harvests'!C367</f>
        <v>SSEO</v>
      </c>
      <c r="D368">
        <f>'rockfish harvests'!D367</f>
        <v>15619</v>
      </c>
      <c r="E368">
        <v>4475</v>
      </c>
      <c r="F368">
        <v>1811</v>
      </c>
      <c r="I368" s="13">
        <f t="shared" si="403"/>
        <v>1811</v>
      </c>
      <c r="J368">
        <f t="shared" si="396"/>
        <v>0</v>
      </c>
      <c r="K368">
        <f t="shared" si="397"/>
        <v>0</v>
      </c>
      <c r="L368" s="6">
        <f t="shared" si="398"/>
        <v>0</v>
      </c>
      <c r="N368" s="2">
        <f>'rockfish harvests'!O367</f>
        <v>7064.6801916454569</v>
      </c>
      <c r="O368">
        <f>'rockfish harvests'!P367</f>
        <v>3429125.8906986257</v>
      </c>
      <c r="P368">
        <f>IF([2]species_comp_Region1_forR!$D303&gt;49,[2]species_comp_Region1_forR!$J303,[2]species_comp_Region1_forR!$L303)</f>
        <v>0.149473684</v>
      </c>
      <c r="Q368">
        <f>IF([2]species_comp_Region1_forR!$D303&gt;49,[2]species_comp_Region1_forR!$K303,[2]species_comp_Region1_forR!$M303)</f>
        <v>2.6820899999999999E-4</v>
      </c>
      <c r="T368" s="13">
        <f t="shared" si="393"/>
        <v>1055.9837745270725</v>
      </c>
      <c r="U368" s="14">
        <f t="shared" si="350"/>
        <v>90920.796110118274</v>
      </c>
      <c r="V368">
        <f t="shared" si="399"/>
        <v>301.53075483293287</v>
      </c>
      <c r="W368" s="6">
        <f t="shared" si="400"/>
        <v>591.00027947254841</v>
      </c>
      <c r="Y368" s="13">
        <f t="shared" si="394"/>
        <v>2866.9837745270725</v>
      </c>
      <c r="Z368">
        <f t="shared" si="395"/>
        <v>90920.796110118274</v>
      </c>
      <c r="AA368">
        <f t="shared" si="401"/>
        <v>301.53075483293287</v>
      </c>
      <c r="AB368" s="6">
        <f t="shared" si="402"/>
        <v>591.00027947254841</v>
      </c>
      <c r="AC368" s="14">
        <f t="shared" si="370"/>
        <v>0.10517351284371057</v>
      </c>
    </row>
    <row r="369" spans="1:29" x14ac:dyDescent="0.3">
      <c r="A369" t="str">
        <f>'rockfish harvests'!A368</f>
        <v>SE</v>
      </c>
      <c r="B369">
        <f>'rockfish harvests'!B368</f>
        <v>2014</v>
      </c>
      <c r="C369" t="str">
        <f>'rockfish harvests'!C368</f>
        <v>SSEO</v>
      </c>
      <c r="D369">
        <f>'rockfish harvests'!D368</f>
        <v>18453</v>
      </c>
      <c r="E369">
        <v>5130</v>
      </c>
      <c r="F369">
        <v>1522</v>
      </c>
      <c r="I369" s="13">
        <f t="shared" si="403"/>
        <v>1522</v>
      </c>
      <c r="J369">
        <f t="shared" si="396"/>
        <v>0</v>
      </c>
      <c r="K369">
        <f t="shared" si="397"/>
        <v>0</v>
      </c>
      <c r="L369" s="6">
        <f t="shared" si="398"/>
        <v>0</v>
      </c>
      <c r="N369" s="2">
        <f>'rockfish harvests'!O368</f>
        <v>5969.0572591587515</v>
      </c>
      <c r="O369">
        <f>'rockfish harvests'!P368</f>
        <v>5648205.4842977012</v>
      </c>
      <c r="P369">
        <f>IF([2]species_comp_Region1_forR!$D304&gt;49,[2]species_comp_Region1_forR!$J304,[2]species_comp_Region1_forR!$L304)</f>
        <v>0.105177994</v>
      </c>
      <c r="Q369">
        <f>IF([2]species_comp_Region1_forR!$D304&gt;49,[2]species_comp_Region1_forR!$K304,[2]species_comp_Region1_forR!$M304)</f>
        <v>1.5253700000000001E-4</v>
      </c>
      <c r="T369" s="13">
        <f t="shared" si="393"/>
        <v>627.81346858945562</v>
      </c>
      <c r="U369" s="14">
        <f t="shared" si="350"/>
        <v>68779.166627006794</v>
      </c>
      <c r="V369">
        <f t="shared" si="399"/>
        <v>262.25782472026799</v>
      </c>
      <c r="W369" s="6">
        <f t="shared" si="400"/>
        <v>514.02533645172525</v>
      </c>
      <c r="Y369" s="13">
        <f t="shared" si="394"/>
        <v>2149.8134685894556</v>
      </c>
      <c r="Z369">
        <f t="shared" si="395"/>
        <v>68779.166627006794</v>
      </c>
      <c r="AA369">
        <f t="shared" si="401"/>
        <v>262.25782472026799</v>
      </c>
      <c r="AB369" s="6">
        <f t="shared" si="402"/>
        <v>514.02533645172525</v>
      </c>
      <c r="AC369" s="14">
        <f t="shared" si="370"/>
        <v>0.12199096738022655</v>
      </c>
    </row>
    <row r="370" spans="1:29" x14ac:dyDescent="0.3">
      <c r="A370" t="str">
        <f>'rockfish harvests'!A369</f>
        <v>SE</v>
      </c>
      <c r="B370">
        <f>'rockfish harvests'!B369</f>
        <v>2015</v>
      </c>
      <c r="C370" t="str">
        <f>'rockfish harvests'!C369</f>
        <v>SSEO</v>
      </c>
      <c r="D370">
        <f>'rockfish harvests'!D369</f>
        <v>17669</v>
      </c>
      <c r="E370">
        <v>4920</v>
      </c>
      <c r="F370">
        <v>1419</v>
      </c>
      <c r="I370" s="13">
        <f t="shared" si="403"/>
        <v>1419</v>
      </c>
      <c r="J370">
        <f t="shared" si="396"/>
        <v>0</v>
      </c>
      <c r="K370">
        <f t="shared" si="397"/>
        <v>0</v>
      </c>
      <c r="L370" s="6">
        <f t="shared" si="398"/>
        <v>0</v>
      </c>
      <c r="N370" s="2">
        <f>'rockfish harvests'!O369</f>
        <v>15546.524335519505</v>
      </c>
      <c r="O370">
        <f>'rockfish harvests'!P369</f>
        <v>23591989.047447968</v>
      </c>
      <c r="P370">
        <f>IF([2]species_comp_Region1_forR!$D305&gt;49,[2]species_comp_Region1_forR!$J305,[2]species_comp_Region1_forR!$L305)</f>
        <v>9.2647059000000004E-2</v>
      </c>
      <c r="Q370">
        <f>IF([2]species_comp_Region1_forR!$D305&gt;49,[2]species_comp_Region1_forR!$K305,[2]species_comp_Region1_forR!$M305)</f>
        <v>1.23805E-4</v>
      </c>
      <c r="T370" s="13">
        <f t="shared" si="393"/>
        <v>1440.3397573578115</v>
      </c>
      <c r="U370" s="14">
        <f t="shared" si="350"/>
        <v>235345.0918823111</v>
      </c>
      <c r="V370">
        <f t="shared" si="399"/>
        <v>485.12379026626917</v>
      </c>
      <c r="W370" s="6">
        <f t="shared" si="400"/>
        <v>950.84262892188758</v>
      </c>
      <c r="Y370" s="13">
        <f t="shared" si="394"/>
        <v>2859.3397573578113</v>
      </c>
      <c r="Z370">
        <f t="shared" si="395"/>
        <v>235345.0918823111</v>
      </c>
      <c r="AA370">
        <f t="shared" si="401"/>
        <v>485.12379026626917</v>
      </c>
      <c r="AB370" s="6">
        <f t="shared" si="402"/>
        <v>950.84262892188758</v>
      </c>
      <c r="AC370" s="14">
        <f t="shared" si="370"/>
        <v>0.16966287025454801</v>
      </c>
    </row>
    <row r="371" spans="1:29" x14ac:dyDescent="0.3">
      <c r="A371" t="str">
        <f>'rockfish harvests'!A370</f>
        <v>SE</v>
      </c>
      <c r="B371">
        <f>'rockfish harvests'!B370</f>
        <v>2016</v>
      </c>
      <c r="C371" t="str">
        <f>'rockfish harvests'!C370</f>
        <v>SSEO</v>
      </c>
      <c r="D371">
        <f>'rockfish harvests'!D370</f>
        <v>17707</v>
      </c>
      <c r="E371">
        <v>4149</v>
      </c>
      <c r="F371">
        <v>1399</v>
      </c>
      <c r="I371" s="13">
        <f t="shared" si="403"/>
        <v>1399</v>
      </c>
      <c r="J371">
        <f t="shared" si="396"/>
        <v>0</v>
      </c>
      <c r="K371">
        <f t="shared" si="397"/>
        <v>0</v>
      </c>
      <c r="L371" s="6">
        <f t="shared" si="398"/>
        <v>0</v>
      </c>
      <c r="N371" s="2">
        <f>'rockfish harvests'!O370</f>
        <v>9530.7617028217246</v>
      </c>
      <c r="O371">
        <f>'rockfish harvests'!P370</f>
        <v>11849070.145310419</v>
      </c>
      <c r="P371">
        <f>IF([2]species_comp_Region1_forR!$D306&gt;49,[2]species_comp_Region1_forR!$J306,[2]species_comp_Region1_forR!$L306)</f>
        <v>0.16850828700000001</v>
      </c>
      <c r="Q371">
        <f>IF([2]species_comp_Region1_forR!$D306&gt;49,[2]species_comp_Region1_forR!$K306,[2]species_comp_Region1_forR!$M306)</f>
        <v>3.8812500000000002E-4</v>
      </c>
      <c r="T371" s="13">
        <f t="shared" si="393"/>
        <v>1606.0123283476919</v>
      </c>
      <c r="U371" s="14">
        <f t="shared" si="350"/>
        <v>376309.27097848011</v>
      </c>
      <c r="V371">
        <f t="shared" si="399"/>
        <v>613.44051951145195</v>
      </c>
      <c r="W371" s="6">
        <f t="shared" si="400"/>
        <v>1202.3434182424458</v>
      </c>
      <c r="Y371" s="13">
        <f t="shared" si="394"/>
        <v>3005.0123283476919</v>
      </c>
      <c r="Z371">
        <f t="shared" si="395"/>
        <v>376309.27097848011</v>
      </c>
      <c r="AA371">
        <f t="shared" si="401"/>
        <v>613.44051951145195</v>
      </c>
      <c r="AB371" s="6">
        <f t="shared" si="402"/>
        <v>1202.3434182424458</v>
      </c>
      <c r="AC371" s="14">
        <f t="shared" si="370"/>
        <v>0.20413910243381686</v>
      </c>
    </row>
    <row r="372" spans="1:29" x14ac:dyDescent="0.3">
      <c r="A372" t="str">
        <f>'rockfish harvests'!A371</f>
        <v>SE</v>
      </c>
      <c r="B372">
        <f>'rockfish harvests'!B371</f>
        <v>2017</v>
      </c>
      <c r="C372" t="str">
        <f>'rockfish harvests'!C371</f>
        <v>SSEO</v>
      </c>
      <c r="D372">
        <f>'rockfish harvests'!D371</f>
        <v>20760</v>
      </c>
      <c r="E372">
        <v>4370</v>
      </c>
      <c r="F372">
        <v>1924</v>
      </c>
      <c r="I372" s="13">
        <f t="shared" si="403"/>
        <v>1924</v>
      </c>
      <c r="J372">
        <f t="shared" si="396"/>
        <v>0</v>
      </c>
      <c r="K372">
        <f t="shared" si="397"/>
        <v>0</v>
      </c>
      <c r="L372" s="6">
        <f t="shared" si="398"/>
        <v>0</v>
      </c>
      <c r="N372" s="2">
        <f>'rockfish harvests'!O371</f>
        <v>7420.2213327054378</v>
      </c>
      <c r="O372">
        <f>'rockfish harvests'!P371</f>
        <v>9465736.8938175309</v>
      </c>
      <c r="P372">
        <f>IF([2]species_comp_Region1_forR!$D307&gt;49,[2]species_comp_Region1_forR!$J307,[2]species_comp_Region1_forR!$L307)</f>
        <v>0.10270270300000001</v>
      </c>
      <c r="Q372">
        <f>IF([2]species_comp_Region1_forR!$D307&gt;49,[2]species_comp_Region1_forR!$K307,[2]species_comp_Region1_forR!$M307)</f>
        <v>2.4974200000000001E-4</v>
      </c>
      <c r="T372" s="13">
        <f t="shared" si="393"/>
        <v>762.07678772711085</v>
      </c>
      <c r="U372" s="14">
        <f t="shared" si="350"/>
        <v>115957.83531439141</v>
      </c>
      <c r="V372">
        <f t="shared" si="399"/>
        <v>340.52582180268121</v>
      </c>
      <c r="W372" s="6">
        <f t="shared" si="400"/>
        <v>667.43061073325521</v>
      </c>
      <c r="Y372" s="13">
        <f t="shared" si="394"/>
        <v>2686.076787727111</v>
      </c>
      <c r="Z372">
        <f t="shared" si="395"/>
        <v>115957.83531439141</v>
      </c>
      <c r="AA372">
        <f t="shared" si="401"/>
        <v>340.52582180268121</v>
      </c>
      <c r="AB372" s="6">
        <f t="shared" si="402"/>
        <v>667.43061073325521</v>
      </c>
      <c r="AC372" s="14">
        <f t="shared" si="370"/>
        <v>0.12677441812481668</v>
      </c>
    </row>
    <row r="373" spans="1:29" x14ac:dyDescent="0.3">
      <c r="A373" t="str">
        <f>'rockfish harvests'!A372</f>
        <v>SE</v>
      </c>
      <c r="B373">
        <f>'rockfish harvests'!B372</f>
        <v>2018</v>
      </c>
      <c r="C373" t="str">
        <f>'rockfish harvests'!C372</f>
        <v>SSEO</v>
      </c>
      <c r="D373">
        <f>'rockfish harvests'!D372</f>
        <v>26949</v>
      </c>
      <c r="E373">
        <v>4535</v>
      </c>
      <c r="F373">
        <v>1795</v>
      </c>
      <c r="I373" s="13">
        <f>F373</f>
        <v>1795</v>
      </c>
      <c r="J373">
        <f t="shared" si="396"/>
        <v>0</v>
      </c>
      <c r="K373">
        <f t="shared" si="397"/>
        <v>0</v>
      </c>
      <c r="L373" s="6">
        <f t="shared" si="398"/>
        <v>0</v>
      </c>
      <c r="N373" s="2">
        <f>'rockfish harvests'!O372</f>
        <v>12867.635899450121</v>
      </c>
      <c r="O373">
        <f>'rockfish harvests'!P372</f>
        <v>12734528.822682161</v>
      </c>
      <c r="P373">
        <f>IF([2]species_comp_Region1_forR!$D308&gt;49,[2]species_comp_Region1_forR!$J308,[2]species_comp_Region1_forR!$L308)</f>
        <v>0.150706436</v>
      </c>
      <c r="Q373">
        <f>IF([2]species_comp_Region1_forR!$D308&gt;49,[2]species_comp_Region1_forR!$K308,[2]species_comp_Region1_forR!$M308)</f>
        <v>2.0124800000000001E-4</v>
      </c>
      <c r="T373" s="13">
        <f>N373*P373</f>
        <v>1939.235546151782</v>
      </c>
      <c r="U373" s="14">
        <f t="shared" si="350"/>
        <v>325116.74068078963</v>
      </c>
      <c r="V373">
        <f t="shared" si="399"/>
        <v>570.19009170695836</v>
      </c>
      <c r="W373" s="6">
        <f t="shared" si="400"/>
        <v>1117.5725797456384</v>
      </c>
      <c r="Y373" s="13">
        <f>T373+I373</f>
        <v>3734.2355461517818</v>
      </c>
      <c r="Z373">
        <f t="shared" si="395"/>
        <v>325116.74068078963</v>
      </c>
      <c r="AA373">
        <f t="shared" si="401"/>
        <v>570.19009170695836</v>
      </c>
      <c r="AB373" s="6">
        <f t="shared" si="402"/>
        <v>1117.5725797456384</v>
      </c>
      <c r="AC373" s="14">
        <f t="shared" si="370"/>
        <v>0.15269258852579687</v>
      </c>
    </row>
    <row r="374" spans="1:29" x14ac:dyDescent="0.3">
      <c r="A374" t="str">
        <f>'rockfish harvests'!A373</f>
        <v>SE</v>
      </c>
      <c r="B374">
        <f>'rockfish harvests'!B373</f>
        <v>2019</v>
      </c>
      <c r="C374" t="str">
        <f>'rockfish harvests'!C373</f>
        <v>SSEO</v>
      </c>
      <c r="D374">
        <f>'rockfish harvests'!D373</f>
        <v>22912</v>
      </c>
      <c r="E374">
        <v>3570</v>
      </c>
      <c r="F374">
        <v>1727</v>
      </c>
      <c r="I374" s="13">
        <f>F374</f>
        <v>1727</v>
      </c>
      <c r="J374">
        <f>(E374^2)*H374</f>
        <v>0</v>
      </c>
      <c r="K374">
        <f>SQRT(J374)</f>
        <v>0</v>
      </c>
      <c r="L374" s="6">
        <f>(1.96*K374)</f>
        <v>0</v>
      </c>
      <c r="N374" s="2">
        <f>'rockfish harvests'!O373</f>
        <v>16359.985999299963</v>
      </c>
      <c r="O374">
        <f>'rockfish harvests'!P373</f>
        <v>28189042.115738388</v>
      </c>
      <c r="P374">
        <v>0.24497991967871485</v>
      </c>
      <c r="Q374">
        <v>3.7216249221916554E-4</v>
      </c>
      <c r="T374" s="13">
        <f>N374*P374</f>
        <v>4007.8680560534044</v>
      </c>
      <c r="U374" s="14">
        <f t="shared" si="350"/>
        <v>1801869.7781584654</v>
      </c>
      <c r="V374">
        <f>SQRT(U374)</f>
        <v>1342.3374308118155</v>
      </c>
      <c r="W374" s="6">
        <f>(1.96*V374)</f>
        <v>2630.9813643911584</v>
      </c>
      <c r="Y374" s="13">
        <f>T374+I374</f>
        <v>5734.8680560534049</v>
      </c>
      <c r="Z374">
        <f>U374+J374</f>
        <v>1801869.7781584654</v>
      </c>
      <c r="AA374">
        <f>SQRT(Z374)</f>
        <v>1342.3374308118155</v>
      </c>
      <c r="AB374" s="6">
        <f>(1.96*AA374)</f>
        <v>2630.9813643911584</v>
      </c>
      <c r="AC374" s="14">
        <f t="shared" si="370"/>
        <v>0.23406596589348197</v>
      </c>
    </row>
    <row r="375" spans="1:29" x14ac:dyDescent="0.3">
      <c r="A375" t="str">
        <f>'rockfish harvests'!A374</f>
        <v>SE</v>
      </c>
      <c r="B375">
        <f>'rockfish harvests'!B374</f>
        <v>2020</v>
      </c>
      <c r="C375" t="str">
        <f>'rockfish harvests'!C374</f>
        <v>SSEO</v>
      </c>
      <c r="D375">
        <f>'rockfish harvests'!D374</f>
        <v>12619</v>
      </c>
      <c r="E375">
        <v>170</v>
      </c>
      <c r="F375">
        <v>1</v>
      </c>
      <c r="I375" s="13">
        <f t="shared" ref="I375" si="404">F375</f>
        <v>1</v>
      </c>
      <c r="J375">
        <f t="shared" ref="J375:J377" si="405">(E375^2)*H375</f>
        <v>0</v>
      </c>
      <c r="K375">
        <f t="shared" ref="K375:K377" si="406">SQRT(J375)</f>
        <v>0</v>
      </c>
      <c r="L375" s="6">
        <f t="shared" ref="L375:L377" si="407">(1.96*K375)</f>
        <v>0</v>
      </c>
      <c r="N375" s="2">
        <f>'rockfish harvests'!O374</f>
        <v>2769.6225355790575</v>
      </c>
      <c r="O375">
        <f>'rockfish harvests'!P374</f>
        <v>1279455.8924929332</v>
      </c>
      <c r="P375">
        <v>0</v>
      </c>
      <c r="Q375">
        <v>0</v>
      </c>
      <c r="T375" s="13">
        <f>N375*P375</f>
        <v>0</v>
      </c>
      <c r="U375" s="14">
        <f t="shared" si="350"/>
        <v>0</v>
      </c>
      <c r="V375">
        <f t="shared" ref="V375" si="408">SQRT(U375)</f>
        <v>0</v>
      </c>
      <c r="W375" s="6">
        <f t="shared" ref="W375" si="409">(1.96*V375)</f>
        <v>0</v>
      </c>
      <c r="Y375" s="13">
        <f t="shared" ref="Y375" si="410">T375+I375</f>
        <v>1</v>
      </c>
      <c r="Z375">
        <f t="shared" ref="Z375" si="411">U375+J375</f>
        <v>0</v>
      </c>
      <c r="AA375">
        <f t="shared" ref="AA375" si="412">SQRT(Z375)</f>
        <v>0</v>
      </c>
      <c r="AB375" s="6">
        <f t="shared" ref="AB375" si="413">(1.96*AA375)</f>
        <v>0</v>
      </c>
      <c r="AC375" s="14">
        <f t="shared" ref="AC375" si="414">AA375/Y375</f>
        <v>0</v>
      </c>
    </row>
    <row r="376" spans="1:29" x14ac:dyDescent="0.3">
      <c r="A376" t="str">
        <f>'rockfish harvests'!A375</f>
        <v>SE</v>
      </c>
      <c r="B376">
        <f>'rockfish harvests'!B375</f>
        <v>2021</v>
      </c>
      <c r="C376" t="str">
        <f>'rockfish harvests'!C375</f>
        <v>SSEO</v>
      </c>
      <c r="D376">
        <f>'rockfish harvests'!D375</f>
        <v>29399</v>
      </c>
      <c r="E376">
        <v>361</v>
      </c>
      <c r="F376">
        <v>1</v>
      </c>
      <c r="I376" s="13">
        <f>F376</f>
        <v>1</v>
      </c>
      <c r="J376">
        <f t="shared" si="405"/>
        <v>0</v>
      </c>
      <c r="K376">
        <f t="shared" si="406"/>
        <v>0</v>
      </c>
      <c r="L376" s="6">
        <f t="shared" si="407"/>
        <v>0</v>
      </c>
      <c r="N376" s="2">
        <f>'rockfish harvests'!O375</f>
        <v>1670.0870000715477</v>
      </c>
      <c r="O376">
        <f>'rockfish harvests'!P375</f>
        <v>492653.23167840909</v>
      </c>
      <c r="P376">
        <v>0</v>
      </c>
      <c r="Q376">
        <v>0</v>
      </c>
      <c r="T376" s="13">
        <f>N376*P376</f>
        <v>0</v>
      </c>
      <c r="U376" s="14">
        <f t="shared" si="350"/>
        <v>0</v>
      </c>
      <c r="V376">
        <f t="shared" ref="V376:V377" si="415">SQRT(U376)</f>
        <v>0</v>
      </c>
      <c r="W376" s="6">
        <f t="shared" ref="W376:W377" si="416">(1.96*V376)</f>
        <v>0</v>
      </c>
      <c r="Y376" s="13">
        <f t="shared" ref="Y376:Y377" si="417">T376+I376</f>
        <v>1</v>
      </c>
      <c r="Z376">
        <f t="shared" ref="Z376:Z377" si="418">U376+J376</f>
        <v>0</v>
      </c>
      <c r="AA376">
        <f t="shared" ref="AA376:AA377" si="419">SQRT(Z376)</f>
        <v>0</v>
      </c>
      <c r="AB376" s="6">
        <f t="shared" ref="AB376:AB377" si="420">(1.96*AA376)</f>
        <v>0</v>
      </c>
      <c r="AC376" s="14">
        <f t="shared" ref="AC376:AC377" si="421">AA376/Y376</f>
        <v>0</v>
      </c>
    </row>
    <row r="377" spans="1:29" s="51" customFormat="1" x14ac:dyDescent="0.3">
      <c r="A377" s="51" t="s">
        <v>151</v>
      </c>
      <c r="B377" s="51">
        <v>2022</v>
      </c>
      <c r="C377" s="51" t="s">
        <v>40</v>
      </c>
      <c r="D377">
        <f>'rockfish harvests'!D376</f>
        <v>38456</v>
      </c>
      <c r="E377" s="51">
        <v>918</v>
      </c>
      <c r="F377" s="51">
        <v>1</v>
      </c>
      <c r="I377" s="71">
        <f>F377</f>
        <v>1</v>
      </c>
      <c r="J377" s="51">
        <f t="shared" si="405"/>
        <v>0</v>
      </c>
      <c r="K377" s="51">
        <f t="shared" si="406"/>
        <v>0</v>
      </c>
      <c r="L377" s="51">
        <f t="shared" si="407"/>
        <v>0</v>
      </c>
      <c r="N377" s="2">
        <f>'rockfish harvests'!O376</f>
        <v>6059.5121025154294</v>
      </c>
      <c r="O377">
        <f>'rockfish harvests'!P376</f>
        <v>7024339.3858510992</v>
      </c>
      <c r="P377" s="51">
        <v>0</v>
      </c>
      <c r="Q377" s="51">
        <v>0</v>
      </c>
      <c r="T377" s="71">
        <f>N377*P377</f>
        <v>0</v>
      </c>
      <c r="U377" s="14">
        <f t="shared" si="350"/>
        <v>0</v>
      </c>
      <c r="V377" s="81">
        <f t="shared" si="415"/>
        <v>0</v>
      </c>
      <c r="W377" s="81">
        <f t="shared" si="416"/>
        <v>0</v>
      </c>
      <c r="Y377" s="71">
        <f t="shared" si="417"/>
        <v>1</v>
      </c>
      <c r="Z377" s="51">
        <f t="shared" si="418"/>
        <v>0</v>
      </c>
      <c r="AA377" s="51">
        <f t="shared" si="419"/>
        <v>0</v>
      </c>
      <c r="AB377" s="51">
        <f t="shared" si="420"/>
        <v>0</v>
      </c>
      <c r="AC377" s="51">
        <f t="shared" si="421"/>
        <v>0</v>
      </c>
    </row>
  </sheetData>
  <mergeCells count="6">
    <mergeCell ref="Y1:AB1"/>
    <mergeCell ref="A1:A2"/>
    <mergeCell ref="B1:B2"/>
    <mergeCell ref="C1:C2"/>
    <mergeCell ref="D1:L1"/>
    <mergeCell ref="N1:U1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1E384-5DC1-47C1-85C7-EAFE9CB63710}">
  <dimension ref="A1:AN89"/>
  <sheetViews>
    <sheetView workbookViewId="0">
      <selection activeCell="T28" sqref="T28"/>
    </sheetView>
  </sheetViews>
  <sheetFormatPr defaultRowHeight="14.4" x14ac:dyDescent="0.3"/>
  <sheetData>
    <row r="1" spans="1:32" x14ac:dyDescent="0.3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</row>
    <row r="2" spans="1:32" x14ac:dyDescent="0.3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</row>
    <row r="3" spans="1:32" x14ac:dyDescent="0.3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</row>
    <row r="4" spans="1:32" x14ac:dyDescent="0.3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</row>
    <row r="5" spans="1:32" x14ac:dyDescent="0.3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</row>
    <row r="6" spans="1:32" x14ac:dyDescent="0.3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</row>
    <row r="7" spans="1:32" x14ac:dyDescent="0.3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</row>
    <row r="8" spans="1:32" x14ac:dyDescent="0.3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</row>
    <row r="9" spans="1:32" x14ac:dyDescent="0.3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</row>
    <row r="10" spans="1:32" x14ac:dyDescent="0.3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</row>
    <row r="11" spans="1:32" x14ac:dyDescent="0.3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</row>
    <row r="12" spans="1:32" x14ac:dyDescent="0.3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</row>
    <row r="13" spans="1:32" x14ac:dyDescent="0.3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</row>
    <row r="14" spans="1:32" x14ac:dyDescent="0.3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</row>
    <row r="15" spans="1:32" x14ac:dyDescent="0.3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</row>
    <row r="16" spans="1:32" x14ac:dyDescent="0.3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</row>
    <row r="17" spans="1:32" x14ac:dyDescent="0.3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</row>
    <row r="18" spans="1:32" x14ac:dyDescent="0.3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</row>
    <row r="19" spans="1:32" x14ac:dyDescent="0.3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</row>
    <row r="20" spans="1:32" x14ac:dyDescent="0.3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</row>
    <row r="21" spans="1:32" x14ac:dyDescent="0.3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</row>
    <row r="22" spans="1:32" x14ac:dyDescent="0.3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</row>
    <row r="23" spans="1:32" x14ac:dyDescent="0.3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</row>
    <row r="24" spans="1:32" x14ac:dyDescent="0.3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</row>
    <row r="25" spans="1:32" x14ac:dyDescent="0.3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</row>
    <row r="26" spans="1:32" x14ac:dyDescent="0.3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</row>
    <row r="27" spans="1:32" x14ac:dyDescent="0.3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</row>
    <row r="28" spans="1:32" x14ac:dyDescent="0.3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</row>
    <row r="29" spans="1:32" x14ac:dyDescent="0.3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</row>
    <row r="30" spans="1:32" x14ac:dyDescent="0.3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</row>
    <row r="31" spans="1:32" x14ac:dyDescent="0.3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</row>
    <row r="32" spans="1:32" x14ac:dyDescent="0.3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</row>
    <row r="33" spans="1:40" x14ac:dyDescent="0.3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</row>
    <row r="34" spans="1:40" x14ac:dyDescent="0.3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</row>
    <row r="35" spans="1:40" x14ac:dyDescent="0.3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3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3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3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3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3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3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3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0" x14ac:dyDescent="0.3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</row>
    <row r="50" spans="1:40" x14ac:dyDescent="0.3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</row>
    <row r="51" spans="1:40" x14ac:dyDescent="0.3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</row>
    <row r="52" spans="1:40" x14ac:dyDescent="0.3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</row>
    <row r="53" spans="1:40" x14ac:dyDescent="0.3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</row>
    <row r="54" spans="1:40" x14ac:dyDescent="0.3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</row>
    <row r="55" spans="1:40" x14ac:dyDescent="0.3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</row>
    <row r="56" spans="1:40" x14ac:dyDescent="0.3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</row>
    <row r="57" spans="1:40" x14ac:dyDescent="0.3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</row>
    <row r="58" spans="1:40" x14ac:dyDescent="0.3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</row>
    <row r="59" spans="1:40" x14ac:dyDescent="0.3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</row>
    <row r="60" spans="1:40" x14ac:dyDescent="0.3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</row>
    <row r="61" spans="1:40" x14ac:dyDescent="0.3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</row>
    <row r="62" spans="1:40" x14ac:dyDescent="0.3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</row>
    <row r="63" spans="1:40" x14ac:dyDescent="0.3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</row>
    <row r="64" spans="1:40" x14ac:dyDescent="0.3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</row>
    <row r="65" spans="1:32" x14ac:dyDescent="0.3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</row>
    <row r="66" spans="1:32" x14ac:dyDescent="0.3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</row>
    <row r="67" spans="1:32" x14ac:dyDescent="0.3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</row>
    <row r="68" spans="1:32" x14ac:dyDescent="0.3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</row>
    <row r="69" spans="1:32" x14ac:dyDescent="0.3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</row>
    <row r="70" spans="1:32" x14ac:dyDescent="0.3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</row>
    <row r="71" spans="1:32" x14ac:dyDescent="0.3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</row>
    <row r="72" spans="1:32" x14ac:dyDescent="0.3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</row>
    <row r="73" spans="1:32" x14ac:dyDescent="0.3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3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5" spans="1:32" x14ac:dyDescent="0.3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</row>
    <row r="76" spans="1:32" x14ac:dyDescent="0.3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</row>
    <row r="77" spans="1:32" x14ac:dyDescent="0.3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</row>
    <row r="78" spans="1:32" x14ac:dyDescent="0.3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</row>
    <row r="79" spans="1:32" x14ac:dyDescent="0.3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</row>
    <row r="80" spans="1:32" x14ac:dyDescent="0.3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</row>
    <row r="81" spans="1:32" x14ac:dyDescent="0.3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</row>
    <row r="82" spans="1:32" x14ac:dyDescent="0.3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</row>
    <row r="83" spans="1:32" x14ac:dyDescent="0.3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</row>
    <row r="84" spans="1:32" x14ac:dyDescent="0.3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</row>
    <row r="85" spans="1:32" x14ac:dyDescent="0.3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</row>
    <row r="86" spans="1:32" x14ac:dyDescent="0.3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</row>
    <row r="87" spans="1:32" x14ac:dyDescent="0.3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</row>
    <row r="88" spans="1:32" x14ac:dyDescent="0.3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</row>
    <row r="89" spans="1:32" x14ac:dyDescent="0.3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D1E09-9A36-4950-AD3E-BD2C87B3CB41}">
  <sheetPr>
    <tabColor theme="9"/>
  </sheetPr>
  <dimension ref="A1:AF369"/>
  <sheetViews>
    <sheetView zoomScale="70" zoomScaleNormal="70" workbookViewId="0">
      <pane ySplit="2" topLeftCell="A325" activePane="bottomLeft" state="frozen"/>
      <selection pane="bottomLeft" activeCell="R220" sqref="R220:R369"/>
    </sheetView>
  </sheetViews>
  <sheetFormatPr defaultRowHeight="14.4" x14ac:dyDescent="0.3"/>
  <cols>
    <col min="3" max="3" width="14.88671875" customWidth="1"/>
    <col min="4" max="4" width="14" customWidth="1"/>
    <col min="7" max="7" width="12" bestFit="1" customWidth="1"/>
    <col min="8" max="8" width="9.5546875" style="13" bestFit="1" customWidth="1"/>
    <col min="9" max="9" width="11.44140625" customWidth="1"/>
    <col min="10" max="10" width="9.109375" hidden="1" customWidth="1"/>
    <col min="11" max="11" width="0.44140625" hidden="1" customWidth="1"/>
    <col min="12" max="12" width="1.6640625" customWidth="1"/>
    <col min="16" max="16" width="12.33203125" bestFit="1" customWidth="1"/>
    <col min="17" max="17" width="10.5546875" style="13" bestFit="1" customWidth="1"/>
    <col min="18" max="18" width="12.88671875" customWidth="1"/>
    <col min="19" max="19" width="0.109375" style="4" customWidth="1"/>
    <col min="20" max="20" width="5.44140625" style="4" hidden="1" customWidth="1"/>
    <col min="21" max="21" width="14.5546875" customWidth="1"/>
    <col min="22" max="22" width="10.5546875" style="13" bestFit="1" customWidth="1"/>
    <col min="23" max="23" width="11.88671875" customWidth="1"/>
    <col min="24" max="24" width="12.44140625" bestFit="1" customWidth="1"/>
    <col min="25" max="25" width="8.44140625" bestFit="1" customWidth="1"/>
  </cols>
  <sheetData>
    <row r="1" spans="1:30" x14ac:dyDescent="0.3">
      <c r="A1" s="110" t="str">
        <f>'rockfish harvests'!A1</f>
        <v>Region</v>
      </c>
      <c r="B1" s="110" t="str">
        <f>'rockfish harvests'!B1</f>
        <v>year</v>
      </c>
      <c r="C1" s="110" t="str">
        <f>'rockfish harvests'!C1</f>
        <v>RptArea</v>
      </c>
      <c r="D1" s="109" t="s">
        <v>16</v>
      </c>
      <c r="E1" s="109"/>
      <c r="F1" s="109"/>
      <c r="G1" s="109"/>
      <c r="H1" s="109"/>
      <c r="I1" s="109"/>
      <c r="J1" s="109"/>
      <c r="K1" s="109"/>
      <c r="M1" s="109" t="s">
        <v>17</v>
      </c>
      <c r="N1" s="109"/>
      <c r="O1" s="109"/>
      <c r="P1" s="109"/>
      <c r="Q1" s="109"/>
      <c r="R1" s="109"/>
      <c r="S1" s="9"/>
      <c r="T1" s="9"/>
      <c r="V1" s="109" t="s">
        <v>29</v>
      </c>
      <c r="W1" s="109"/>
      <c r="X1" s="109"/>
      <c r="Y1" s="109"/>
    </row>
    <row r="2" spans="1:30" s="92" customFormat="1" ht="101.25" customHeight="1" x14ac:dyDescent="0.4">
      <c r="A2" s="110"/>
      <c r="B2" s="110"/>
      <c r="C2" s="110"/>
      <c r="D2" s="92" t="s">
        <v>14</v>
      </c>
      <c r="E2" s="92" t="s">
        <v>162</v>
      </c>
      <c r="F2" s="96" t="s">
        <v>163</v>
      </c>
      <c r="G2" s="92" t="s">
        <v>164</v>
      </c>
      <c r="H2" s="93" t="s">
        <v>165</v>
      </c>
      <c r="I2" s="92" t="s">
        <v>166</v>
      </c>
      <c r="J2" s="92" t="s">
        <v>18</v>
      </c>
      <c r="K2" s="92" t="s">
        <v>24</v>
      </c>
      <c r="M2" s="92" t="s">
        <v>5</v>
      </c>
      <c r="N2" s="92" t="s">
        <v>8</v>
      </c>
      <c r="O2" s="92" t="s">
        <v>167</v>
      </c>
      <c r="P2" s="92" t="s">
        <v>168</v>
      </c>
      <c r="Q2" s="94" t="s">
        <v>169</v>
      </c>
      <c r="R2" s="92" t="s">
        <v>170</v>
      </c>
      <c r="S2" s="92" t="s">
        <v>25</v>
      </c>
      <c r="T2" s="92" t="s">
        <v>26</v>
      </c>
      <c r="V2" s="95" t="s">
        <v>171</v>
      </c>
      <c r="W2" s="92" t="s">
        <v>172</v>
      </c>
      <c r="X2" s="92" t="s">
        <v>27</v>
      </c>
      <c r="Y2" s="92" t="s">
        <v>28</v>
      </c>
    </row>
    <row r="3" spans="1:30" x14ac:dyDescent="0.3">
      <c r="A3" t="str">
        <f>'rockfish harvests'!A2</f>
        <v>SC</v>
      </c>
      <c r="B3">
        <f>'rockfish harvests'!B2</f>
        <v>1998</v>
      </c>
      <c r="C3" t="str">
        <f>'rockfish harvests'!C2</f>
        <v>AFOGNAK</v>
      </c>
      <c r="D3">
        <f>'rockfish harvests'!D2</f>
        <v>416</v>
      </c>
      <c r="E3">
        <f>'YE harvest'!E3</f>
        <v>87</v>
      </c>
      <c r="F3" s="38"/>
      <c r="G3" s="39"/>
      <c r="H3" s="13">
        <f t="shared" ref="H3:H10" si="0">E3*F3</f>
        <v>0</v>
      </c>
      <c r="I3">
        <f t="shared" ref="I3:I76" si="1">(E3^2)*G3</f>
        <v>0</v>
      </c>
      <c r="J3">
        <f>SQRT(I3)</f>
        <v>0</v>
      </c>
      <c r="K3" s="6">
        <f>(1.96*J3)</f>
        <v>0</v>
      </c>
      <c r="M3" s="2">
        <f>'rockfish harvests'!O2</f>
        <v>113.5015960846614</v>
      </c>
      <c r="N3">
        <f>'rockfish harvests'!P2</f>
        <v>3943.5752117924521</v>
      </c>
      <c r="Q3" s="13" t="e">
        <f>#REF!*M3</f>
        <v>#REF!</v>
      </c>
      <c r="R3" s="14" t="e">
        <f>(M3^2)*#REF!+(#REF!^2)*N3-(#REF!*N3)</f>
        <v>#REF!</v>
      </c>
      <c r="S3" t="e">
        <f>SQRT(R3)</f>
        <v>#REF!</v>
      </c>
      <c r="T3" s="6" t="e">
        <f>(1.96*S3)</f>
        <v>#REF!</v>
      </c>
      <c r="V3" s="13" t="e">
        <f t="shared" ref="V3:V76" si="2">Q3+H3</f>
        <v>#REF!</v>
      </c>
      <c r="W3" t="e">
        <f t="shared" ref="W3:W76" si="3">R3+I3</f>
        <v>#REF!</v>
      </c>
      <c r="X3" t="e">
        <f>SQRT(W3)</f>
        <v>#REF!</v>
      </c>
      <c r="Y3" s="6" t="e">
        <f>(1.96*X3)</f>
        <v>#REF!</v>
      </c>
      <c r="AC3" s="32"/>
      <c r="AD3" t="s">
        <v>84</v>
      </c>
    </row>
    <row r="4" spans="1:30" x14ac:dyDescent="0.3">
      <c r="A4" t="str">
        <f>'rockfish harvests'!A3</f>
        <v>SC</v>
      </c>
      <c r="B4">
        <f>'rockfish harvests'!B3</f>
        <v>1999</v>
      </c>
      <c r="C4" t="str">
        <f>'rockfish harvests'!C3</f>
        <v>AFOGNAK</v>
      </c>
      <c r="D4">
        <f>'rockfish harvests'!D3</f>
        <v>506</v>
      </c>
      <c r="E4">
        <f>'YE harvest'!E4</f>
        <v>87</v>
      </c>
      <c r="F4" s="38"/>
      <c r="G4" s="39"/>
      <c r="H4" s="13">
        <f t="shared" si="0"/>
        <v>0</v>
      </c>
      <c r="I4">
        <f t="shared" si="1"/>
        <v>0</v>
      </c>
      <c r="J4">
        <f t="shared" ref="J4:J77" si="4">SQRT(I4)</f>
        <v>0</v>
      </c>
      <c r="K4" s="6">
        <f t="shared" ref="K4:K77" si="5">(1.96*J4)</f>
        <v>0</v>
      </c>
      <c r="M4" s="2">
        <f>'rockfish harvests'!O3</f>
        <v>138.05722985297768</v>
      </c>
      <c r="N4">
        <f>'rockfish harvests'!P3</f>
        <v>5834.5115045216135</v>
      </c>
      <c r="Q4" s="13" t="e">
        <f>#REF!*M4</f>
        <v>#REF!</v>
      </c>
      <c r="R4" s="14" t="e">
        <f>(M4^2)*#REF!+(#REF!^2)*N4-(#REF!*N4)</f>
        <v>#REF!</v>
      </c>
      <c r="S4" t="e">
        <f t="shared" ref="S4:S77" si="6">SQRT(R4)</f>
        <v>#REF!</v>
      </c>
      <c r="T4" s="6" t="e">
        <f t="shared" ref="T4:T77" si="7">(1.96*S4)</f>
        <v>#REF!</v>
      </c>
      <c r="V4" s="13" t="e">
        <f t="shared" si="2"/>
        <v>#REF!</v>
      </c>
      <c r="W4" t="e">
        <f t="shared" si="3"/>
        <v>#REF!</v>
      </c>
      <c r="X4" t="e">
        <f t="shared" ref="X4:X77" si="8">SQRT(W4)</f>
        <v>#REF!</v>
      </c>
      <c r="Y4" s="6" t="e">
        <f t="shared" ref="Y4:Y77" si="9">(1.96*X4)</f>
        <v>#REF!</v>
      </c>
      <c r="AD4" s="38" t="s">
        <v>93</v>
      </c>
    </row>
    <row r="5" spans="1:30" x14ac:dyDescent="0.3">
      <c r="A5" t="str">
        <f>'rockfish harvests'!A4</f>
        <v>SC</v>
      </c>
      <c r="B5">
        <f>'rockfish harvests'!B4</f>
        <v>2000</v>
      </c>
      <c r="C5" t="str">
        <f>'rockfish harvests'!C4</f>
        <v>AFOGNAK</v>
      </c>
      <c r="D5">
        <f>'rockfish harvests'!D4</f>
        <v>1412</v>
      </c>
      <c r="E5">
        <f>'YE harvest'!E5</f>
        <v>188</v>
      </c>
      <c r="F5" s="38"/>
      <c r="G5" s="39"/>
      <c r="H5" s="13">
        <f t="shared" si="0"/>
        <v>0</v>
      </c>
      <c r="I5">
        <f t="shared" si="1"/>
        <v>0</v>
      </c>
      <c r="J5">
        <f t="shared" si="4"/>
        <v>0</v>
      </c>
      <c r="K5" s="6">
        <f t="shared" si="5"/>
        <v>0</v>
      </c>
      <c r="M5" s="2">
        <f>'rockfish harvests'!O4</f>
        <v>385.25060978736042</v>
      </c>
      <c r="N5">
        <f>'rockfish harvests'!P4</f>
        <v>45433.151217293431</v>
      </c>
      <c r="Q5" s="13" t="e">
        <f>#REF!*M5</f>
        <v>#REF!</v>
      </c>
      <c r="R5" s="14" t="e">
        <f>(M5^2)*#REF!+(#REF!^2)*N5-(#REF!*N5)</f>
        <v>#REF!</v>
      </c>
      <c r="S5" t="e">
        <f t="shared" si="6"/>
        <v>#REF!</v>
      </c>
      <c r="T5" s="6" t="e">
        <f t="shared" si="7"/>
        <v>#REF!</v>
      </c>
      <c r="V5" s="13" t="e">
        <f t="shared" si="2"/>
        <v>#REF!</v>
      </c>
      <c r="W5" t="e">
        <f t="shared" si="3"/>
        <v>#REF!</v>
      </c>
      <c r="X5" t="e">
        <f t="shared" si="8"/>
        <v>#REF!</v>
      </c>
      <c r="Y5" s="6" t="e">
        <f t="shared" si="9"/>
        <v>#REF!</v>
      </c>
      <c r="AD5" s="27" t="s">
        <v>140</v>
      </c>
    </row>
    <row r="6" spans="1:30" x14ac:dyDescent="0.3">
      <c r="A6" t="str">
        <f>'rockfish harvests'!A5</f>
        <v>SC</v>
      </c>
      <c r="B6">
        <f>'rockfish harvests'!B5</f>
        <v>2001</v>
      </c>
      <c r="C6" t="str">
        <f>'rockfish harvests'!C5</f>
        <v>AFOGNAK</v>
      </c>
      <c r="D6">
        <f>'rockfish harvests'!D5</f>
        <v>535</v>
      </c>
      <c r="E6">
        <f>'YE harvest'!E6</f>
        <v>58</v>
      </c>
      <c r="F6" s="38"/>
      <c r="G6" s="39"/>
      <c r="H6" s="13">
        <f t="shared" si="0"/>
        <v>0</v>
      </c>
      <c r="I6">
        <f t="shared" si="1"/>
        <v>0</v>
      </c>
      <c r="J6">
        <f t="shared" si="4"/>
        <v>0</v>
      </c>
      <c r="K6" s="6">
        <f t="shared" si="5"/>
        <v>0</v>
      </c>
      <c r="M6" s="2">
        <f>'rockfish harvests'!O5</f>
        <v>145.96960073387947</v>
      </c>
      <c r="N6">
        <f>'rockfish harvests'!P5</f>
        <v>6522.4540899783578</v>
      </c>
      <c r="Q6" s="13" t="e">
        <f>#REF!*M6</f>
        <v>#REF!</v>
      </c>
      <c r="R6" s="14" t="e">
        <f>(M6^2)*#REF!+(#REF!^2)*N6-(#REF!*N6)</f>
        <v>#REF!</v>
      </c>
      <c r="S6" t="e">
        <f t="shared" si="6"/>
        <v>#REF!</v>
      </c>
      <c r="T6" s="6" t="e">
        <f t="shared" si="7"/>
        <v>#REF!</v>
      </c>
      <c r="V6" s="13" t="e">
        <f t="shared" si="2"/>
        <v>#REF!</v>
      </c>
      <c r="W6" t="e">
        <f t="shared" si="3"/>
        <v>#REF!</v>
      </c>
      <c r="X6" t="e">
        <f t="shared" si="8"/>
        <v>#REF!</v>
      </c>
      <c r="Y6" s="6" t="e">
        <f t="shared" si="9"/>
        <v>#REF!</v>
      </c>
    </row>
    <row r="7" spans="1:30" x14ac:dyDescent="0.3">
      <c r="A7" t="str">
        <f>'rockfish harvests'!A6</f>
        <v>SC</v>
      </c>
      <c r="B7">
        <f>'rockfish harvests'!B6</f>
        <v>2002</v>
      </c>
      <c r="C7" t="str">
        <f>'rockfish harvests'!C6</f>
        <v>AFOGNAK</v>
      </c>
      <c r="D7">
        <f>'rockfish harvests'!D6</f>
        <v>345</v>
      </c>
      <c r="E7">
        <f>'YE harvest'!E7</f>
        <v>54</v>
      </c>
      <c r="F7" s="38"/>
      <c r="G7" s="39"/>
      <c r="H7" s="13">
        <f t="shared" si="0"/>
        <v>0</v>
      </c>
      <c r="I7">
        <f t="shared" si="1"/>
        <v>0</v>
      </c>
      <c r="J7">
        <f t="shared" si="4"/>
        <v>0</v>
      </c>
      <c r="K7" s="6">
        <f t="shared" si="5"/>
        <v>0</v>
      </c>
      <c r="M7" s="2">
        <f>'rockfish harvests'!O6</f>
        <v>94.129929445212042</v>
      </c>
      <c r="N7">
        <f>'rockfish harvests'!P6</f>
        <v>2712.3245630524034</v>
      </c>
      <c r="Q7" s="13" t="e">
        <f>#REF!*M7</f>
        <v>#REF!</v>
      </c>
      <c r="R7" s="14" t="e">
        <f>(M7^2)*#REF!+(#REF!^2)*N7-(#REF!*N7)</f>
        <v>#REF!</v>
      </c>
      <c r="S7" t="e">
        <f t="shared" si="6"/>
        <v>#REF!</v>
      </c>
      <c r="T7" s="6" t="e">
        <f t="shared" si="7"/>
        <v>#REF!</v>
      </c>
      <c r="V7" s="13" t="e">
        <f t="shared" si="2"/>
        <v>#REF!</v>
      </c>
      <c r="W7" t="e">
        <f t="shared" si="3"/>
        <v>#REF!</v>
      </c>
      <c r="X7" t="e">
        <f t="shared" si="8"/>
        <v>#REF!</v>
      </c>
      <c r="Y7" s="6" t="e">
        <f t="shared" si="9"/>
        <v>#REF!</v>
      </c>
    </row>
    <row r="8" spans="1:30" x14ac:dyDescent="0.3">
      <c r="A8" t="str">
        <f>'rockfish harvests'!A7</f>
        <v>SC</v>
      </c>
      <c r="B8">
        <f>'rockfish harvests'!B7</f>
        <v>2003</v>
      </c>
      <c r="C8" t="str">
        <f>'rockfish harvests'!C7</f>
        <v>AFOGNAK</v>
      </c>
      <c r="D8">
        <f>'rockfish harvests'!D7</f>
        <v>567</v>
      </c>
      <c r="E8">
        <f>'YE harvest'!E8</f>
        <v>83</v>
      </c>
      <c r="F8" s="38"/>
      <c r="G8" s="39"/>
      <c r="H8" s="13">
        <f t="shared" si="0"/>
        <v>0</v>
      </c>
      <c r="I8">
        <f t="shared" si="1"/>
        <v>0</v>
      </c>
      <c r="J8">
        <f t="shared" si="4"/>
        <v>0</v>
      </c>
      <c r="K8" s="6">
        <f t="shared" si="5"/>
        <v>0</v>
      </c>
      <c r="M8" s="2">
        <f>'rockfish harvests'!O7</f>
        <v>154.70049274039195</v>
      </c>
      <c r="N8">
        <f>'rockfish harvests'!P7</f>
        <v>7326.0450447481962</v>
      </c>
      <c r="Q8" s="13" t="e">
        <f>#REF!*M8</f>
        <v>#REF!</v>
      </c>
      <c r="R8" s="14" t="e">
        <f>(M8^2)*#REF!+(#REF!^2)*N8-(#REF!*N8)</f>
        <v>#REF!</v>
      </c>
      <c r="S8" t="e">
        <f t="shared" si="6"/>
        <v>#REF!</v>
      </c>
      <c r="T8" s="6" t="e">
        <f t="shared" si="7"/>
        <v>#REF!</v>
      </c>
      <c r="V8" s="13" t="e">
        <f t="shared" si="2"/>
        <v>#REF!</v>
      </c>
      <c r="W8" t="e">
        <f t="shared" si="3"/>
        <v>#REF!</v>
      </c>
      <c r="X8" t="e">
        <f t="shared" si="8"/>
        <v>#REF!</v>
      </c>
      <c r="Y8" s="6" t="e">
        <f t="shared" si="9"/>
        <v>#REF!</v>
      </c>
    </row>
    <row r="9" spans="1:30" x14ac:dyDescent="0.3">
      <c r="A9" t="str">
        <f>'rockfish harvests'!A8</f>
        <v>SC</v>
      </c>
      <c r="B9">
        <f>'rockfish harvests'!B8</f>
        <v>2004</v>
      </c>
      <c r="C9" t="str">
        <f>'rockfish harvests'!C8</f>
        <v>AFOGNAK</v>
      </c>
      <c r="D9">
        <f>'rockfish harvests'!D8</f>
        <v>468</v>
      </c>
      <c r="E9">
        <f>'YE harvest'!E9</f>
        <v>130</v>
      </c>
      <c r="F9" s="38"/>
      <c r="G9" s="39"/>
      <c r="H9" s="13">
        <f t="shared" si="0"/>
        <v>0</v>
      </c>
      <c r="I9">
        <f t="shared" si="1"/>
        <v>0</v>
      </c>
      <c r="J9">
        <f t="shared" si="4"/>
        <v>0</v>
      </c>
      <c r="K9" s="6">
        <f t="shared" si="5"/>
        <v>0</v>
      </c>
      <c r="M9" s="2">
        <f>'rockfish harvests'!O8</f>
        <v>127.68929559524418</v>
      </c>
      <c r="N9">
        <f>'rockfish harvests'!P8</f>
        <v>4991.087377424823</v>
      </c>
      <c r="Q9" s="13" t="e">
        <f>#REF!*M9</f>
        <v>#REF!</v>
      </c>
      <c r="R9" s="14" t="e">
        <f>(M9^2)*#REF!+(#REF!^2)*N9-(#REF!*N9)</f>
        <v>#REF!</v>
      </c>
      <c r="S9" t="e">
        <f t="shared" si="6"/>
        <v>#REF!</v>
      </c>
      <c r="T9" s="6" t="e">
        <f t="shared" si="7"/>
        <v>#REF!</v>
      </c>
      <c r="V9" s="13" t="e">
        <f t="shared" si="2"/>
        <v>#REF!</v>
      </c>
      <c r="W9" t="e">
        <f t="shared" si="3"/>
        <v>#REF!</v>
      </c>
      <c r="X9" t="e">
        <f t="shared" si="8"/>
        <v>#REF!</v>
      </c>
      <c r="Y9" s="6" t="e">
        <f t="shared" si="9"/>
        <v>#REF!</v>
      </c>
    </row>
    <row r="10" spans="1:30" ht="36.6" x14ac:dyDescent="0.7">
      <c r="A10" t="str">
        <f>'rockfish harvests'!A9</f>
        <v>SC</v>
      </c>
      <c r="B10">
        <f>'rockfish harvests'!B9</f>
        <v>2005</v>
      </c>
      <c r="C10" t="str">
        <f>'rockfish harvests'!C9</f>
        <v>AFOGNAK</v>
      </c>
      <c r="D10">
        <f>'rockfish harvests'!D9</f>
        <v>1385</v>
      </c>
      <c r="E10">
        <f>'YE harvest'!E10</f>
        <v>206</v>
      </c>
      <c r="F10" s="38"/>
      <c r="G10" s="39"/>
      <c r="H10" s="13">
        <f t="shared" si="0"/>
        <v>0</v>
      </c>
      <c r="I10">
        <f t="shared" si="1"/>
        <v>0</v>
      </c>
      <c r="J10">
        <f t="shared" si="4"/>
        <v>0</v>
      </c>
      <c r="K10" s="6">
        <f t="shared" si="5"/>
        <v>0</v>
      </c>
      <c r="M10" s="2">
        <f>'rockfish harvests'!O9</f>
        <v>377.8839196568656</v>
      </c>
      <c r="N10">
        <f>'rockfish harvests'!P9</f>
        <v>43712.235118346529</v>
      </c>
      <c r="Q10" s="13" t="e">
        <f>#REF!*M10</f>
        <v>#REF!</v>
      </c>
      <c r="R10" s="14" t="e">
        <f>(M10^2)*#REF!+(#REF!^2)*N10-(#REF!*N10)</f>
        <v>#REF!</v>
      </c>
      <c r="S10" t="e">
        <f t="shared" si="6"/>
        <v>#REF!</v>
      </c>
      <c r="T10" s="6" t="e">
        <f t="shared" si="7"/>
        <v>#REF!</v>
      </c>
      <c r="V10" s="13" t="e">
        <f t="shared" si="2"/>
        <v>#REF!</v>
      </c>
      <c r="W10" t="e">
        <f t="shared" si="3"/>
        <v>#REF!</v>
      </c>
      <c r="X10" t="e">
        <f t="shared" si="8"/>
        <v>#REF!</v>
      </c>
      <c r="Y10" s="6" t="e">
        <f t="shared" si="9"/>
        <v>#REF!</v>
      </c>
      <c r="AC10" s="97" t="s">
        <v>173</v>
      </c>
    </row>
    <row r="11" spans="1:30" x14ac:dyDescent="0.3">
      <c r="A11" t="str">
        <f>'rockfish harvests'!A10</f>
        <v>SC</v>
      </c>
      <c r="B11">
        <f>'rockfish harvests'!B10</f>
        <v>2006</v>
      </c>
      <c r="C11" t="str">
        <f>'rockfish harvests'!C10</f>
        <v>AFOGNAK</v>
      </c>
      <c r="D11">
        <f>'rockfish harvests'!D10</f>
        <v>925</v>
      </c>
      <c r="E11">
        <f>'YE harvest'!E11</f>
        <v>159</v>
      </c>
      <c r="H11" s="13" t="e">
        <f>#REF!</f>
        <v>#REF!</v>
      </c>
      <c r="I11">
        <f t="shared" si="1"/>
        <v>0</v>
      </c>
      <c r="J11">
        <f t="shared" si="4"/>
        <v>0</v>
      </c>
      <c r="K11" s="6">
        <f t="shared" si="5"/>
        <v>0</v>
      </c>
      <c r="M11" s="2">
        <f>'rockfish harvests'!O10</f>
        <v>252.37734706324954</v>
      </c>
      <c r="N11">
        <f>'rockfish harvests'!P10</f>
        <v>19497.859309067106</v>
      </c>
      <c r="Q11" s="13" t="e">
        <f>#REF!*M11</f>
        <v>#REF!</v>
      </c>
      <c r="R11" s="14" t="e">
        <f>(M11^2)*#REF!+(#REF!^2)*N11-(#REF!*N11)</f>
        <v>#REF!</v>
      </c>
      <c r="S11" t="e">
        <f t="shared" si="6"/>
        <v>#REF!</v>
      </c>
      <c r="T11" s="6" t="e">
        <f t="shared" si="7"/>
        <v>#REF!</v>
      </c>
      <c r="V11" s="13" t="e">
        <f t="shared" si="2"/>
        <v>#REF!</v>
      </c>
      <c r="W11" t="e">
        <f t="shared" si="3"/>
        <v>#REF!</v>
      </c>
      <c r="X11" t="e">
        <f t="shared" si="8"/>
        <v>#REF!</v>
      </c>
      <c r="Y11" s="6" t="e">
        <f t="shared" si="9"/>
        <v>#REF!</v>
      </c>
    </row>
    <row r="12" spans="1:30" x14ac:dyDescent="0.3">
      <c r="A12" t="str">
        <f>'rockfish harvests'!A11</f>
        <v>SC</v>
      </c>
      <c r="B12">
        <f>'rockfish harvests'!B11</f>
        <v>2007</v>
      </c>
      <c r="C12" t="str">
        <f>'rockfish harvests'!C11</f>
        <v>AFOGNAK</v>
      </c>
      <c r="D12">
        <f>'rockfish harvests'!D11</f>
        <v>2488</v>
      </c>
      <c r="E12">
        <f>'YE harvest'!E12</f>
        <v>304</v>
      </c>
      <c r="H12" s="13" t="e">
        <f>#REF!</f>
        <v>#REF!</v>
      </c>
      <c r="I12">
        <f t="shared" si="1"/>
        <v>0</v>
      </c>
      <c r="J12">
        <f t="shared" si="4"/>
        <v>0</v>
      </c>
      <c r="K12" s="6">
        <f t="shared" si="5"/>
        <v>0</v>
      </c>
      <c r="M12" s="2">
        <f>'rockfish harvests'!O11</f>
        <v>678.82685350634074</v>
      </c>
      <c r="N12">
        <f>'rockfish harvests'!P11</f>
        <v>141060.11022920778</v>
      </c>
      <c r="Q12" s="13" t="e">
        <f>#REF!*M12</f>
        <v>#REF!</v>
      </c>
      <c r="R12" s="14" t="e">
        <f>(M12^2)*#REF!+(#REF!^2)*N12-(#REF!*N12)</f>
        <v>#REF!</v>
      </c>
      <c r="S12" t="e">
        <f t="shared" si="6"/>
        <v>#REF!</v>
      </c>
      <c r="T12" s="6" t="e">
        <f t="shared" si="7"/>
        <v>#REF!</v>
      </c>
      <c r="V12" s="13" t="e">
        <f t="shared" si="2"/>
        <v>#REF!</v>
      </c>
      <c r="W12" t="e">
        <f t="shared" si="3"/>
        <v>#REF!</v>
      </c>
      <c r="X12" t="e">
        <f t="shared" si="8"/>
        <v>#REF!</v>
      </c>
      <c r="Y12" s="6" t="e">
        <f t="shared" si="9"/>
        <v>#REF!</v>
      </c>
    </row>
    <row r="13" spans="1:30" x14ac:dyDescent="0.3">
      <c r="A13" t="str">
        <f>'rockfish harvests'!A12</f>
        <v>SC</v>
      </c>
      <c r="B13">
        <f>'rockfish harvests'!B12</f>
        <v>2008</v>
      </c>
      <c r="C13" t="str">
        <f>'rockfish harvests'!C12</f>
        <v>AFOGNAK</v>
      </c>
      <c r="D13">
        <f>'rockfish harvests'!D12</f>
        <v>2670</v>
      </c>
      <c r="E13">
        <f>'YE harvest'!E13</f>
        <v>601</v>
      </c>
      <c r="H13" s="13" t="e">
        <f>#REF!</f>
        <v>#REF!</v>
      </c>
      <c r="I13">
        <f t="shared" si="1"/>
        <v>0</v>
      </c>
      <c r="J13">
        <f t="shared" si="4"/>
        <v>0</v>
      </c>
      <c r="K13" s="6">
        <f t="shared" si="5"/>
        <v>0</v>
      </c>
      <c r="M13" s="2">
        <f>'rockfish harvests'!O12</f>
        <v>728.48380179337983</v>
      </c>
      <c r="N13">
        <f>'rockfish harvests'!P12</f>
        <v>162452.3467972634</v>
      </c>
      <c r="Q13" s="13" t="e">
        <f>#REF!*M13</f>
        <v>#REF!</v>
      </c>
      <c r="R13" s="14" t="e">
        <f>(M13^2)*#REF!+(#REF!^2)*N13-(#REF!*N13)</f>
        <v>#REF!</v>
      </c>
      <c r="S13" t="e">
        <f t="shared" si="6"/>
        <v>#REF!</v>
      </c>
      <c r="T13" s="6" t="e">
        <f t="shared" si="7"/>
        <v>#REF!</v>
      </c>
      <c r="V13" s="13" t="e">
        <f t="shared" si="2"/>
        <v>#REF!</v>
      </c>
      <c r="W13" t="e">
        <f t="shared" si="3"/>
        <v>#REF!</v>
      </c>
      <c r="X13" t="e">
        <f t="shared" si="8"/>
        <v>#REF!</v>
      </c>
      <c r="Y13" s="6" t="e">
        <f t="shared" si="9"/>
        <v>#REF!</v>
      </c>
    </row>
    <row r="14" spans="1:30" x14ac:dyDescent="0.3">
      <c r="A14" t="str">
        <f>'rockfish harvests'!A13</f>
        <v>SC</v>
      </c>
      <c r="B14">
        <f>'rockfish harvests'!B13</f>
        <v>2009</v>
      </c>
      <c r="C14" t="str">
        <f>'rockfish harvests'!C13</f>
        <v>AFOGNAK</v>
      </c>
      <c r="D14">
        <f>'rockfish harvests'!D13</f>
        <v>3763</v>
      </c>
      <c r="E14">
        <f>'YE harvest'!E14</f>
        <v>557</v>
      </c>
      <c r="H14" s="13" t="e">
        <f>#REF!</f>
        <v>#REF!</v>
      </c>
      <c r="I14">
        <f t="shared" si="1"/>
        <v>0</v>
      </c>
      <c r="J14">
        <f t="shared" si="4"/>
        <v>0</v>
      </c>
      <c r="K14" s="6">
        <f t="shared" si="5"/>
        <v>0</v>
      </c>
      <c r="M14" s="2">
        <f>'rockfish harvests'!O13</f>
        <v>1026.6983318908196</v>
      </c>
      <c r="N14">
        <f>'rockfish harvests'!P13</f>
        <v>322679.89242321515</v>
      </c>
      <c r="Q14" s="13" t="e">
        <f>#REF!*M14</f>
        <v>#REF!</v>
      </c>
      <c r="R14" s="14" t="e">
        <f>(M14^2)*#REF!+(#REF!^2)*N14-(#REF!*N14)</f>
        <v>#REF!</v>
      </c>
      <c r="S14" t="e">
        <f t="shared" si="6"/>
        <v>#REF!</v>
      </c>
      <c r="T14" s="6" t="e">
        <f t="shared" si="7"/>
        <v>#REF!</v>
      </c>
      <c r="V14" s="13" t="e">
        <f t="shared" si="2"/>
        <v>#REF!</v>
      </c>
      <c r="W14" t="e">
        <f t="shared" si="3"/>
        <v>#REF!</v>
      </c>
      <c r="X14" t="e">
        <f t="shared" si="8"/>
        <v>#REF!</v>
      </c>
      <c r="Y14" s="6" t="e">
        <f t="shared" si="9"/>
        <v>#REF!</v>
      </c>
    </row>
    <row r="15" spans="1:30" x14ac:dyDescent="0.3">
      <c r="A15" t="str">
        <f>'rockfish harvests'!A14</f>
        <v>SC</v>
      </c>
      <c r="B15">
        <f>'rockfish harvests'!B14</f>
        <v>2010</v>
      </c>
      <c r="C15" t="str">
        <f>'rockfish harvests'!C14</f>
        <v>AFOGNAK</v>
      </c>
      <c r="D15">
        <f>'rockfish harvests'!D14</f>
        <v>3032</v>
      </c>
      <c r="E15">
        <f>'YE harvest'!E15</f>
        <v>1061</v>
      </c>
      <c r="H15" s="13" t="e">
        <f>#REF!</f>
        <v>#REF!</v>
      </c>
      <c r="I15">
        <f t="shared" si="1"/>
        <v>0</v>
      </c>
      <c r="J15">
        <f t="shared" si="4"/>
        <v>0</v>
      </c>
      <c r="K15" s="6">
        <f t="shared" si="5"/>
        <v>0</v>
      </c>
      <c r="M15" s="2">
        <f>'rockfish harvests'!O14</f>
        <v>827.25201761705193</v>
      </c>
      <c r="N15">
        <f>'rockfish harvests'!P14</f>
        <v>209489.30732140518</v>
      </c>
      <c r="Q15" s="13" t="e">
        <f>#REF!*M15</f>
        <v>#REF!</v>
      </c>
      <c r="R15" s="14" t="e">
        <f>(M15^2)*#REF!+(#REF!^2)*N15-(#REF!*N15)</f>
        <v>#REF!</v>
      </c>
      <c r="S15" t="e">
        <f t="shared" si="6"/>
        <v>#REF!</v>
      </c>
      <c r="T15" s="6" t="e">
        <f t="shared" si="7"/>
        <v>#REF!</v>
      </c>
      <c r="V15" s="13" t="e">
        <f t="shared" si="2"/>
        <v>#REF!</v>
      </c>
      <c r="W15" t="e">
        <f t="shared" si="3"/>
        <v>#REF!</v>
      </c>
      <c r="X15" t="e">
        <f t="shared" si="8"/>
        <v>#REF!</v>
      </c>
      <c r="Y15" s="6" t="e">
        <f t="shared" si="9"/>
        <v>#REF!</v>
      </c>
    </row>
    <row r="16" spans="1:30" x14ac:dyDescent="0.3">
      <c r="A16" t="str">
        <f>'rockfish harvests'!A15</f>
        <v>SC</v>
      </c>
      <c r="B16">
        <f>'rockfish harvests'!B15</f>
        <v>2011</v>
      </c>
      <c r="C16" t="str">
        <f>'rockfish harvests'!C15</f>
        <v>AFOGNAK</v>
      </c>
      <c r="D16">
        <f>'rockfish harvests'!D15</f>
        <v>3052</v>
      </c>
      <c r="E16">
        <f>'YE harvest'!E16</f>
        <v>487</v>
      </c>
      <c r="H16" s="13" t="e">
        <f>#REF!</f>
        <v>#REF!</v>
      </c>
      <c r="I16">
        <f t="shared" si="1"/>
        <v>0</v>
      </c>
      <c r="J16">
        <f t="shared" si="4"/>
        <v>0</v>
      </c>
      <c r="K16" s="6">
        <f t="shared" si="5"/>
        <v>0</v>
      </c>
      <c r="M16" s="2">
        <f>'rockfish harvests'!O15</f>
        <v>852.74081958488568</v>
      </c>
      <c r="N16">
        <f>'rockfish harvests'!P15</f>
        <v>200039.3867927817</v>
      </c>
      <c r="Q16" s="13" t="e">
        <f>#REF!*M16</f>
        <v>#REF!</v>
      </c>
      <c r="R16" s="14" t="e">
        <f>(M16^2)*#REF!+(#REF!^2)*N16-(#REF!*N16)</f>
        <v>#REF!</v>
      </c>
      <c r="S16" t="e">
        <f t="shared" si="6"/>
        <v>#REF!</v>
      </c>
      <c r="T16" s="6" t="e">
        <f t="shared" si="7"/>
        <v>#REF!</v>
      </c>
      <c r="V16" s="13" t="e">
        <f t="shared" si="2"/>
        <v>#REF!</v>
      </c>
      <c r="W16" t="e">
        <f t="shared" si="3"/>
        <v>#REF!</v>
      </c>
      <c r="X16" t="e">
        <f t="shared" si="8"/>
        <v>#REF!</v>
      </c>
      <c r="Y16" s="6" t="e">
        <f t="shared" si="9"/>
        <v>#REF!</v>
      </c>
    </row>
    <row r="17" spans="1:25" x14ac:dyDescent="0.3">
      <c r="A17" t="str">
        <f>'rockfish harvests'!A16</f>
        <v>SC</v>
      </c>
      <c r="B17">
        <f>'rockfish harvests'!B16</f>
        <v>2012</v>
      </c>
      <c r="C17" t="str">
        <f>'rockfish harvests'!C16</f>
        <v>AFOGNAK</v>
      </c>
      <c r="D17">
        <f>'rockfish harvests'!D16</f>
        <v>3025</v>
      </c>
      <c r="E17">
        <f>'YE harvest'!E17</f>
        <v>564</v>
      </c>
      <c r="H17" s="13" t="e">
        <f>#REF!</f>
        <v>#REF!</v>
      </c>
      <c r="I17">
        <f t="shared" si="1"/>
        <v>0</v>
      </c>
      <c r="J17">
        <f t="shared" si="4"/>
        <v>0</v>
      </c>
      <c r="K17" s="6">
        <f t="shared" si="5"/>
        <v>0</v>
      </c>
      <c r="M17" s="2">
        <f>'rockfish harvests'!O16</f>
        <v>1110.7541899441339</v>
      </c>
      <c r="N17">
        <f>'rockfish harvests'!P16</f>
        <v>261396.56419933448</v>
      </c>
      <c r="Q17" s="13" t="e">
        <f>#REF!*M17</f>
        <v>#REF!</v>
      </c>
      <c r="R17" s="14" t="e">
        <f>(M17^2)*#REF!+(#REF!^2)*N17-(#REF!*N17)</f>
        <v>#REF!</v>
      </c>
      <c r="S17" t="e">
        <f t="shared" si="6"/>
        <v>#REF!</v>
      </c>
      <c r="T17" s="6" t="e">
        <f t="shared" si="7"/>
        <v>#REF!</v>
      </c>
      <c r="V17" s="13" t="e">
        <f t="shared" si="2"/>
        <v>#REF!</v>
      </c>
      <c r="W17" t="e">
        <f t="shared" si="3"/>
        <v>#REF!</v>
      </c>
      <c r="X17" t="e">
        <f t="shared" si="8"/>
        <v>#REF!</v>
      </c>
      <c r="Y17" s="6" t="e">
        <f t="shared" si="9"/>
        <v>#REF!</v>
      </c>
    </row>
    <row r="18" spans="1:25" x14ac:dyDescent="0.3">
      <c r="A18" t="str">
        <f>'rockfish harvests'!A17</f>
        <v>SC</v>
      </c>
      <c r="B18">
        <f>'rockfish harvests'!B17</f>
        <v>2013</v>
      </c>
      <c r="C18" t="str">
        <f>'rockfish harvests'!C17</f>
        <v>AFOGNAK</v>
      </c>
      <c r="D18">
        <f>'rockfish harvests'!D17</f>
        <v>2487</v>
      </c>
      <c r="E18">
        <f>'YE harvest'!E18</f>
        <v>473</v>
      </c>
      <c r="H18" s="13" t="e">
        <f>#REF!</f>
        <v>#REF!</v>
      </c>
      <c r="I18">
        <f t="shared" si="1"/>
        <v>0</v>
      </c>
      <c r="J18">
        <f t="shared" si="4"/>
        <v>0</v>
      </c>
      <c r="K18" s="6">
        <f t="shared" si="5"/>
        <v>0</v>
      </c>
      <c r="M18" s="2">
        <f>'rockfish harvests'!O17</f>
        <v>731.12895692786697</v>
      </c>
      <c r="N18">
        <f>'rockfish harvests'!P17</f>
        <v>125971.00775365347</v>
      </c>
      <c r="Q18" s="13" t="e">
        <f>#REF!*M18</f>
        <v>#REF!</v>
      </c>
      <c r="R18" s="14" t="e">
        <f>(M18^2)*#REF!+(#REF!^2)*N18-(#REF!*N18)</f>
        <v>#REF!</v>
      </c>
      <c r="S18" t="e">
        <f t="shared" si="6"/>
        <v>#REF!</v>
      </c>
      <c r="T18" s="6" t="e">
        <f t="shared" si="7"/>
        <v>#REF!</v>
      </c>
      <c r="V18" s="13" t="e">
        <f t="shared" si="2"/>
        <v>#REF!</v>
      </c>
      <c r="W18" t="e">
        <f t="shared" si="3"/>
        <v>#REF!</v>
      </c>
      <c r="X18" t="e">
        <f t="shared" si="8"/>
        <v>#REF!</v>
      </c>
      <c r="Y18" s="6" t="e">
        <f t="shared" si="9"/>
        <v>#REF!</v>
      </c>
    </row>
    <row r="19" spans="1:25" x14ac:dyDescent="0.3">
      <c r="A19" t="str">
        <f>'rockfish harvests'!A18</f>
        <v>SC</v>
      </c>
      <c r="B19">
        <f>'rockfish harvests'!B18</f>
        <v>2014</v>
      </c>
      <c r="C19" t="str">
        <f>'rockfish harvests'!C18</f>
        <v>AFOGNAK</v>
      </c>
      <c r="D19">
        <f>'rockfish harvests'!D18</f>
        <v>2843</v>
      </c>
      <c r="E19">
        <f>'YE harvest'!E19</f>
        <v>580</v>
      </c>
      <c r="H19" s="13" t="e">
        <f>#REF!</f>
        <v>#REF!</v>
      </c>
      <c r="I19">
        <f t="shared" si="1"/>
        <v>0</v>
      </c>
      <c r="J19">
        <f t="shared" si="4"/>
        <v>0</v>
      </c>
      <c r="K19" s="6">
        <f t="shared" si="5"/>
        <v>0</v>
      </c>
      <c r="M19" s="2">
        <f>'rockfish harvests'!O18</f>
        <v>1234.1607301869994</v>
      </c>
      <c r="N19">
        <f>'rockfish harvests'!P18</f>
        <v>268862.96198516607</v>
      </c>
      <c r="Q19" s="13" t="e">
        <f>#REF!*M19</f>
        <v>#REF!</v>
      </c>
      <c r="R19" s="14" t="e">
        <f>(M19^2)*#REF!+(#REF!^2)*N19-(#REF!*N19)</f>
        <v>#REF!</v>
      </c>
      <c r="S19" t="e">
        <f t="shared" si="6"/>
        <v>#REF!</v>
      </c>
      <c r="T19" s="6" t="e">
        <f t="shared" si="7"/>
        <v>#REF!</v>
      </c>
      <c r="V19" s="13" t="e">
        <f t="shared" si="2"/>
        <v>#REF!</v>
      </c>
      <c r="W19" t="e">
        <f t="shared" si="3"/>
        <v>#REF!</v>
      </c>
      <c r="X19" t="e">
        <f t="shared" si="8"/>
        <v>#REF!</v>
      </c>
      <c r="Y19" s="6" t="e">
        <f t="shared" si="9"/>
        <v>#REF!</v>
      </c>
    </row>
    <row r="20" spans="1:25" x14ac:dyDescent="0.3">
      <c r="A20" t="str">
        <f>'rockfish harvests'!A19</f>
        <v>SC</v>
      </c>
      <c r="B20">
        <f>'rockfish harvests'!B19</f>
        <v>2015</v>
      </c>
      <c r="C20" t="str">
        <f>'rockfish harvests'!C19</f>
        <v>AFOGNAK</v>
      </c>
      <c r="D20">
        <f>'rockfish harvests'!D19</f>
        <v>3919</v>
      </c>
      <c r="E20">
        <f>'YE harvest'!E20</f>
        <v>630</v>
      </c>
      <c r="H20" s="13" t="e">
        <f>#REF!</f>
        <v>#REF!</v>
      </c>
      <c r="I20">
        <f t="shared" si="1"/>
        <v>0</v>
      </c>
      <c r="J20">
        <f t="shared" si="4"/>
        <v>0</v>
      </c>
      <c r="K20" s="6">
        <f t="shared" si="5"/>
        <v>0</v>
      </c>
      <c r="M20" s="2">
        <f>'rockfish harvests'!O19</f>
        <v>1736.4958972529439</v>
      </c>
      <c r="N20">
        <f>'rockfish harvests'!P19</f>
        <v>1075446.4405794584</v>
      </c>
      <c r="Q20" s="13" t="e">
        <f>#REF!*M20</f>
        <v>#REF!</v>
      </c>
      <c r="R20" s="14" t="e">
        <f>(M20^2)*#REF!+(#REF!^2)*N20-(#REF!*N20)</f>
        <v>#REF!</v>
      </c>
      <c r="S20" t="e">
        <f t="shared" si="6"/>
        <v>#REF!</v>
      </c>
      <c r="T20" s="6" t="e">
        <f t="shared" si="7"/>
        <v>#REF!</v>
      </c>
      <c r="V20" s="13" t="e">
        <f t="shared" si="2"/>
        <v>#REF!</v>
      </c>
      <c r="W20" t="e">
        <f t="shared" si="3"/>
        <v>#REF!</v>
      </c>
      <c r="X20" t="e">
        <f t="shared" si="8"/>
        <v>#REF!</v>
      </c>
      <c r="Y20" s="6" t="e">
        <f t="shared" si="9"/>
        <v>#REF!</v>
      </c>
    </row>
    <row r="21" spans="1:25" x14ac:dyDescent="0.3">
      <c r="A21" t="str">
        <f>'rockfish harvests'!A20</f>
        <v>SC</v>
      </c>
      <c r="B21">
        <f>'rockfish harvests'!B20</f>
        <v>2016</v>
      </c>
      <c r="C21" t="str">
        <f>'rockfish harvests'!C20</f>
        <v>AFOGNAK</v>
      </c>
      <c r="D21">
        <f>'rockfish harvests'!D20</f>
        <v>5287</v>
      </c>
      <c r="E21">
        <f>'YE harvest'!E21</f>
        <v>760</v>
      </c>
      <c r="H21" s="13" t="e">
        <f>#REF!</f>
        <v>#REF!</v>
      </c>
      <c r="I21">
        <f t="shared" si="1"/>
        <v>0</v>
      </c>
      <c r="J21">
        <f t="shared" si="4"/>
        <v>0</v>
      </c>
      <c r="K21" s="6">
        <f t="shared" si="5"/>
        <v>0</v>
      </c>
      <c r="M21" s="2">
        <f>'rockfish harvests'!O20</f>
        <v>467.58654422040308</v>
      </c>
      <c r="N21">
        <f>'rockfish harvests'!P20</f>
        <v>63684.114088437818</v>
      </c>
      <c r="Q21" s="13" t="e">
        <f>#REF!*M21</f>
        <v>#REF!</v>
      </c>
      <c r="R21" s="14" t="e">
        <f>(M21^2)*#REF!+(#REF!^2)*N21-(#REF!*N21)</f>
        <v>#REF!</v>
      </c>
      <c r="S21" t="e">
        <f t="shared" si="6"/>
        <v>#REF!</v>
      </c>
      <c r="T21" s="6" t="e">
        <f t="shared" si="7"/>
        <v>#REF!</v>
      </c>
      <c r="V21" s="13" t="e">
        <f t="shared" si="2"/>
        <v>#REF!</v>
      </c>
      <c r="W21" t="e">
        <f t="shared" si="3"/>
        <v>#REF!</v>
      </c>
      <c r="X21" t="e">
        <f t="shared" si="8"/>
        <v>#REF!</v>
      </c>
      <c r="Y21" s="6" t="e">
        <f t="shared" si="9"/>
        <v>#REF!</v>
      </c>
    </row>
    <row r="22" spans="1:25" x14ac:dyDescent="0.3">
      <c r="A22" t="str">
        <f>'rockfish harvests'!A21</f>
        <v>SC</v>
      </c>
      <c r="B22">
        <f>'rockfish harvests'!B21</f>
        <v>2017</v>
      </c>
      <c r="C22" t="str">
        <f>'rockfish harvests'!C21</f>
        <v>AFOGNAK</v>
      </c>
      <c r="D22">
        <f>'rockfish harvests'!D21</f>
        <v>4756</v>
      </c>
      <c r="E22">
        <f>'YE harvest'!E22</f>
        <v>539</v>
      </c>
      <c r="H22" s="13" t="e">
        <f>#REF!</f>
        <v>#REF!</v>
      </c>
      <c r="I22">
        <f t="shared" si="1"/>
        <v>0</v>
      </c>
      <c r="J22">
        <f t="shared" si="4"/>
        <v>0</v>
      </c>
      <c r="K22" s="6">
        <f t="shared" si="5"/>
        <v>0</v>
      </c>
      <c r="M22" s="2">
        <f>'rockfish harvests'!O21</f>
        <v>537.74758244483019</v>
      </c>
      <c r="N22">
        <f>'rockfish harvests'!P21</f>
        <v>89663.784684390819</v>
      </c>
      <c r="Q22" s="13" t="e">
        <f>#REF!*M22</f>
        <v>#REF!</v>
      </c>
      <c r="R22" s="14" t="e">
        <f>(M22^2)*#REF!+(#REF!^2)*N22-(#REF!*N22)</f>
        <v>#REF!</v>
      </c>
      <c r="S22" t="e">
        <f t="shared" si="6"/>
        <v>#REF!</v>
      </c>
      <c r="T22" s="6" t="e">
        <f t="shared" si="7"/>
        <v>#REF!</v>
      </c>
      <c r="V22" s="13" t="e">
        <f t="shared" si="2"/>
        <v>#REF!</v>
      </c>
      <c r="W22" t="e">
        <f t="shared" si="3"/>
        <v>#REF!</v>
      </c>
      <c r="X22" t="e">
        <f t="shared" si="8"/>
        <v>#REF!</v>
      </c>
      <c r="Y22" s="6" t="e">
        <f t="shared" si="9"/>
        <v>#REF!</v>
      </c>
    </row>
    <row r="23" spans="1:25" x14ac:dyDescent="0.3">
      <c r="A23" t="str">
        <f>'rockfish harvests'!A22</f>
        <v>SC</v>
      </c>
      <c r="B23">
        <f>'rockfish harvests'!B22</f>
        <v>2018</v>
      </c>
      <c r="C23" t="str">
        <f>'rockfish harvests'!C22</f>
        <v>AFOGNAK</v>
      </c>
      <c r="D23">
        <f>'rockfish harvests'!D22</f>
        <v>5694</v>
      </c>
      <c r="E23">
        <f>'YE harvest'!E23</f>
        <v>602</v>
      </c>
      <c r="H23" s="13" t="e">
        <f>#REF!</f>
        <v>#REF!</v>
      </c>
      <c r="I23">
        <f t="shared" si="1"/>
        <v>0</v>
      </c>
      <c r="J23">
        <f t="shared" si="4"/>
        <v>0</v>
      </c>
      <c r="K23" s="6">
        <f t="shared" si="5"/>
        <v>0</v>
      </c>
      <c r="M23" s="2">
        <f>'rockfish harvests'!O22</f>
        <v>1496.4016172506736</v>
      </c>
      <c r="N23">
        <f>'rockfish harvests'!P22</f>
        <v>412259.26032139536</v>
      </c>
      <c r="Q23" s="13" t="e">
        <f>#REF!*M23</f>
        <v>#REF!</v>
      </c>
      <c r="R23" s="14" t="e">
        <f>(M23^2)*#REF!+(#REF!^2)*N23-(#REF!*N23)</f>
        <v>#REF!</v>
      </c>
      <c r="S23" t="e">
        <f t="shared" si="6"/>
        <v>#REF!</v>
      </c>
      <c r="T23" s="6" t="e">
        <f t="shared" si="7"/>
        <v>#REF!</v>
      </c>
      <c r="V23" s="13" t="e">
        <f t="shared" si="2"/>
        <v>#REF!</v>
      </c>
      <c r="W23" t="e">
        <f t="shared" si="3"/>
        <v>#REF!</v>
      </c>
      <c r="X23" t="e">
        <f t="shared" si="8"/>
        <v>#REF!</v>
      </c>
      <c r="Y23" s="6" t="e">
        <f t="shared" si="9"/>
        <v>#REF!</v>
      </c>
    </row>
    <row r="24" spans="1:25" x14ac:dyDescent="0.3">
      <c r="A24" t="str">
        <f>'rockfish harvests'!A23</f>
        <v>SC</v>
      </c>
      <c r="B24">
        <f>'rockfish harvests'!B23</f>
        <v>2019</v>
      </c>
      <c r="C24" t="str">
        <f>'rockfish harvests'!C23</f>
        <v>AFOGNAK</v>
      </c>
      <c r="D24">
        <f>'rockfish harvests'!D23</f>
        <v>6782</v>
      </c>
      <c r="E24">
        <f>'YE harvest'!E24</f>
        <v>1020</v>
      </c>
      <c r="I24">
        <f t="shared" ref="I24:I25" si="10">(E24^2)*G24</f>
        <v>0</v>
      </c>
      <c r="J24">
        <f t="shared" ref="J24:J25" si="11">SQRT(I24)</f>
        <v>0</v>
      </c>
      <c r="K24" s="6">
        <f t="shared" ref="K24:K25" si="12">(1.96*J24)</f>
        <v>0</v>
      </c>
      <c r="M24" s="2">
        <f>'rockfish harvests'!O23</f>
        <v>4435.3764258555148</v>
      </c>
      <c r="N24">
        <f>'rockfish harvests'!P23</f>
        <v>3560251.2769631236</v>
      </c>
      <c r="R24" s="14"/>
      <c r="S24"/>
      <c r="T24" s="6"/>
      <c r="Y24" s="6"/>
    </row>
    <row r="25" spans="1:25" x14ac:dyDescent="0.3">
      <c r="A25" t="str">
        <f>'rockfish harvests'!A24</f>
        <v>SC</v>
      </c>
      <c r="B25">
        <f>'rockfish harvests'!B24</f>
        <v>2020</v>
      </c>
      <c r="C25" t="str">
        <f>'rockfish harvests'!C24</f>
        <v>AFOGNAK</v>
      </c>
      <c r="D25">
        <f>'rockfish harvests'!D24</f>
        <v>5835</v>
      </c>
      <c r="E25">
        <f>'YE harvest'!E25</f>
        <v>831</v>
      </c>
      <c r="I25">
        <f t="shared" si="10"/>
        <v>0</v>
      </c>
      <c r="J25">
        <f t="shared" si="11"/>
        <v>0</v>
      </c>
      <c r="K25" s="6">
        <f t="shared" si="12"/>
        <v>0</v>
      </c>
      <c r="M25" s="2">
        <f>'rockfish harvests'!O24</f>
        <v>1752.4199820520489</v>
      </c>
      <c r="N25">
        <f>'rockfish harvests'!P24</f>
        <v>564645.39156800637</v>
      </c>
      <c r="R25" s="14"/>
      <c r="S25"/>
      <c r="T25" s="6"/>
      <c r="Y25" s="6"/>
    </row>
    <row r="26" spans="1:25" x14ac:dyDescent="0.3">
      <c r="A26" t="str">
        <f>'rockfish harvests'!A25</f>
        <v>SC</v>
      </c>
      <c r="B26">
        <f>'rockfish harvests'!B25</f>
        <v>2021</v>
      </c>
      <c r="C26" t="str">
        <f>'rockfish harvests'!C25</f>
        <v>AFOGNAK</v>
      </c>
      <c r="D26">
        <f>'rockfish harvests'!D25</f>
        <v>9007</v>
      </c>
      <c r="E26">
        <f>'YE harvest'!E26</f>
        <v>1077</v>
      </c>
      <c r="K26" s="6"/>
      <c r="M26" s="2">
        <f>'rockfish harvests'!O25</f>
        <v>1406.6827148896191</v>
      </c>
      <c r="N26">
        <f>'rockfish harvests'!P25</f>
        <v>336808.63980312884</v>
      </c>
      <c r="R26" s="14"/>
      <c r="S26"/>
      <c r="T26" s="6"/>
      <c r="Y26" s="6"/>
    </row>
    <row r="27" spans="1:25" x14ac:dyDescent="0.3">
      <c r="A27" t="s">
        <v>81</v>
      </c>
      <c r="B27">
        <v>2022</v>
      </c>
      <c r="C27" t="s">
        <v>45</v>
      </c>
      <c r="D27">
        <f>'rockfish harvests'!D26</f>
        <v>9241</v>
      </c>
      <c r="E27">
        <f>'YE harvest'!E27</f>
        <v>930</v>
      </c>
      <c r="K27" s="6"/>
      <c r="M27" s="2"/>
      <c r="R27" s="14"/>
      <c r="S27"/>
      <c r="T27" s="6"/>
      <c r="Y27" s="6"/>
    </row>
    <row r="28" spans="1:25" x14ac:dyDescent="0.3">
      <c r="A28" t="str">
        <f>'rockfish harvests'!A27</f>
        <v>SC</v>
      </c>
      <c r="B28">
        <f>'rockfish harvests'!B27</f>
        <v>1998</v>
      </c>
      <c r="C28" t="str">
        <f>'rockfish harvests'!C27</f>
        <v>WKMA</v>
      </c>
      <c r="D28">
        <f>'rockfish harvests'!D27</f>
        <v>148</v>
      </c>
      <c r="E28">
        <f>'YE harvest'!E28</f>
        <v>31</v>
      </c>
      <c r="F28" s="38"/>
      <c r="G28" s="39"/>
      <c r="H28" s="13">
        <f t="shared" ref="H28:H35" si="13">E28*F28</f>
        <v>0</v>
      </c>
      <c r="I28">
        <f t="shared" si="1"/>
        <v>0</v>
      </c>
      <c r="J28">
        <f t="shared" si="4"/>
        <v>0</v>
      </c>
      <c r="K28" s="6">
        <f t="shared" si="5"/>
        <v>0</v>
      </c>
      <c r="M28" s="2">
        <f>'rockfish harvests'!O27</f>
        <v>42.686604162511713</v>
      </c>
      <c r="N28">
        <f>'rockfish harvests'!P27</f>
        <v>681.09032990436276</v>
      </c>
      <c r="Q28" s="13" t="e">
        <f>#REF!*M28</f>
        <v>#REF!</v>
      </c>
      <c r="R28" s="14" t="e">
        <f>(M28^2)*#REF!+(#REF!^2)*N28-(#REF!*N28)</f>
        <v>#REF!</v>
      </c>
      <c r="S28" t="e">
        <f t="shared" si="6"/>
        <v>#REF!</v>
      </c>
      <c r="T28" s="6" t="e">
        <f t="shared" si="7"/>
        <v>#REF!</v>
      </c>
      <c r="V28" s="13" t="e">
        <f t="shared" si="2"/>
        <v>#REF!</v>
      </c>
      <c r="W28" t="e">
        <f t="shared" si="3"/>
        <v>#REF!</v>
      </c>
      <c r="X28" t="e">
        <f t="shared" si="8"/>
        <v>#REF!</v>
      </c>
      <c r="Y28" s="6" t="e">
        <f t="shared" si="9"/>
        <v>#REF!</v>
      </c>
    </row>
    <row r="29" spans="1:25" x14ac:dyDescent="0.3">
      <c r="A29" t="str">
        <f>'rockfish harvests'!A28</f>
        <v>SC</v>
      </c>
      <c r="B29">
        <f>'rockfish harvests'!B28</f>
        <v>1999</v>
      </c>
      <c r="C29" t="str">
        <f>'rockfish harvests'!C28</f>
        <v>WKMA</v>
      </c>
      <c r="D29">
        <f>'rockfish harvests'!D28</f>
        <v>228</v>
      </c>
      <c r="E29">
        <f>'YE harvest'!E29</f>
        <v>5</v>
      </c>
      <c r="F29" s="38"/>
      <c r="G29" s="39"/>
      <c r="H29" s="13">
        <f t="shared" si="13"/>
        <v>0</v>
      </c>
      <c r="I29">
        <f t="shared" si="1"/>
        <v>0</v>
      </c>
      <c r="J29">
        <f t="shared" si="4"/>
        <v>0</v>
      </c>
      <c r="K29" s="6">
        <f t="shared" si="5"/>
        <v>0</v>
      </c>
      <c r="M29" s="2">
        <f>'rockfish harvests'!O28</f>
        <v>65.760444250355874</v>
      </c>
      <c r="N29">
        <f>'rockfish harvests'!P28</f>
        <v>1616.4079487649926</v>
      </c>
      <c r="Q29" s="13" t="e">
        <f>#REF!*M29</f>
        <v>#REF!</v>
      </c>
      <c r="R29" s="14" t="e">
        <f>(M29^2)*#REF!+(#REF!^2)*N29-(#REF!*N29)</f>
        <v>#REF!</v>
      </c>
      <c r="S29" t="e">
        <f t="shared" si="6"/>
        <v>#REF!</v>
      </c>
      <c r="T29" s="6" t="e">
        <f t="shared" si="7"/>
        <v>#REF!</v>
      </c>
      <c r="V29" s="13" t="e">
        <f t="shared" si="2"/>
        <v>#REF!</v>
      </c>
      <c r="W29" t="e">
        <f t="shared" si="3"/>
        <v>#REF!</v>
      </c>
      <c r="X29" t="e">
        <f t="shared" si="8"/>
        <v>#REF!</v>
      </c>
      <c r="Y29" s="6" t="e">
        <f t="shared" si="9"/>
        <v>#REF!</v>
      </c>
    </row>
    <row r="30" spans="1:25" x14ac:dyDescent="0.3">
      <c r="A30" t="str">
        <f>'rockfish harvests'!A29</f>
        <v>SC</v>
      </c>
      <c r="B30">
        <f>'rockfish harvests'!B29</f>
        <v>2000</v>
      </c>
      <c r="C30" t="str">
        <f>'rockfish harvests'!C29</f>
        <v>WKMA</v>
      </c>
      <c r="D30">
        <f>'rockfish harvests'!D29</f>
        <v>386</v>
      </c>
      <c r="E30">
        <f>'YE harvest'!E30</f>
        <v>78</v>
      </c>
      <c r="F30" s="38"/>
      <c r="G30" s="39"/>
      <c r="H30" s="13">
        <f t="shared" si="13"/>
        <v>0</v>
      </c>
      <c r="I30">
        <f t="shared" si="1"/>
        <v>0</v>
      </c>
      <c r="J30">
        <f t="shared" si="4"/>
        <v>0</v>
      </c>
      <c r="K30" s="6">
        <f t="shared" si="5"/>
        <v>0</v>
      </c>
      <c r="M30" s="2">
        <f>'rockfish harvests'!O29</f>
        <v>111.33127842384812</v>
      </c>
      <c r="N30">
        <f>'rockfish harvests'!P29</f>
        <v>4632.9316469334572</v>
      </c>
      <c r="Q30" s="13" t="e">
        <f>#REF!*M30</f>
        <v>#REF!</v>
      </c>
      <c r="R30" s="14" t="e">
        <f>(M30^2)*#REF!+(#REF!^2)*N30-(#REF!*N30)</f>
        <v>#REF!</v>
      </c>
      <c r="S30" t="e">
        <f t="shared" si="6"/>
        <v>#REF!</v>
      </c>
      <c r="T30" s="6" t="e">
        <f t="shared" si="7"/>
        <v>#REF!</v>
      </c>
      <c r="V30" s="13" t="e">
        <f t="shared" si="2"/>
        <v>#REF!</v>
      </c>
      <c r="W30" t="e">
        <f t="shared" si="3"/>
        <v>#REF!</v>
      </c>
      <c r="X30" t="e">
        <f t="shared" si="8"/>
        <v>#REF!</v>
      </c>
      <c r="Y30" s="6" t="e">
        <f t="shared" si="9"/>
        <v>#REF!</v>
      </c>
    </row>
    <row r="31" spans="1:25" x14ac:dyDescent="0.3">
      <c r="A31" t="str">
        <f>'rockfish harvests'!A30</f>
        <v>SC</v>
      </c>
      <c r="B31">
        <f>'rockfish harvests'!B30</f>
        <v>2001</v>
      </c>
      <c r="C31" t="str">
        <f>'rockfish harvests'!C30</f>
        <v>WKMA</v>
      </c>
      <c r="D31">
        <f>'rockfish harvests'!D30</f>
        <v>1182</v>
      </c>
      <c r="E31">
        <f>'YE harvest'!E31</f>
        <v>24</v>
      </c>
      <c r="F31" s="38"/>
      <c r="G31" s="39"/>
      <c r="H31" s="13">
        <f t="shared" si="13"/>
        <v>0</v>
      </c>
      <c r="I31">
        <f t="shared" si="1"/>
        <v>0</v>
      </c>
      <c r="J31">
        <f t="shared" si="4"/>
        <v>0</v>
      </c>
      <c r="K31" s="6">
        <f t="shared" si="5"/>
        <v>0</v>
      </c>
      <c r="M31" s="2">
        <f>'rockfish harvests'!O30</f>
        <v>340.91598729789757</v>
      </c>
      <c r="N31">
        <f>'rockfish harvests'!P30</f>
        <v>43442.642717188777</v>
      </c>
      <c r="Q31" s="13" t="e">
        <f>#REF!*M31</f>
        <v>#REF!</v>
      </c>
      <c r="R31" s="14" t="e">
        <f>(M31^2)*#REF!+(#REF!^2)*N31-(#REF!*N31)</f>
        <v>#REF!</v>
      </c>
      <c r="S31" t="e">
        <f t="shared" si="6"/>
        <v>#REF!</v>
      </c>
      <c r="T31" s="6" t="e">
        <f t="shared" si="7"/>
        <v>#REF!</v>
      </c>
      <c r="V31" s="13" t="e">
        <f t="shared" si="2"/>
        <v>#REF!</v>
      </c>
      <c r="W31" t="e">
        <f t="shared" si="3"/>
        <v>#REF!</v>
      </c>
      <c r="X31" t="e">
        <f t="shared" si="8"/>
        <v>#REF!</v>
      </c>
      <c r="Y31" s="6" t="e">
        <f t="shared" si="9"/>
        <v>#REF!</v>
      </c>
    </row>
    <row r="32" spans="1:25" x14ac:dyDescent="0.3">
      <c r="A32" t="str">
        <f>'rockfish harvests'!A31</f>
        <v>SC</v>
      </c>
      <c r="B32">
        <f>'rockfish harvests'!B31</f>
        <v>2002</v>
      </c>
      <c r="C32" t="str">
        <f>'rockfish harvests'!C31</f>
        <v>WKMA</v>
      </c>
      <c r="D32">
        <f>'rockfish harvests'!D31</f>
        <v>880</v>
      </c>
      <c r="E32">
        <f>'YE harvest'!E32</f>
        <v>69</v>
      </c>
      <c r="F32" s="38"/>
      <c r="G32" s="39"/>
      <c r="H32" s="13">
        <f t="shared" si="13"/>
        <v>0</v>
      </c>
      <c r="I32">
        <f t="shared" si="1"/>
        <v>0</v>
      </c>
      <c r="J32">
        <f t="shared" si="4"/>
        <v>0</v>
      </c>
      <c r="K32" s="6">
        <f t="shared" si="5"/>
        <v>0</v>
      </c>
      <c r="M32" s="2">
        <f>'rockfish harvests'!O31</f>
        <v>253.8122409662858</v>
      </c>
      <c r="N32">
        <f>'rockfish harvests'!P31</f>
        <v>24079.453591943871</v>
      </c>
      <c r="Q32" s="13" t="e">
        <f>#REF!*M32</f>
        <v>#REF!</v>
      </c>
      <c r="R32" s="14" t="e">
        <f>(M32^2)*#REF!+(#REF!^2)*N32-(#REF!*N32)</f>
        <v>#REF!</v>
      </c>
      <c r="S32" t="e">
        <f t="shared" si="6"/>
        <v>#REF!</v>
      </c>
      <c r="T32" s="6" t="e">
        <f t="shared" si="7"/>
        <v>#REF!</v>
      </c>
      <c r="V32" s="13" t="e">
        <f t="shared" si="2"/>
        <v>#REF!</v>
      </c>
      <c r="W32" t="e">
        <f t="shared" si="3"/>
        <v>#REF!</v>
      </c>
      <c r="X32" t="e">
        <f t="shared" si="8"/>
        <v>#REF!</v>
      </c>
      <c r="Y32" s="6" t="e">
        <f t="shared" si="9"/>
        <v>#REF!</v>
      </c>
    </row>
    <row r="33" spans="1:25" x14ac:dyDescent="0.3">
      <c r="A33" t="str">
        <f>'rockfish harvests'!A32</f>
        <v>SC</v>
      </c>
      <c r="B33">
        <f>'rockfish harvests'!B32</f>
        <v>2003</v>
      </c>
      <c r="C33" t="str">
        <f>'rockfish harvests'!C32</f>
        <v>WKMA</v>
      </c>
      <c r="D33">
        <f>'rockfish harvests'!D32</f>
        <v>1107</v>
      </c>
      <c r="E33">
        <f>'YE harvest'!E33</f>
        <v>149</v>
      </c>
      <c r="F33" s="38"/>
      <c r="G33" s="39"/>
      <c r="H33" s="13">
        <f t="shared" si="13"/>
        <v>0</v>
      </c>
      <c r="I33">
        <f t="shared" si="1"/>
        <v>0</v>
      </c>
      <c r="J33">
        <f t="shared" si="4"/>
        <v>0</v>
      </c>
      <c r="K33" s="6">
        <f t="shared" si="5"/>
        <v>0</v>
      </c>
      <c r="M33" s="2">
        <f>'rockfish harvests'!O32</f>
        <v>319.28426221554378</v>
      </c>
      <c r="N33">
        <f>'rockfish harvests'!P32</f>
        <v>38104.522630157575</v>
      </c>
      <c r="Q33" s="13" t="e">
        <f>#REF!*M33</f>
        <v>#REF!</v>
      </c>
      <c r="R33" s="14" t="e">
        <f>(M33^2)*#REF!+(#REF!^2)*N33-(#REF!*N33)</f>
        <v>#REF!</v>
      </c>
      <c r="S33" t="e">
        <f t="shared" si="6"/>
        <v>#REF!</v>
      </c>
      <c r="T33" s="6" t="e">
        <f t="shared" si="7"/>
        <v>#REF!</v>
      </c>
      <c r="V33" s="13" t="e">
        <f t="shared" si="2"/>
        <v>#REF!</v>
      </c>
      <c r="W33" t="e">
        <f t="shared" si="3"/>
        <v>#REF!</v>
      </c>
      <c r="X33" t="e">
        <f t="shared" si="8"/>
        <v>#REF!</v>
      </c>
      <c r="Y33" s="6" t="e">
        <f t="shared" si="9"/>
        <v>#REF!</v>
      </c>
    </row>
    <row r="34" spans="1:25" x14ac:dyDescent="0.3">
      <c r="A34" t="str">
        <f>'rockfish harvests'!A33</f>
        <v>SC</v>
      </c>
      <c r="B34">
        <f>'rockfish harvests'!B33</f>
        <v>2004</v>
      </c>
      <c r="C34" t="str">
        <f>'rockfish harvests'!C33</f>
        <v>WKMA</v>
      </c>
      <c r="D34">
        <f>'rockfish harvests'!D33</f>
        <v>810</v>
      </c>
      <c r="E34">
        <f>'YE harvest'!E34</f>
        <v>94</v>
      </c>
      <c r="F34" s="38"/>
      <c r="G34" s="39"/>
      <c r="H34" s="13">
        <f t="shared" si="13"/>
        <v>0</v>
      </c>
      <c r="I34">
        <f t="shared" si="1"/>
        <v>0</v>
      </c>
      <c r="J34">
        <f t="shared" si="4"/>
        <v>0</v>
      </c>
      <c r="K34" s="6">
        <f t="shared" si="5"/>
        <v>0</v>
      </c>
      <c r="M34" s="2">
        <f>'rockfish harvests'!O33</f>
        <v>233.62263088942223</v>
      </c>
      <c r="N34">
        <f>'rockfish harvests'!P33</f>
        <v>20400.993674682817</v>
      </c>
      <c r="Q34" s="13" t="e">
        <f>#REF!*M34</f>
        <v>#REF!</v>
      </c>
      <c r="R34" s="14" t="e">
        <f>(M34^2)*#REF!+(#REF!^2)*N34-(#REF!*N34)</f>
        <v>#REF!</v>
      </c>
      <c r="S34" t="e">
        <f t="shared" si="6"/>
        <v>#REF!</v>
      </c>
      <c r="T34" s="6" t="e">
        <f t="shared" si="7"/>
        <v>#REF!</v>
      </c>
      <c r="V34" s="13" t="e">
        <f t="shared" si="2"/>
        <v>#REF!</v>
      </c>
      <c r="W34" t="e">
        <f t="shared" si="3"/>
        <v>#REF!</v>
      </c>
      <c r="X34" t="e">
        <f t="shared" si="8"/>
        <v>#REF!</v>
      </c>
      <c r="Y34" s="6" t="e">
        <f t="shared" si="9"/>
        <v>#REF!</v>
      </c>
    </row>
    <row r="35" spans="1:25" x14ac:dyDescent="0.3">
      <c r="A35" t="str">
        <f>'rockfish harvests'!A34</f>
        <v>SC</v>
      </c>
      <c r="B35">
        <f>'rockfish harvests'!B34</f>
        <v>2005</v>
      </c>
      <c r="C35" t="str">
        <f>'rockfish harvests'!C34</f>
        <v>WKMA</v>
      </c>
      <c r="D35">
        <f>'rockfish harvests'!D34</f>
        <v>1266</v>
      </c>
      <c r="E35">
        <f>'YE harvest'!E35</f>
        <v>133</v>
      </c>
      <c r="F35" s="38"/>
      <c r="G35" s="39"/>
      <c r="H35" s="13">
        <f t="shared" si="13"/>
        <v>0</v>
      </c>
      <c r="I35">
        <f t="shared" si="1"/>
        <v>0</v>
      </c>
      <c r="J35">
        <f t="shared" si="4"/>
        <v>0</v>
      </c>
      <c r="K35" s="6">
        <f t="shared" si="5"/>
        <v>0</v>
      </c>
      <c r="M35" s="2">
        <f>'rockfish harvests'!O34</f>
        <v>365.14351939013386</v>
      </c>
      <c r="N35">
        <f>'rockfish harvests'!P34</f>
        <v>49836.633162719001</v>
      </c>
      <c r="Q35" s="13" t="e">
        <f>#REF!*M35</f>
        <v>#REF!</v>
      </c>
      <c r="R35" s="14" t="e">
        <f>(M35^2)*#REF!+(#REF!^2)*N35-(#REF!*N35)</f>
        <v>#REF!</v>
      </c>
      <c r="S35" t="e">
        <f t="shared" si="6"/>
        <v>#REF!</v>
      </c>
      <c r="T35" s="6" t="e">
        <f t="shared" si="7"/>
        <v>#REF!</v>
      </c>
      <c r="V35" s="13" t="e">
        <f t="shared" si="2"/>
        <v>#REF!</v>
      </c>
      <c r="W35" t="e">
        <f t="shared" si="3"/>
        <v>#REF!</v>
      </c>
      <c r="X35" t="e">
        <f t="shared" si="8"/>
        <v>#REF!</v>
      </c>
      <c r="Y35" s="6" t="e">
        <f t="shared" si="9"/>
        <v>#REF!</v>
      </c>
    </row>
    <row r="36" spans="1:25" x14ac:dyDescent="0.3">
      <c r="A36" t="str">
        <f>'rockfish harvests'!A35</f>
        <v>SC</v>
      </c>
      <c r="B36">
        <f>'rockfish harvests'!B35</f>
        <v>2006</v>
      </c>
      <c r="C36" t="str">
        <f>'rockfish harvests'!C35</f>
        <v>WKMA</v>
      </c>
      <c r="D36">
        <f>'rockfish harvests'!D35</f>
        <v>737</v>
      </c>
      <c r="E36">
        <f>'YE harvest'!E36</f>
        <v>155</v>
      </c>
      <c r="H36" s="13" t="e">
        <f>#REF!</f>
        <v>#REF!</v>
      </c>
      <c r="I36">
        <f t="shared" si="1"/>
        <v>0</v>
      </c>
      <c r="J36">
        <f t="shared" si="4"/>
        <v>0</v>
      </c>
      <c r="K36" s="6">
        <f t="shared" si="5"/>
        <v>0</v>
      </c>
      <c r="M36" s="2">
        <f>'rockfish harvests'!O35</f>
        <v>212.56775180926445</v>
      </c>
      <c r="N36">
        <f>'rockfish harvests'!P35</f>
        <v>16889.47924597438</v>
      </c>
      <c r="Q36" s="13" t="e">
        <f>#REF!*M36</f>
        <v>#REF!</v>
      </c>
      <c r="R36" s="14" t="e">
        <f>(M36^2)*#REF!+(#REF!^2)*N36-(#REF!*N36)</f>
        <v>#REF!</v>
      </c>
      <c r="S36" t="e">
        <f t="shared" si="6"/>
        <v>#REF!</v>
      </c>
      <c r="T36" s="6" t="e">
        <f t="shared" si="7"/>
        <v>#REF!</v>
      </c>
      <c r="V36" s="13" t="e">
        <f t="shared" si="2"/>
        <v>#REF!</v>
      </c>
      <c r="W36" t="e">
        <f t="shared" si="3"/>
        <v>#REF!</v>
      </c>
      <c r="X36" t="e">
        <f t="shared" si="8"/>
        <v>#REF!</v>
      </c>
      <c r="Y36" s="6" t="e">
        <f t="shared" si="9"/>
        <v>#REF!</v>
      </c>
    </row>
    <row r="37" spans="1:25" x14ac:dyDescent="0.3">
      <c r="A37" t="str">
        <f>'rockfish harvests'!A36</f>
        <v>SC</v>
      </c>
      <c r="B37">
        <f>'rockfish harvests'!B36</f>
        <v>2007</v>
      </c>
      <c r="C37" t="str">
        <f>'rockfish harvests'!C36</f>
        <v>WKMA</v>
      </c>
      <c r="D37">
        <f>'rockfish harvests'!D36</f>
        <v>1645</v>
      </c>
      <c r="E37">
        <f>'YE harvest'!E37</f>
        <v>337</v>
      </c>
      <c r="H37" s="13" t="e">
        <f>#REF!</f>
        <v>#REF!</v>
      </c>
      <c r="I37">
        <f t="shared" si="1"/>
        <v>0</v>
      </c>
      <c r="J37">
        <f t="shared" si="4"/>
        <v>0</v>
      </c>
      <c r="K37" s="6">
        <f t="shared" si="5"/>
        <v>0</v>
      </c>
      <c r="M37" s="2">
        <f>'rockfish harvests'!O36</f>
        <v>474.45583680629579</v>
      </c>
      <c r="N37">
        <f>'rockfish harvests'!P36</f>
        <v>84142.049852969925</v>
      </c>
      <c r="Q37" s="13" t="e">
        <f>#REF!*M37</f>
        <v>#REF!</v>
      </c>
      <c r="R37" s="14" t="e">
        <f>(M37^2)*#REF!+(#REF!^2)*N37-(#REF!*N37)</f>
        <v>#REF!</v>
      </c>
      <c r="S37" t="e">
        <f t="shared" si="6"/>
        <v>#REF!</v>
      </c>
      <c r="T37" s="6" t="e">
        <f t="shared" si="7"/>
        <v>#REF!</v>
      </c>
      <c r="V37" s="13" t="e">
        <f t="shared" si="2"/>
        <v>#REF!</v>
      </c>
      <c r="W37" t="e">
        <f t="shared" si="3"/>
        <v>#REF!</v>
      </c>
      <c r="X37" t="e">
        <f t="shared" si="8"/>
        <v>#REF!</v>
      </c>
      <c r="Y37" s="6" t="e">
        <f t="shared" si="9"/>
        <v>#REF!</v>
      </c>
    </row>
    <row r="38" spans="1:25" x14ac:dyDescent="0.3">
      <c r="A38" t="str">
        <f>'rockfish harvests'!A37</f>
        <v>SC</v>
      </c>
      <c r="B38">
        <f>'rockfish harvests'!B37</f>
        <v>2008</v>
      </c>
      <c r="C38" t="str">
        <f>'rockfish harvests'!C37</f>
        <v>WKMA</v>
      </c>
      <c r="D38">
        <f>'rockfish harvests'!D37</f>
        <v>1196</v>
      </c>
      <c r="E38">
        <f>'YE harvest'!E38</f>
        <v>296</v>
      </c>
      <c r="H38" s="13" t="e">
        <f>#REF!</f>
        <v>#REF!</v>
      </c>
      <c r="I38">
        <f t="shared" si="1"/>
        <v>0</v>
      </c>
      <c r="J38">
        <f t="shared" si="4"/>
        <v>0</v>
      </c>
      <c r="K38" s="6">
        <f t="shared" si="5"/>
        <v>0</v>
      </c>
      <c r="M38" s="2">
        <f>'rockfish harvests'!O37</f>
        <v>344.95390931327029</v>
      </c>
      <c r="N38">
        <f>'rockfish harvests'!P37</f>
        <v>44477.835342425082</v>
      </c>
      <c r="Q38" s="13" t="e">
        <f>#REF!*M38</f>
        <v>#REF!</v>
      </c>
      <c r="R38" s="14" t="e">
        <f>(M38^2)*#REF!+(#REF!^2)*N38-(#REF!*N38)</f>
        <v>#REF!</v>
      </c>
      <c r="S38" t="e">
        <f t="shared" si="6"/>
        <v>#REF!</v>
      </c>
      <c r="T38" s="6" t="e">
        <f t="shared" si="7"/>
        <v>#REF!</v>
      </c>
      <c r="V38" s="13" t="e">
        <f t="shared" si="2"/>
        <v>#REF!</v>
      </c>
      <c r="W38" t="e">
        <f t="shared" si="3"/>
        <v>#REF!</v>
      </c>
      <c r="X38" t="e">
        <f t="shared" si="8"/>
        <v>#REF!</v>
      </c>
      <c r="Y38" s="6" t="e">
        <f t="shared" si="9"/>
        <v>#REF!</v>
      </c>
    </row>
    <row r="39" spans="1:25" x14ac:dyDescent="0.3">
      <c r="A39" t="str">
        <f>'rockfish harvests'!A38</f>
        <v>SC</v>
      </c>
      <c r="B39">
        <f>'rockfish harvests'!B38</f>
        <v>2009</v>
      </c>
      <c r="C39" t="str">
        <f>'rockfish harvests'!C38</f>
        <v>WKMA</v>
      </c>
      <c r="D39">
        <f>'rockfish harvests'!D38</f>
        <v>1849</v>
      </c>
      <c r="E39">
        <f>'YE harvest'!E39</f>
        <v>332</v>
      </c>
      <c r="H39" s="13" t="e">
        <f>#REF!</f>
        <v>#REF!</v>
      </c>
      <c r="I39">
        <f t="shared" si="1"/>
        <v>0</v>
      </c>
      <c r="J39">
        <f t="shared" si="4"/>
        <v>0</v>
      </c>
      <c r="K39" s="6">
        <f t="shared" si="5"/>
        <v>0</v>
      </c>
      <c r="M39" s="2">
        <f>'rockfish harvests'!O38</f>
        <v>533.29412903029834</v>
      </c>
      <c r="N39">
        <f>'rockfish harvests'!P38</f>
        <v>106305.34609967883</v>
      </c>
      <c r="Q39" s="13" t="e">
        <f>#REF!*M39</f>
        <v>#REF!</v>
      </c>
      <c r="R39" s="14" t="e">
        <f>(M39^2)*#REF!+(#REF!^2)*N39-(#REF!*N39)</f>
        <v>#REF!</v>
      </c>
      <c r="S39" t="e">
        <f t="shared" si="6"/>
        <v>#REF!</v>
      </c>
      <c r="T39" s="6" t="e">
        <f t="shared" si="7"/>
        <v>#REF!</v>
      </c>
      <c r="V39" s="13" t="e">
        <f t="shared" si="2"/>
        <v>#REF!</v>
      </c>
      <c r="W39" t="e">
        <f t="shared" si="3"/>
        <v>#REF!</v>
      </c>
      <c r="X39" t="e">
        <f t="shared" si="8"/>
        <v>#REF!</v>
      </c>
      <c r="Y39" s="6" t="e">
        <f t="shared" si="9"/>
        <v>#REF!</v>
      </c>
    </row>
    <row r="40" spans="1:25" x14ac:dyDescent="0.3">
      <c r="A40" t="str">
        <f>'rockfish harvests'!A39</f>
        <v>SC</v>
      </c>
      <c r="B40">
        <f>'rockfish harvests'!B39</f>
        <v>2010</v>
      </c>
      <c r="C40" t="str">
        <f>'rockfish harvests'!C39</f>
        <v>WKMA</v>
      </c>
      <c r="D40">
        <f>'rockfish harvests'!D39</f>
        <v>1266</v>
      </c>
      <c r="E40">
        <f>'YE harvest'!E40</f>
        <v>473</v>
      </c>
      <c r="H40" s="13" t="e">
        <f>#REF!</f>
        <v>#REF!</v>
      </c>
      <c r="I40">
        <f t="shared" si="1"/>
        <v>0</v>
      </c>
      <c r="J40">
        <f t="shared" si="4"/>
        <v>0</v>
      </c>
      <c r="K40" s="6">
        <f t="shared" si="5"/>
        <v>0</v>
      </c>
      <c r="M40" s="2">
        <f>'rockfish harvests'!O39</f>
        <v>365.14351939013386</v>
      </c>
      <c r="N40">
        <f>'rockfish harvests'!P39</f>
        <v>49836.633162719001</v>
      </c>
      <c r="Q40" s="13" t="e">
        <f>#REF!*M40</f>
        <v>#REF!</v>
      </c>
      <c r="R40" s="14" t="e">
        <f>(M40^2)*#REF!+(#REF!^2)*N40-(#REF!*N40)</f>
        <v>#REF!</v>
      </c>
      <c r="S40" t="e">
        <f t="shared" si="6"/>
        <v>#REF!</v>
      </c>
      <c r="T40" s="6" t="e">
        <f t="shared" si="7"/>
        <v>#REF!</v>
      </c>
      <c r="V40" s="13" t="e">
        <f t="shared" si="2"/>
        <v>#REF!</v>
      </c>
      <c r="W40" t="e">
        <f t="shared" si="3"/>
        <v>#REF!</v>
      </c>
      <c r="X40" t="e">
        <f t="shared" si="8"/>
        <v>#REF!</v>
      </c>
      <c r="Y40" s="6" t="e">
        <f t="shared" si="9"/>
        <v>#REF!</v>
      </c>
    </row>
    <row r="41" spans="1:25" x14ac:dyDescent="0.3">
      <c r="A41" t="str">
        <f>'rockfish harvests'!A40</f>
        <v>SC</v>
      </c>
      <c r="B41">
        <f>'rockfish harvests'!B40</f>
        <v>2011</v>
      </c>
      <c r="C41" t="str">
        <f>'rockfish harvests'!C40</f>
        <v>WKMA</v>
      </c>
      <c r="D41">
        <f>'rockfish harvests'!D40</f>
        <v>1366</v>
      </c>
      <c r="E41">
        <f>'YE harvest'!E41</f>
        <v>249</v>
      </c>
      <c r="H41" s="13" t="e">
        <f>#REF!</f>
        <v>#REF!</v>
      </c>
      <c r="I41">
        <f t="shared" si="1"/>
        <v>0</v>
      </c>
      <c r="J41">
        <f t="shared" si="4"/>
        <v>0</v>
      </c>
      <c r="K41" s="6">
        <f t="shared" si="5"/>
        <v>0</v>
      </c>
      <c r="M41" s="2">
        <f>'rockfish harvests'!O40</f>
        <v>321.1685166498487</v>
      </c>
      <c r="N41">
        <f>'rockfish harvests'!P40</f>
        <v>51469.344301835146</v>
      </c>
      <c r="Q41" s="13" t="e">
        <f>#REF!*M41</f>
        <v>#REF!</v>
      </c>
      <c r="R41" s="14" t="e">
        <f>(M41^2)*#REF!+(#REF!^2)*N41-(#REF!*N41)</f>
        <v>#REF!</v>
      </c>
      <c r="S41" t="e">
        <f t="shared" si="6"/>
        <v>#REF!</v>
      </c>
      <c r="T41" s="6" t="e">
        <f t="shared" si="7"/>
        <v>#REF!</v>
      </c>
      <c r="V41" s="13" t="e">
        <f t="shared" si="2"/>
        <v>#REF!</v>
      </c>
      <c r="W41" t="e">
        <f t="shared" si="3"/>
        <v>#REF!</v>
      </c>
      <c r="X41" t="e">
        <f t="shared" si="8"/>
        <v>#REF!</v>
      </c>
      <c r="Y41" s="6" t="e">
        <f t="shared" si="9"/>
        <v>#REF!</v>
      </c>
    </row>
    <row r="42" spans="1:25" x14ac:dyDescent="0.3">
      <c r="A42" t="str">
        <f>'rockfish harvests'!A41</f>
        <v>SC</v>
      </c>
      <c r="B42">
        <f>'rockfish harvests'!B41</f>
        <v>2012</v>
      </c>
      <c r="C42" t="str">
        <f>'rockfish harvests'!C41</f>
        <v>WKMA</v>
      </c>
      <c r="D42">
        <f>'rockfish harvests'!D41</f>
        <v>1747</v>
      </c>
      <c r="E42">
        <f>'YE harvest'!E42</f>
        <v>425</v>
      </c>
      <c r="H42" s="13" t="e">
        <f>#REF!</f>
        <v>#REF!</v>
      </c>
      <c r="I42">
        <f t="shared" si="1"/>
        <v>0</v>
      </c>
      <c r="J42">
        <f t="shared" si="4"/>
        <v>0</v>
      </c>
      <c r="K42" s="6">
        <f t="shared" si="5"/>
        <v>0</v>
      </c>
      <c r="M42" s="2">
        <f>'rockfish harvests'!O41</f>
        <v>1124.7026143790849</v>
      </c>
      <c r="N42">
        <f>'rockfish harvests'!P41</f>
        <v>412684.87548151758</v>
      </c>
      <c r="Q42" s="13" t="e">
        <f>#REF!*M42</f>
        <v>#REF!</v>
      </c>
      <c r="R42" s="14" t="e">
        <f>(M42^2)*#REF!+(#REF!^2)*N42-(#REF!*N42)</f>
        <v>#REF!</v>
      </c>
      <c r="S42" t="e">
        <f t="shared" si="6"/>
        <v>#REF!</v>
      </c>
      <c r="T42" s="6" t="e">
        <f t="shared" si="7"/>
        <v>#REF!</v>
      </c>
      <c r="V42" s="13" t="e">
        <f t="shared" si="2"/>
        <v>#REF!</v>
      </c>
      <c r="W42" t="e">
        <f t="shared" si="3"/>
        <v>#REF!</v>
      </c>
      <c r="X42" t="e">
        <f t="shared" si="8"/>
        <v>#REF!</v>
      </c>
      <c r="Y42" s="6" t="e">
        <f t="shared" si="9"/>
        <v>#REF!</v>
      </c>
    </row>
    <row r="43" spans="1:25" x14ac:dyDescent="0.3">
      <c r="A43" t="str">
        <f>'rockfish harvests'!A42</f>
        <v>SC</v>
      </c>
      <c r="B43">
        <f>'rockfish harvests'!B42</f>
        <v>2013</v>
      </c>
      <c r="C43" t="str">
        <f>'rockfish harvests'!C42</f>
        <v>WKMA</v>
      </c>
      <c r="D43">
        <f>'rockfish harvests'!D42</f>
        <v>1983</v>
      </c>
      <c r="E43">
        <f>'YE harvest'!E43</f>
        <v>357</v>
      </c>
      <c r="H43" s="13" t="e">
        <f>#REF!</f>
        <v>#REF!</v>
      </c>
      <c r="I43">
        <f t="shared" si="1"/>
        <v>0</v>
      </c>
      <c r="J43">
        <f t="shared" si="4"/>
        <v>0</v>
      </c>
      <c r="K43" s="6">
        <f t="shared" si="5"/>
        <v>0</v>
      </c>
      <c r="M43" s="2">
        <f>'rockfish harvests'!O42</f>
        <v>401.95945945945914</v>
      </c>
      <c r="N43">
        <f>'rockfish harvests'!P42</f>
        <v>69446.330827502126</v>
      </c>
      <c r="Q43" s="13" t="e">
        <f>#REF!*M43</f>
        <v>#REF!</v>
      </c>
      <c r="R43" s="14" t="e">
        <f>(M43^2)*#REF!+(#REF!^2)*N43-(#REF!*N43)</f>
        <v>#REF!</v>
      </c>
      <c r="S43" t="e">
        <f t="shared" si="6"/>
        <v>#REF!</v>
      </c>
      <c r="T43" s="6" t="e">
        <f t="shared" si="7"/>
        <v>#REF!</v>
      </c>
      <c r="V43" s="13" t="e">
        <f t="shared" si="2"/>
        <v>#REF!</v>
      </c>
      <c r="W43" t="e">
        <f t="shared" si="3"/>
        <v>#REF!</v>
      </c>
      <c r="X43" t="e">
        <f t="shared" si="8"/>
        <v>#REF!</v>
      </c>
      <c r="Y43" s="6" t="e">
        <f t="shared" si="9"/>
        <v>#REF!</v>
      </c>
    </row>
    <row r="44" spans="1:25" x14ac:dyDescent="0.3">
      <c r="A44" t="str">
        <f>'rockfish harvests'!A43</f>
        <v>SC</v>
      </c>
      <c r="B44">
        <f>'rockfish harvests'!B43</f>
        <v>2014</v>
      </c>
      <c r="C44" t="str">
        <f>'rockfish harvests'!C43</f>
        <v>WKMA</v>
      </c>
      <c r="D44">
        <f>'rockfish harvests'!D43</f>
        <v>2396</v>
      </c>
      <c r="E44">
        <f>'YE harvest'!E44</f>
        <v>639</v>
      </c>
      <c r="H44" s="13" t="e">
        <f>#REF!</f>
        <v>#REF!</v>
      </c>
      <c r="I44">
        <f t="shared" si="1"/>
        <v>0</v>
      </c>
      <c r="J44">
        <f t="shared" si="4"/>
        <v>0</v>
      </c>
      <c r="K44" s="6">
        <f t="shared" si="5"/>
        <v>0</v>
      </c>
      <c r="M44" s="2">
        <f>'rockfish harvests'!O43</f>
        <v>806.87092451987473</v>
      </c>
      <c r="N44">
        <f>'rockfish harvests'!P43</f>
        <v>244720.20702808804</v>
      </c>
      <c r="Q44" s="13" t="e">
        <f>#REF!*M44</f>
        <v>#REF!</v>
      </c>
      <c r="R44" s="14" t="e">
        <f>(M44^2)*#REF!+(#REF!^2)*N44-(#REF!*N44)</f>
        <v>#REF!</v>
      </c>
      <c r="S44" t="e">
        <f t="shared" si="6"/>
        <v>#REF!</v>
      </c>
      <c r="T44" s="6" t="e">
        <f t="shared" si="7"/>
        <v>#REF!</v>
      </c>
      <c r="V44" s="13" t="e">
        <f t="shared" si="2"/>
        <v>#REF!</v>
      </c>
      <c r="W44" t="e">
        <f t="shared" si="3"/>
        <v>#REF!</v>
      </c>
      <c r="X44" t="e">
        <f t="shared" si="8"/>
        <v>#REF!</v>
      </c>
      <c r="Y44" s="6" t="e">
        <f t="shared" si="9"/>
        <v>#REF!</v>
      </c>
    </row>
    <row r="45" spans="1:25" x14ac:dyDescent="0.3">
      <c r="A45" t="str">
        <f>'rockfish harvests'!A44</f>
        <v>SC</v>
      </c>
      <c r="B45">
        <f>'rockfish harvests'!B44</f>
        <v>2015</v>
      </c>
      <c r="C45" t="str">
        <f>'rockfish harvests'!C44</f>
        <v>WKMA</v>
      </c>
      <c r="D45">
        <f>'rockfish harvests'!D44</f>
        <v>2031</v>
      </c>
      <c r="E45">
        <f>'YE harvest'!E45</f>
        <v>367</v>
      </c>
      <c r="H45" s="13" t="e">
        <f>#REF!</f>
        <v>#REF!</v>
      </c>
      <c r="I45">
        <f t="shared" si="1"/>
        <v>0</v>
      </c>
      <c r="J45">
        <f t="shared" si="4"/>
        <v>0</v>
      </c>
      <c r="K45" s="6">
        <f t="shared" si="5"/>
        <v>0</v>
      </c>
      <c r="M45" s="2">
        <f>'rockfish harvests'!O44</f>
        <v>924.55105533371352</v>
      </c>
      <c r="N45">
        <f>'rockfish harvests'!P44</f>
        <v>669754.36895301775</v>
      </c>
      <c r="Q45" s="13" t="e">
        <f>#REF!*M45</f>
        <v>#REF!</v>
      </c>
      <c r="R45" s="14" t="e">
        <f>(M45^2)*#REF!+(#REF!^2)*N45-(#REF!*N45)</f>
        <v>#REF!</v>
      </c>
      <c r="S45" t="e">
        <f t="shared" si="6"/>
        <v>#REF!</v>
      </c>
      <c r="T45" s="6" t="e">
        <f t="shared" si="7"/>
        <v>#REF!</v>
      </c>
      <c r="V45" s="13" t="e">
        <f t="shared" si="2"/>
        <v>#REF!</v>
      </c>
      <c r="W45" t="e">
        <f t="shared" si="3"/>
        <v>#REF!</v>
      </c>
      <c r="X45" t="e">
        <f t="shared" si="8"/>
        <v>#REF!</v>
      </c>
      <c r="Y45" s="6" t="e">
        <f t="shared" si="9"/>
        <v>#REF!</v>
      </c>
    </row>
    <row r="46" spans="1:25" x14ac:dyDescent="0.3">
      <c r="A46" t="str">
        <f>'rockfish harvests'!A45</f>
        <v>SC</v>
      </c>
      <c r="B46">
        <f>'rockfish harvests'!B45</f>
        <v>2016</v>
      </c>
      <c r="C46" t="str">
        <f>'rockfish harvests'!C45</f>
        <v>WKMA</v>
      </c>
      <c r="D46">
        <f>'rockfish harvests'!D45</f>
        <v>3337</v>
      </c>
      <c r="E46">
        <f>'YE harvest'!E46</f>
        <v>693</v>
      </c>
      <c r="H46" s="13" t="e">
        <f>#REF!</f>
        <v>#REF!</v>
      </c>
      <c r="I46">
        <f t="shared" si="1"/>
        <v>0</v>
      </c>
      <c r="J46">
        <f t="shared" si="4"/>
        <v>0</v>
      </c>
      <c r="K46" s="6">
        <f t="shared" si="5"/>
        <v>0</v>
      </c>
      <c r="M46" s="2">
        <f>'rockfish harvests'!O45</f>
        <v>295.12697145138736</v>
      </c>
      <c r="N46">
        <f>'rockfish harvests'!P45</f>
        <v>25370.25919469192</v>
      </c>
      <c r="Q46" s="13" t="e">
        <f>#REF!*M46</f>
        <v>#REF!</v>
      </c>
      <c r="R46" s="14" t="e">
        <f>(M46^2)*#REF!+(#REF!^2)*N46-(#REF!*N46)</f>
        <v>#REF!</v>
      </c>
      <c r="S46" t="e">
        <f t="shared" si="6"/>
        <v>#REF!</v>
      </c>
      <c r="T46" s="6" t="e">
        <f t="shared" si="7"/>
        <v>#REF!</v>
      </c>
      <c r="V46" s="13" t="e">
        <f t="shared" si="2"/>
        <v>#REF!</v>
      </c>
      <c r="W46" t="e">
        <f t="shared" si="3"/>
        <v>#REF!</v>
      </c>
      <c r="X46" t="e">
        <f t="shared" si="8"/>
        <v>#REF!</v>
      </c>
      <c r="Y46" s="6" t="e">
        <f t="shared" si="9"/>
        <v>#REF!</v>
      </c>
    </row>
    <row r="47" spans="1:25" x14ac:dyDescent="0.3">
      <c r="A47" t="str">
        <f>'rockfish harvests'!A46</f>
        <v>SC</v>
      </c>
      <c r="B47">
        <f>'rockfish harvests'!B46</f>
        <v>2017</v>
      </c>
      <c r="C47" t="str">
        <f>'rockfish harvests'!C46</f>
        <v>WKMA</v>
      </c>
      <c r="D47">
        <f>'rockfish harvests'!D46</f>
        <v>2899</v>
      </c>
      <c r="E47">
        <f>'YE harvest'!E47</f>
        <v>598</v>
      </c>
      <c r="H47" s="13" t="e">
        <f>#REF!</f>
        <v>#REF!</v>
      </c>
      <c r="I47">
        <f t="shared" si="1"/>
        <v>0</v>
      </c>
      <c r="J47">
        <f t="shared" si="4"/>
        <v>0</v>
      </c>
      <c r="K47" s="6">
        <f t="shared" si="5"/>
        <v>0</v>
      </c>
      <c r="M47" s="2">
        <f>'rockfish harvests'!O46</f>
        <v>997.88339552238813</v>
      </c>
      <c r="N47">
        <f>'rockfish harvests'!P46</f>
        <v>341376.2270959196</v>
      </c>
      <c r="Q47" s="13" t="e">
        <f>#REF!*M47</f>
        <v>#REF!</v>
      </c>
      <c r="R47" s="14" t="e">
        <f>(M47^2)*#REF!+(#REF!^2)*N47-(#REF!*N47)</f>
        <v>#REF!</v>
      </c>
      <c r="S47" t="e">
        <f t="shared" si="6"/>
        <v>#REF!</v>
      </c>
      <c r="T47" s="6" t="e">
        <f t="shared" si="7"/>
        <v>#REF!</v>
      </c>
      <c r="V47" s="13" t="e">
        <f t="shared" si="2"/>
        <v>#REF!</v>
      </c>
      <c r="W47" t="e">
        <f t="shared" si="3"/>
        <v>#REF!</v>
      </c>
      <c r="X47" t="e">
        <f t="shared" si="8"/>
        <v>#REF!</v>
      </c>
      <c r="Y47" s="6" t="e">
        <f t="shared" si="9"/>
        <v>#REF!</v>
      </c>
    </row>
    <row r="48" spans="1:25" x14ac:dyDescent="0.3">
      <c r="A48" t="str">
        <f>'rockfish harvests'!A47</f>
        <v>SC</v>
      </c>
      <c r="B48">
        <f>'rockfish harvests'!B47</f>
        <v>2018</v>
      </c>
      <c r="C48" t="str">
        <f>'rockfish harvests'!C47</f>
        <v>WKMA</v>
      </c>
      <c r="D48">
        <f>'rockfish harvests'!D47</f>
        <v>4291</v>
      </c>
      <c r="E48">
        <f>'YE harvest'!E48</f>
        <v>708</v>
      </c>
      <c r="H48" s="13" t="e">
        <f>#REF!</f>
        <v>#REF!</v>
      </c>
      <c r="I48">
        <f t="shared" si="1"/>
        <v>0</v>
      </c>
      <c r="J48">
        <f t="shared" si="4"/>
        <v>0</v>
      </c>
      <c r="K48" s="6">
        <f t="shared" si="5"/>
        <v>0</v>
      </c>
      <c r="M48" s="2">
        <f>'rockfish harvests'!O47</f>
        <v>688.36627310061613</v>
      </c>
      <c r="N48">
        <f>'rockfish harvests'!P47</f>
        <v>176905.35655507445</v>
      </c>
      <c r="Q48" s="13" t="e">
        <f>#REF!*M48</f>
        <v>#REF!</v>
      </c>
      <c r="R48" s="14" t="e">
        <f>(M48^2)*#REF!+(#REF!^2)*N48-(#REF!*N48)</f>
        <v>#REF!</v>
      </c>
      <c r="S48" t="e">
        <f t="shared" si="6"/>
        <v>#REF!</v>
      </c>
      <c r="T48" s="6" t="e">
        <f t="shared" si="7"/>
        <v>#REF!</v>
      </c>
      <c r="V48" s="13" t="e">
        <f t="shared" si="2"/>
        <v>#REF!</v>
      </c>
      <c r="W48" t="e">
        <f t="shared" si="3"/>
        <v>#REF!</v>
      </c>
      <c r="X48" t="e">
        <f t="shared" si="8"/>
        <v>#REF!</v>
      </c>
      <c r="Y48" s="6" t="e">
        <f t="shared" si="9"/>
        <v>#REF!</v>
      </c>
    </row>
    <row r="49" spans="1:25" x14ac:dyDescent="0.3">
      <c r="A49" t="str">
        <f>'rockfish harvests'!A48</f>
        <v>SC</v>
      </c>
      <c r="B49">
        <f>'rockfish harvests'!B48</f>
        <v>2019</v>
      </c>
      <c r="C49" t="str">
        <f>'rockfish harvests'!C48</f>
        <v>WKMA</v>
      </c>
      <c r="D49">
        <f>'rockfish harvests'!D48</f>
        <v>6954</v>
      </c>
      <c r="E49">
        <f>'YE harvest'!E49</f>
        <v>1310</v>
      </c>
      <c r="I49">
        <f t="shared" ref="I49:I50" si="14">(E49^2)*G49</f>
        <v>0</v>
      </c>
      <c r="J49">
        <f t="shared" ref="J49:J50" si="15">SQRT(I49)</f>
        <v>0</v>
      </c>
      <c r="K49" s="6">
        <f t="shared" ref="K49:K50" si="16">(1.96*J49)</f>
        <v>0</v>
      </c>
      <c r="M49" s="2">
        <f>'rockfish harvests'!O48</f>
        <v>4547.8631178707237</v>
      </c>
      <c r="N49">
        <f>'rockfish harvests'!P48</f>
        <v>3743126.0537553802</v>
      </c>
      <c r="R49" s="14"/>
      <c r="S49"/>
      <c r="T49" s="6"/>
      <c r="Y49" s="6"/>
    </row>
    <row r="50" spans="1:25" x14ac:dyDescent="0.3">
      <c r="A50" t="str">
        <f>'rockfish harvests'!A49</f>
        <v>SC</v>
      </c>
      <c r="B50">
        <f>'rockfish harvests'!B49</f>
        <v>2020</v>
      </c>
      <c r="C50" t="str">
        <f>'rockfish harvests'!C49</f>
        <v>WKMA</v>
      </c>
      <c r="D50">
        <f>'rockfish harvests'!D49</f>
        <v>4035</v>
      </c>
      <c r="E50">
        <f>'YE harvest'!E50</f>
        <v>579</v>
      </c>
      <c r="I50">
        <f t="shared" si="14"/>
        <v>0</v>
      </c>
      <c r="J50">
        <f t="shared" si="15"/>
        <v>0</v>
      </c>
      <c r="K50" s="6">
        <f t="shared" si="16"/>
        <v>0</v>
      </c>
      <c r="M50" s="2">
        <f>'rockfish harvests'!O49</f>
        <v>763.28309305373477</v>
      </c>
      <c r="N50">
        <f>'rockfish harvests'!P49</f>
        <v>145836.37674785985</v>
      </c>
      <c r="R50" s="14"/>
      <c r="S50"/>
      <c r="T50" s="6"/>
      <c r="Y50" s="6"/>
    </row>
    <row r="51" spans="1:25" x14ac:dyDescent="0.3">
      <c r="A51" t="str">
        <f>'rockfish harvests'!A50</f>
        <v>SC</v>
      </c>
      <c r="B51">
        <f>'rockfish harvests'!B50</f>
        <v>2021</v>
      </c>
      <c r="C51" t="str">
        <f>'rockfish harvests'!C50</f>
        <v>WKMA</v>
      </c>
      <c r="D51">
        <f>'rockfish harvests'!D50</f>
        <v>7924</v>
      </c>
      <c r="E51">
        <f>'YE harvest'!E51</f>
        <v>1031</v>
      </c>
      <c r="K51" s="6"/>
      <c r="M51" s="2">
        <f>'rockfish harvests'!O50</f>
        <v>1237.5434476279934</v>
      </c>
      <c r="N51">
        <f>'rockfish harvests'!P50</f>
        <v>260682.47263099358</v>
      </c>
      <c r="R51" s="14"/>
      <c r="S51"/>
      <c r="T51" s="6"/>
      <c r="Y51" s="6"/>
    </row>
    <row r="52" spans="1:25" x14ac:dyDescent="0.3">
      <c r="A52" t="str">
        <f>'rockfish harvests'!A52</f>
        <v>SC</v>
      </c>
      <c r="B52">
        <f>'rockfish harvests'!B52</f>
        <v>1998</v>
      </c>
      <c r="C52" t="str">
        <f>'rockfish harvests'!C52</f>
        <v>SKMA</v>
      </c>
      <c r="D52">
        <f>'rockfish harvests'!D52</f>
        <v>27</v>
      </c>
      <c r="E52">
        <f>'YE harvest'!E53</f>
        <v>5</v>
      </c>
      <c r="F52" s="38"/>
      <c r="G52" s="39"/>
      <c r="H52" s="13">
        <f t="shared" ref="H52:H59" si="17">E52*F52</f>
        <v>0</v>
      </c>
      <c r="I52">
        <f t="shared" si="1"/>
        <v>0</v>
      </c>
      <c r="J52">
        <f t="shared" si="4"/>
        <v>0</v>
      </c>
      <c r="K52" s="6">
        <f t="shared" si="5"/>
        <v>0</v>
      </c>
      <c r="M52" s="2">
        <f>'rockfish harvests'!O52</f>
        <v>7.9215011476053405</v>
      </c>
      <c r="N52">
        <f>'rockfish harvests'!P52</f>
        <v>23.019267226088481</v>
      </c>
      <c r="Q52" s="13" t="e">
        <f>#REF!*M52</f>
        <v>#REF!</v>
      </c>
      <c r="R52" s="14" t="e">
        <f>(M52^2)*#REF!+(#REF!^2)*N52-(#REF!*N52)</f>
        <v>#REF!</v>
      </c>
      <c r="S52" t="e">
        <f t="shared" si="6"/>
        <v>#REF!</v>
      </c>
      <c r="T52" s="6" t="e">
        <f t="shared" si="7"/>
        <v>#REF!</v>
      </c>
      <c r="V52" s="13" t="e">
        <f t="shared" si="2"/>
        <v>#REF!</v>
      </c>
      <c r="W52" t="e">
        <f t="shared" si="3"/>
        <v>#REF!</v>
      </c>
      <c r="X52" t="e">
        <f t="shared" si="8"/>
        <v>#REF!</v>
      </c>
      <c r="Y52" s="6" t="e">
        <f t="shared" si="9"/>
        <v>#REF!</v>
      </c>
    </row>
    <row r="53" spans="1:25" x14ac:dyDescent="0.3">
      <c r="A53" t="str">
        <f>'rockfish harvests'!A53</f>
        <v>SC</v>
      </c>
      <c r="B53">
        <f>'rockfish harvests'!B53</f>
        <v>1999</v>
      </c>
      <c r="C53" t="str">
        <f>'rockfish harvests'!C53</f>
        <v>SKMA</v>
      </c>
      <c r="D53">
        <f>'rockfish harvests'!D53</f>
        <v>88</v>
      </c>
      <c r="E53">
        <f>'YE harvest'!E54</f>
        <v>15</v>
      </c>
      <c r="F53" s="38"/>
      <c r="G53" s="39"/>
      <c r="H53" s="13">
        <f t="shared" si="17"/>
        <v>0</v>
      </c>
      <c r="I53">
        <f t="shared" si="1"/>
        <v>0</v>
      </c>
      <c r="J53">
        <f t="shared" si="4"/>
        <v>0</v>
      </c>
      <c r="K53" s="6">
        <f t="shared" si="5"/>
        <v>0</v>
      </c>
      <c r="M53" s="2">
        <f>'rockfish harvests'!O53</f>
        <v>25.818225962565563</v>
      </c>
      <c r="N53">
        <f>'rockfish harvests'!P53</f>
        <v>244.52840246752979</v>
      </c>
      <c r="Q53" s="13" t="e">
        <f>#REF!*M53</f>
        <v>#REF!</v>
      </c>
      <c r="R53" s="14" t="e">
        <f>(M53^2)*#REF!+(#REF!^2)*N53-(#REF!*N53)</f>
        <v>#REF!</v>
      </c>
      <c r="S53" t="e">
        <f t="shared" si="6"/>
        <v>#REF!</v>
      </c>
      <c r="T53" s="6" t="e">
        <f t="shared" si="7"/>
        <v>#REF!</v>
      </c>
      <c r="V53" s="13" t="e">
        <f t="shared" si="2"/>
        <v>#REF!</v>
      </c>
      <c r="W53" t="e">
        <f t="shared" si="3"/>
        <v>#REF!</v>
      </c>
      <c r="X53" t="e">
        <f t="shared" si="8"/>
        <v>#REF!</v>
      </c>
      <c r="Y53" s="6" t="e">
        <f t="shared" si="9"/>
        <v>#REF!</v>
      </c>
    </row>
    <row r="54" spans="1:25" x14ac:dyDescent="0.3">
      <c r="A54" t="str">
        <f>'rockfish harvests'!A54</f>
        <v>SC</v>
      </c>
      <c r="B54">
        <f>'rockfish harvests'!B54</f>
        <v>2000</v>
      </c>
      <c r="C54" t="str">
        <f>'rockfish harvests'!C54</f>
        <v>SKMA</v>
      </c>
      <c r="D54">
        <f>'rockfish harvests'!D54</f>
        <v>65</v>
      </c>
      <c r="E54">
        <f>'YE harvest'!E55</f>
        <v>60</v>
      </c>
      <c r="F54" s="38"/>
      <c r="G54" s="39"/>
      <c r="H54" s="13">
        <f t="shared" si="17"/>
        <v>0</v>
      </c>
      <c r="I54">
        <f t="shared" si="1"/>
        <v>0</v>
      </c>
      <c r="J54">
        <f t="shared" si="4"/>
        <v>0</v>
      </c>
      <c r="K54" s="6">
        <f t="shared" si="5"/>
        <v>0</v>
      </c>
      <c r="M54" s="2">
        <f>'rockfish harvests'!O54</f>
        <v>19.070280540531371</v>
      </c>
      <c r="N54">
        <f>'rockfish harvests'!P54</f>
        <v>133.41070511690512</v>
      </c>
      <c r="Q54" s="13" t="e">
        <f>#REF!*M54</f>
        <v>#REF!</v>
      </c>
      <c r="R54" s="14" t="e">
        <f>(M54^2)*#REF!+(#REF!^2)*N54-(#REF!*N54)</f>
        <v>#REF!</v>
      </c>
      <c r="S54" t="e">
        <f t="shared" si="6"/>
        <v>#REF!</v>
      </c>
      <c r="T54" s="6" t="e">
        <f t="shared" si="7"/>
        <v>#REF!</v>
      </c>
      <c r="V54" s="13" t="e">
        <f t="shared" si="2"/>
        <v>#REF!</v>
      </c>
      <c r="W54" t="e">
        <f t="shared" si="3"/>
        <v>#REF!</v>
      </c>
      <c r="X54" t="e">
        <f t="shared" si="8"/>
        <v>#REF!</v>
      </c>
      <c r="Y54" s="6" t="e">
        <f t="shared" si="9"/>
        <v>#REF!</v>
      </c>
    </row>
    <row r="55" spans="1:25" x14ac:dyDescent="0.3">
      <c r="A55" t="str">
        <f>'rockfish harvests'!A55</f>
        <v>SC</v>
      </c>
      <c r="B55">
        <f>'rockfish harvests'!B55</f>
        <v>2001</v>
      </c>
      <c r="C55" t="str">
        <f>'rockfish harvests'!C55</f>
        <v>SKMA</v>
      </c>
      <c r="D55">
        <f>'rockfish harvests'!D55</f>
        <v>27</v>
      </c>
      <c r="E55">
        <f>'YE harvest'!E56</f>
        <v>19</v>
      </c>
      <c r="F55" s="38"/>
      <c r="G55" s="39"/>
      <c r="H55" s="13">
        <f t="shared" si="17"/>
        <v>0</v>
      </c>
      <c r="I55">
        <f t="shared" si="1"/>
        <v>0</v>
      </c>
      <c r="J55">
        <f t="shared" si="4"/>
        <v>0</v>
      </c>
      <c r="K55" s="6">
        <f t="shared" si="5"/>
        <v>0</v>
      </c>
      <c r="M55" s="2">
        <f>'rockfish harvests'!O55</f>
        <v>7.9215011476053405</v>
      </c>
      <c r="N55">
        <f>'rockfish harvests'!P55</f>
        <v>23.019267226088481</v>
      </c>
      <c r="Q55" s="13" t="e">
        <f>#REF!*M55</f>
        <v>#REF!</v>
      </c>
      <c r="R55" s="14" t="e">
        <f>(M55^2)*#REF!+(#REF!^2)*N55-(#REF!*N55)</f>
        <v>#REF!</v>
      </c>
      <c r="S55" t="e">
        <f t="shared" si="6"/>
        <v>#REF!</v>
      </c>
      <c r="T55" s="6" t="e">
        <f t="shared" si="7"/>
        <v>#REF!</v>
      </c>
      <c r="V55" s="13" t="e">
        <f t="shared" si="2"/>
        <v>#REF!</v>
      </c>
      <c r="W55" t="e">
        <f t="shared" si="3"/>
        <v>#REF!</v>
      </c>
      <c r="X55" t="e">
        <f t="shared" si="8"/>
        <v>#REF!</v>
      </c>
      <c r="Y55" s="6" t="e">
        <f t="shared" si="9"/>
        <v>#REF!</v>
      </c>
    </row>
    <row r="56" spans="1:25" x14ac:dyDescent="0.3">
      <c r="A56" t="str">
        <f>'rockfish harvests'!A56</f>
        <v>SC</v>
      </c>
      <c r="B56">
        <f>'rockfish harvests'!B56</f>
        <v>2002</v>
      </c>
      <c r="C56" t="str">
        <f>'rockfish harvests'!C56</f>
        <v>SKMA</v>
      </c>
      <c r="D56">
        <f>'rockfish harvests'!D56</f>
        <v>99</v>
      </c>
      <c r="E56">
        <f>'YE harvest'!E57</f>
        <v>11</v>
      </c>
      <c r="F56" s="38"/>
      <c r="G56" s="39"/>
      <c r="H56" s="13">
        <f t="shared" si="17"/>
        <v>0</v>
      </c>
      <c r="I56">
        <f t="shared" si="1"/>
        <v>0</v>
      </c>
      <c r="J56">
        <f t="shared" si="4"/>
        <v>0</v>
      </c>
      <c r="K56" s="6">
        <f t="shared" si="5"/>
        <v>0</v>
      </c>
      <c r="M56" s="2">
        <f>'rockfish harvests'!O56</f>
        <v>29.045504207886239</v>
      </c>
      <c r="N56">
        <f>'rockfish harvests'!P56</f>
        <v>309.48125937296737</v>
      </c>
      <c r="Q56" s="13" t="e">
        <f>#REF!*M56</f>
        <v>#REF!</v>
      </c>
      <c r="R56" s="14" t="e">
        <f>(M56^2)*#REF!+(#REF!^2)*N56-(#REF!*N56)</f>
        <v>#REF!</v>
      </c>
      <c r="S56" t="e">
        <f t="shared" si="6"/>
        <v>#REF!</v>
      </c>
      <c r="T56" s="6" t="e">
        <f t="shared" si="7"/>
        <v>#REF!</v>
      </c>
      <c r="V56" s="13" t="e">
        <f t="shared" si="2"/>
        <v>#REF!</v>
      </c>
      <c r="W56" t="e">
        <f t="shared" si="3"/>
        <v>#REF!</v>
      </c>
      <c r="X56" t="e">
        <f t="shared" si="8"/>
        <v>#REF!</v>
      </c>
      <c r="Y56" s="6" t="e">
        <f t="shared" si="9"/>
        <v>#REF!</v>
      </c>
    </row>
    <row r="57" spans="1:25" x14ac:dyDescent="0.3">
      <c r="A57" t="str">
        <f>'rockfish harvests'!A57</f>
        <v>SC</v>
      </c>
      <c r="B57">
        <f>'rockfish harvests'!B57</f>
        <v>2003</v>
      </c>
      <c r="C57" t="str">
        <f>'rockfish harvests'!C57</f>
        <v>SKMA</v>
      </c>
      <c r="D57">
        <f>'rockfish harvests'!D57</f>
        <v>144</v>
      </c>
      <c r="E57">
        <f>'YE harvest'!E58</f>
        <v>40</v>
      </c>
      <c r="F57" s="38"/>
      <c r="G57" s="39"/>
      <c r="H57" s="13">
        <f t="shared" si="17"/>
        <v>0</v>
      </c>
      <c r="I57">
        <f t="shared" si="1"/>
        <v>0</v>
      </c>
      <c r="J57">
        <f t="shared" si="4"/>
        <v>0</v>
      </c>
      <c r="K57" s="6">
        <f t="shared" si="5"/>
        <v>0</v>
      </c>
      <c r="M57" s="2">
        <f>'rockfish harvests'!O57</f>
        <v>42.248006120561826</v>
      </c>
      <c r="N57">
        <f>'rockfish harvests'!P57</f>
        <v>654.77026776429454</v>
      </c>
      <c r="Q57" s="13" t="e">
        <f>#REF!*M57</f>
        <v>#REF!</v>
      </c>
      <c r="R57" s="14" t="e">
        <f>(M57^2)*#REF!+(#REF!^2)*N57-(#REF!*N57)</f>
        <v>#REF!</v>
      </c>
      <c r="S57" t="e">
        <f t="shared" si="6"/>
        <v>#REF!</v>
      </c>
      <c r="T57" s="6" t="e">
        <f t="shared" si="7"/>
        <v>#REF!</v>
      </c>
      <c r="V57" s="13" t="e">
        <f t="shared" si="2"/>
        <v>#REF!</v>
      </c>
      <c r="W57" t="e">
        <f t="shared" si="3"/>
        <v>#REF!</v>
      </c>
      <c r="X57" t="e">
        <f t="shared" si="8"/>
        <v>#REF!</v>
      </c>
      <c r="Y57" s="6" t="e">
        <f t="shared" si="9"/>
        <v>#REF!</v>
      </c>
    </row>
    <row r="58" spans="1:25" x14ac:dyDescent="0.3">
      <c r="A58" t="str">
        <f>'rockfish harvests'!A58</f>
        <v>SC</v>
      </c>
      <c r="B58">
        <f>'rockfish harvests'!B58</f>
        <v>2004</v>
      </c>
      <c r="C58" t="str">
        <f>'rockfish harvests'!C58</f>
        <v>SKMA</v>
      </c>
      <c r="D58">
        <f>'rockfish harvests'!D58</f>
        <v>200</v>
      </c>
      <c r="E58">
        <f>'YE harvest'!E59</f>
        <v>41</v>
      </c>
      <c r="F58" s="38"/>
      <c r="G58" s="39"/>
      <c r="H58" s="13">
        <f t="shared" si="17"/>
        <v>0</v>
      </c>
      <c r="I58">
        <f t="shared" si="1"/>
        <v>0</v>
      </c>
      <c r="J58">
        <f t="shared" si="4"/>
        <v>0</v>
      </c>
      <c r="K58" s="6">
        <f t="shared" si="5"/>
        <v>0</v>
      </c>
      <c r="M58" s="2">
        <f>'rockfish harvests'!O58</f>
        <v>58.677786278558074</v>
      </c>
      <c r="N58">
        <f>'rockfish harvests'!P58</f>
        <v>1263.059930100877</v>
      </c>
      <c r="Q58" s="13" t="e">
        <f>#REF!*M58</f>
        <v>#REF!</v>
      </c>
      <c r="R58" s="14" t="e">
        <f>(M58^2)*#REF!+(#REF!^2)*N58-(#REF!*N58)</f>
        <v>#REF!</v>
      </c>
      <c r="S58" t="e">
        <f t="shared" si="6"/>
        <v>#REF!</v>
      </c>
      <c r="T58" s="6" t="e">
        <f t="shared" si="7"/>
        <v>#REF!</v>
      </c>
      <c r="V58" s="13" t="e">
        <f t="shared" si="2"/>
        <v>#REF!</v>
      </c>
      <c r="W58" t="e">
        <f t="shared" si="3"/>
        <v>#REF!</v>
      </c>
      <c r="X58" t="e">
        <f t="shared" si="8"/>
        <v>#REF!</v>
      </c>
      <c r="Y58" s="6" t="e">
        <f t="shared" si="9"/>
        <v>#REF!</v>
      </c>
    </row>
    <row r="59" spans="1:25" x14ac:dyDescent="0.3">
      <c r="A59" t="str">
        <f>'rockfish harvests'!A59</f>
        <v>SC</v>
      </c>
      <c r="B59">
        <f>'rockfish harvests'!B59</f>
        <v>2005</v>
      </c>
      <c r="C59" t="str">
        <f>'rockfish harvests'!C59</f>
        <v>SKMA</v>
      </c>
      <c r="D59">
        <f>'rockfish harvests'!D59</f>
        <v>287</v>
      </c>
      <c r="E59">
        <f>'YE harvest'!E60</f>
        <v>159</v>
      </c>
      <c r="F59" s="38"/>
      <c r="G59" s="39"/>
      <c r="H59" s="13">
        <f t="shared" si="17"/>
        <v>0</v>
      </c>
      <c r="I59">
        <f t="shared" si="1"/>
        <v>0</v>
      </c>
      <c r="J59">
        <f t="shared" si="4"/>
        <v>0</v>
      </c>
      <c r="K59" s="6">
        <f t="shared" si="5"/>
        <v>0</v>
      </c>
      <c r="M59" s="2">
        <f>'rockfish harvests'!O59</f>
        <v>84.202623309730882</v>
      </c>
      <c r="N59">
        <f>'rockfish harvests'!P59</f>
        <v>2600.9245845619785</v>
      </c>
      <c r="Q59" s="13" t="e">
        <f>#REF!*M59</f>
        <v>#REF!</v>
      </c>
      <c r="R59" s="14" t="e">
        <f>(M59^2)*#REF!+(#REF!^2)*N59-(#REF!*N59)</f>
        <v>#REF!</v>
      </c>
      <c r="S59" t="e">
        <f t="shared" si="6"/>
        <v>#REF!</v>
      </c>
      <c r="T59" s="6" t="e">
        <f t="shared" si="7"/>
        <v>#REF!</v>
      </c>
      <c r="V59" s="13" t="e">
        <f t="shared" si="2"/>
        <v>#REF!</v>
      </c>
      <c r="W59" t="e">
        <f t="shared" si="3"/>
        <v>#REF!</v>
      </c>
      <c r="X59" t="e">
        <f t="shared" si="8"/>
        <v>#REF!</v>
      </c>
      <c r="Y59" s="6" t="e">
        <f t="shared" si="9"/>
        <v>#REF!</v>
      </c>
    </row>
    <row r="60" spans="1:25" x14ac:dyDescent="0.3">
      <c r="A60" t="str">
        <f>'rockfish harvests'!A60</f>
        <v>SC</v>
      </c>
      <c r="B60">
        <f>'rockfish harvests'!B60</f>
        <v>2006</v>
      </c>
      <c r="C60" t="str">
        <f>'rockfish harvests'!C60</f>
        <v>SKMA</v>
      </c>
      <c r="D60">
        <f>'rockfish harvests'!D60</f>
        <v>303</v>
      </c>
      <c r="E60">
        <f>'YE harvest'!E61</f>
        <v>112</v>
      </c>
      <c r="G60" s="16"/>
      <c r="H60" s="13" t="e">
        <f>#REF!</f>
        <v>#REF!</v>
      </c>
      <c r="I60">
        <f t="shared" si="1"/>
        <v>0</v>
      </c>
      <c r="J60">
        <f t="shared" si="4"/>
        <v>0</v>
      </c>
      <c r="K60" s="6">
        <f t="shared" si="5"/>
        <v>0</v>
      </c>
      <c r="M60" s="2">
        <f>'rockfish harvests'!O60</f>
        <v>88.896846212015475</v>
      </c>
      <c r="N60">
        <f>'rockfish harvests'!P60</f>
        <v>2899.0067280657854</v>
      </c>
      <c r="Q60" s="13" t="e">
        <f>#REF!*M60</f>
        <v>#REF!</v>
      </c>
      <c r="R60" s="14" t="e">
        <f>(M60^2)*#REF!+(#REF!^2)*N60-(#REF!*N60)</f>
        <v>#REF!</v>
      </c>
      <c r="S60" t="e">
        <f t="shared" si="6"/>
        <v>#REF!</v>
      </c>
      <c r="T60" s="6" t="e">
        <f t="shared" si="7"/>
        <v>#REF!</v>
      </c>
      <c r="V60" s="13" t="e">
        <f t="shared" si="2"/>
        <v>#REF!</v>
      </c>
      <c r="W60" t="e">
        <f t="shared" si="3"/>
        <v>#REF!</v>
      </c>
      <c r="X60" t="e">
        <f t="shared" si="8"/>
        <v>#REF!</v>
      </c>
      <c r="Y60" s="6" t="e">
        <f t="shared" si="9"/>
        <v>#REF!</v>
      </c>
    </row>
    <row r="61" spans="1:25" x14ac:dyDescent="0.3">
      <c r="A61" t="str">
        <f>'rockfish harvests'!A61</f>
        <v>SC</v>
      </c>
      <c r="B61">
        <f>'rockfish harvests'!B61</f>
        <v>2007</v>
      </c>
      <c r="C61" t="str">
        <f>'rockfish harvests'!C61</f>
        <v>SKMA</v>
      </c>
      <c r="D61">
        <f>'rockfish harvests'!D61</f>
        <v>1148</v>
      </c>
      <c r="E61">
        <f>'YE harvest'!E62</f>
        <v>179</v>
      </c>
      <c r="G61" s="16"/>
      <c r="H61" s="13" t="e">
        <f>#REF!</f>
        <v>#REF!</v>
      </c>
      <c r="I61">
        <f t="shared" si="1"/>
        <v>0</v>
      </c>
      <c r="J61">
        <f t="shared" si="4"/>
        <v>0</v>
      </c>
      <c r="K61" s="6">
        <f t="shared" si="5"/>
        <v>0</v>
      </c>
      <c r="M61" s="2">
        <f>'rockfish harvests'!O61</f>
        <v>336.81049323892353</v>
      </c>
      <c r="N61">
        <f>'rockfish harvests'!P61</f>
        <v>41614.793352991655</v>
      </c>
      <c r="Q61" s="13" t="e">
        <f>#REF!*M61</f>
        <v>#REF!</v>
      </c>
      <c r="R61" s="14" t="e">
        <f>(M61^2)*#REF!+(#REF!^2)*N61-(#REF!*N61)</f>
        <v>#REF!</v>
      </c>
      <c r="S61" t="e">
        <f t="shared" si="6"/>
        <v>#REF!</v>
      </c>
      <c r="T61" s="6" t="e">
        <f t="shared" si="7"/>
        <v>#REF!</v>
      </c>
      <c r="V61" s="13" t="e">
        <f t="shared" si="2"/>
        <v>#REF!</v>
      </c>
      <c r="W61" t="e">
        <f t="shared" si="3"/>
        <v>#REF!</v>
      </c>
      <c r="X61" t="e">
        <f t="shared" si="8"/>
        <v>#REF!</v>
      </c>
      <c r="Y61" s="6" t="e">
        <f t="shared" si="9"/>
        <v>#REF!</v>
      </c>
    </row>
    <row r="62" spans="1:25" x14ac:dyDescent="0.3">
      <c r="A62" t="str">
        <f>'rockfish harvests'!A62</f>
        <v>SC</v>
      </c>
      <c r="B62">
        <f>'rockfish harvests'!B62</f>
        <v>2008</v>
      </c>
      <c r="C62" t="str">
        <f>'rockfish harvests'!C62</f>
        <v>SKMA</v>
      </c>
      <c r="D62">
        <f>'rockfish harvests'!D62</f>
        <v>1130</v>
      </c>
      <c r="E62">
        <f>'YE harvest'!E63</f>
        <v>88</v>
      </c>
      <c r="G62" s="16"/>
      <c r="H62" s="13" t="e">
        <f>#REF!</f>
        <v>#REF!</v>
      </c>
      <c r="I62">
        <f t="shared" si="1"/>
        <v>0</v>
      </c>
      <c r="J62">
        <f t="shared" si="4"/>
        <v>0</v>
      </c>
      <c r="K62" s="6">
        <f t="shared" si="5"/>
        <v>0</v>
      </c>
      <c r="M62" s="2">
        <f>'rockfish harvests'!O62</f>
        <v>331.52949247385322</v>
      </c>
      <c r="N62">
        <f>'rockfish harvests'!P62</f>
        <v>40320.030618645244</v>
      </c>
      <c r="Q62" s="13" t="e">
        <f>#REF!*M62</f>
        <v>#REF!</v>
      </c>
      <c r="R62" s="14" t="e">
        <f>(M62^2)*#REF!+(#REF!^2)*N62-(#REF!*N62)</f>
        <v>#REF!</v>
      </c>
      <c r="S62" t="e">
        <f t="shared" si="6"/>
        <v>#REF!</v>
      </c>
      <c r="T62" s="6" t="e">
        <f t="shared" si="7"/>
        <v>#REF!</v>
      </c>
      <c r="V62" s="13" t="e">
        <f t="shared" si="2"/>
        <v>#REF!</v>
      </c>
      <c r="W62" t="e">
        <f t="shared" si="3"/>
        <v>#REF!</v>
      </c>
      <c r="X62" t="e">
        <f t="shared" si="8"/>
        <v>#REF!</v>
      </c>
      <c r="Y62" s="6" t="e">
        <f t="shared" si="9"/>
        <v>#REF!</v>
      </c>
    </row>
    <row r="63" spans="1:25" x14ac:dyDescent="0.3">
      <c r="A63" t="str">
        <f>'rockfish harvests'!A63</f>
        <v>SC</v>
      </c>
      <c r="B63">
        <f>'rockfish harvests'!B63</f>
        <v>2009</v>
      </c>
      <c r="C63" t="str">
        <f>'rockfish harvests'!C63</f>
        <v>SKMA</v>
      </c>
      <c r="D63">
        <f>'rockfish harvests'!D63</f>
        <v>810</v>
      </c>
      <c r="E63">
        <f>'YE harvest'!E64</f>
        <v>89</v>
      </c>
      <c r="G63" s="16"/>
      <c r="H63" s="13" t="e">
        <f>#REF!</f>
        <v>#REF!</v>
      </c>
      <c r="I63">
        <f t="shared" si="1"/>
        <v>0</v>
      </c>
      <c r="J63">
        <f t="shared" si="4"/>
        <v>0</v>
      </c>
      <c r="K63" s="6">
        <f t="shared" si="5"/>
        <v>0</v>
      </c>
      <c r="M63" s="2">
        <f>'rockfish harvests'!O63</f>
        <v>237.64503442816022</v>
      </c>
      <c r="N63">
        <f>'rockfish harvests'!P63</f>
        <v>20717.340503479634</v>
      </c>
      <c r="Q63" s="13" t="e">
        <f>#REF!*M63</f>
        <v>#REF!</v>
      </c>
      <c r="R63" s="14" t="e">
        <f>(M63^2)*#REF!+(#REF!^2)*N63-(#REF!*N63)</f>
        <v>#REF!</v>
      </c>
      <c r="S63" t="e">
        <f t="shared" si="6"/>
        <v>#REF!</v>
      </c>
      <c r="T63" s="6" t="e">
        <f t="shared" si="7"/>
        <v>#REF!</v>
      </c>
      <c r="V63" s="13" t="e">
        <f t="shared" si="2"/>
        <v>#REF!</v>
      </c>
      <c r="W63" t="e">
        <f t="shared" si="3"/>
        <v>#REF!</v>
      </c>
      <c r="X63" t="e">
        <f t="shared" si="8"/>
        <v>#REF!</v>
      </c>
      <c r="Y63" s="6" t="e">
        <f t="shared" si="9"/>
        <v>#REF!</v>
      </c>
    </row>
    <row r="64" spans="1:25" x14ac:dyDescent="0.3">
      <c r="A64" t="str">
        <f>'rockfish harvests'!A64</f>
        <v>SC</v>
      </c>
      <c r="B64">
        <f>'rockfish harvests'!B64</f>
        <v>2010</v>
      </c>
      <c r="C64" t="str">
        <f>'rockfish harvests'!C64</f>
        <v>SKMA</v>
      </c>
      <c r="D64">
        <f>'rockfish harvests'!D64</f>
        <v>644</v>
      </c>
      <c r="E64">
        <f>'YE harvest'!E65</f>
        <v>244</v>
      </c>
      <c r="G64" s="16"/>
      <c r="H64" s="13" t="e">
        <f>#REF!</f>
        <v>#REF!</v>
      </c>
      <c r="I64">
        <f t="shared" si="1"/>
        <v>0</v>
      </c>
      <c r="J64">
        <f t="shared" si="4"/>
        <v>0</v>
      </c>
      <c r="K64" s="6">
        <f t="shared" si="5"/>
        <v>0</v>
      </c>
      <c r="M64" s="2">
        <f>'rockfish harvests'!O64</f>
        <v>188.94247181695698</v>
      </c>
      <c r="N64">
        <f>'rockfish harvests'!P64</f>
        <v>13095.910579257932</v>
      </c>
      <c r="Q64" s="13" t="e">
        <f>#REF!*M64</f>
        <v>#REF!</v>
      </c>
      <c r="R64" s="14" t="e">
        <f>(M64^2)*#REF!+(#REF!^2)*N64-(#REF!*N64)</f>
        <v>#REF!</v>
      </c>
      <c r="S64" t="e">
        <f t="shared" si="6"/>
        <v>#REF!</v>
      </c>
      <c r="T64" s="6" t="e">
        <f t="shared" si="7"/>
        <v>#REF!</v>
      </c>
      <c r="V64" s="13" t="e">
        <f t="shared" si="2"/>
        <v>#REF!</v>
      </c>
      <c r="W64" t="e">
        <f t="shared" si="3"/>
        <v>#REF!</v>
      </c>
      <c r="X64" t="e">
        <f t="shared" si="8"/>
        <v>#REF!</v>
      </c>
      <c r="Y64" s="6" t="e">
        <f t="shared" si="9"/>
        <v>#REF!</v>
      </c>
    </row>
    <row r="65" spans="1:25" x14ac:dyDescent="0.3">
      <c r="A65" t="str">
        <f>'rockfish harvests'!A65</f>
        <v>SC</v>
      </c>
      <c r="B65">
        <f>'rockfish harvests'!B65</f>
        <v>2011</v>
      </c>
      <c r="C65" t="str">
        <f>'rockfish harvests'!C65</f>
        <v>SKMA</v>
      </c>
      <c r="D65">
        <f>'rockfish harvests'!D65</f>
        <v>689</v>
      </c>
      <c r="E65">
        <f>'YE harvest'!E66</f>
        <v>137</v>
      </c>
      <c r="G65" s="16"/>
      <c r="H65" s="13" t="e">
        <f>#REF!</f>
        <v>#REF!</v>
      </c>
      <c r="I65">
        <f t="shared" si="1"/>
        <v>0</v>
      </c>
      <c r="J65">
        <f t="shared" si="4"/>
        <v>0</v>
      </c>
      <c r="K65" s="6">
        <f t="shared" si="5"/>
        <v>0</v>
      </c>
      <c r="M65" s="2">
        <f>'rockfish harvests'!O65</f>
        <v>161.99495459132186</v>
      </c>
      <c r="N65">
        <f>'rockfish harvests'!P65</f>
        <v>13094.402331197241</v>
      </c>
      <c r="Q65" s="13" t="e">
        <f>#REF!*M65</f>
        <v>#REF!</v>
      </c>
      <c r="R65" s="14" t="e">
        <f>(M65^2)*#REF!+(#REF!^2)*N65-(#REF!*N65)</f>
        <v>#REF!</v>
      </c>
      <c r="S65" t="e">
        <f t="shared" si="6"/>
        <v>#REF!</v>
      </c>
      <c r="T65" s="6" t="e">
        <f t="shared" si="7"/>
        <v>#REF!</v>
      </c>
      <c r="V65" s="13" t="e">
        <f t="shared" si="2"/>
        <v>#REF!</v>
      </c>
      <c r="W65" t="e">
        <f t="shared" si="3"/>
        <v>#REF!</v>
      </c>
      <c r="X65" t="e">
        <f t="shared" si="8"/>
        <v>#REF!</v>
      </c>
      <c r="Y65" s="6" t="e">
        <f t="shared" si="9"/>
        <v>#REF!</v>
      </c>
    </row>
    <row r="66" spans="1:25" x14ac:dyDescent="0.3">
      <c r="A66" t="str">
        <f>'rockfish harvests'!A66</f>
        <v>SC</v>
      </c>
      <c r="B66">
        <f>'rockfish harvests'!B66</f>
        <v>2012</v>
      </c>
      <c r="C66" t="str">
        <f>'rockfish harvests'!C66</f>
        <v>SKMA</v>
      </c>
      <c r="D66">
        <f>'rockfish harvests'!D66</f>
        <v>918</v>
      </c>
      <c r="E66">
        <f>'YE harvest'!E67</f>
        <v>350</v>
      </c>
      <c r="G66" s="16"/>
      <c r="H66" s="13" t="e">
        <f>#REF!</f>
        <v>#REF!</v>
      </c>
      <c r="I66">
        <f t="shared" si="1"/>
        <v>0</v>
      </c>
      <c r="J66">
        <f t="shared" si="4"/>
        <v>0</v>
      </c>
      <c r="K66" s="6">
        <f t="shared" si="5"/>
        <v>0</v>
      </c>
      <c r="M66" s="2">
        <f>'rockfish harvests'!O66</f>
        <v>591</v>
      </c>
      <c r="N66">
        <f>'rockfish harvests'!P66</f>
        <v>113950.9906442892</v>
      </c>
      <c r="Q66" s="13" t="e">
        <f>#REF!*M66</f>
        <v>#REF!</v>
      </c>
      <c r="R66" s="14" t="e">
        <f>(M66^2)*#REF!+(#REF!^2)*N66-(#REF!*N66)</f>
        <v>#REF!</v>
      </c>
      <c r="S66" t="e">
        <f t="shared" si="6"/>
        <v>#REF!</v>
      </c>
      <c r="T66" s="6" t="e">
        <f t="shared" si="7"/>
        <v>#REF!</v>
      </c>
      <c r="V66" s="13" t="e">
        <f t="shared" si="2"/>
        <v>#REF!</v>
      </c>
      <c r="W66" t="e">
        <f t="shared" si="3"/>
        <v>#REF!</v>
      </c>
      <c r="X66" t="e">
        <f t="shared" si="8"/>
        <v>#REF!</v>
      </c>
      <c r="Y66" s="6" t="e">
        <f t="shared" si="9"/>
        <v>#REF!</v>
      </c>
    </row>
    <row r="67" spans="1:25" x14ac:dyDescent="0.3">
      <c r="A67" t="str">
        <f>'rockfish harvests'!A67</f>
        <v>SC</v>
      </c>
      <c r="B67">
        <f>'rockfish harvests'!B67</f>
        <v>2013</v>
      </c>
      <c r="C67" t="str">
        <f>'rockfish harvests'!C67</f>
        <v>SKMA</v>
      </c>
      <c r="D67">
        <f>'rockfish harvests'!D67</f>
        <v>1035</v>
      </c>
      <c r="E67">
        <f>'YE harvest'!E68</f>
        <v>167</v>
      </c>
      <c r="G67" s="16"/>
      <c r="H67" s="13" t="e">
        <f>#REF!</f>
        <v>#REF!</v>
      </c>
      <c r="I67">
        <f t="shared" si="1"/>
        <v>0</v>
      </c>
      <c r="J67">
        <f t="shared" si="4"/>
        <v>0</v>
      </c>
      <c r="K67" s="6">
        <f t="shared" si="5"/>
        <v>0</v>
      </c>
      <c r="M67" s="2">
        <f>'rockfish harvests'!O67</f>
        <v>209.79729729729729</v>
      </c>
      <c r="N67">
        <f>'rockfish harvests'!P67</f>
        <v>18918.407507863983</v>
      </c>
      <c r="Q67" s="13" t="e">
        <f>#REF!*M67</f>
        <v>#REF!</v>
      </c>
      <c r="R67" s="14" t="e">
        <f>(M67^2)*#REF!+(#REF!^2)*N67-(#REF!*N67)</f>
        <v>#REF!</v>
      </c>
      <c r="S67" t="e">
        <f t="shared" si="6"/>
        <v>#REF!</v>
      </c>
      <c r="T67" s="6" t="e">
        <f t="shared" si="7"/>
        <v>#REF!</v>
      </c>
      <c r="V67" s="13" t="e">
        <f t="shared" si="2"/>
        <v>#REF!</v>
      </c>
      <c r="W67" t="e">
        <f t="shared" si="3"/>
        <v>#REF!</v>
      </c>
      <c r="X67" t="e">
        <f t="shared" si="8"/>
        <v>#REF!</v>
      </c>
      <c r="Y67" s="6" t="e">
        <f t="shared" si="9"/>
        <v>#REF!</v>
      </c>
    </row>
    <row r="68" spans="1:25" x14ac:dyDescent="0.3">
      <c r="A68" t="str">
        <f>'rockfish harvests'!A68</f>
        <v>SC</v>
      </c>
      <c r="B68">
        <f>'rockfish harvests'!B68</f>
        <v>2014</v>
      </c>
      <c r="C68" t="str">
        <f>'rockfish harvests'!C68</f>
        <v>SKMA</v>
      </c>
      <c r="D68">
        <f>'rockfish harvests'!D68</f>
        <v>653</v>
      </c>
      <c r="E68">
        <f>'YE harvest'!E69</f>
        <v>96</v>
      </c>
      <c r="G68" s="16"/>
      <c r="H68" s="13" t="e">
        <f>#REF!</f>
        <v>#REF!</v>
      </c>
      <c r="I68">
        <f t="shared" si="1"/>
        <v>0</v>
      </c>
      <c r="J68">
        <f t="shared" si="4"/>
        <v>0</v>
      </c>
      <c r="K68" s="6">
        <f t="shared" si="5"/>
        <v>0</v>
      </c>
      <c r="M68" s="2">
        <f>'rockfish harvests'!O68</f>
        <v>219.90263510495754</v>
      </c>
      <c r="N68">
        <f>'rockfish harvests'!P68</f>
        <v>18177.015037346606</v>
      </c>
      <c r="Q68" s="13" t="e">
        <f>#REF!*M68</f>
        <v>#REF!</v>
      </c>
      <c r="R68" s="14" t="e">
        <f>(M68^2)*#REF!+(#REF!^2)*N68-(#REF!*N68)</f>
        <v>#REF!</v>
      </c>
      <c r="S68" t="e">
        <f t="shared" si="6"/>
        <v>#REF!</v>
      </c>
      <c r="T68" s="6" t="e">
        <f t="shared" si="7"/>
        <v>#REF!</v>
      </c>
      <c r="V68" s="13" t="e">
        <f t="shared" si="2"/>
        <v>#REF!</v>
      </c>
      <c r="W68" t="e">
        <f t="shared" si="3"/>
        <v>#REF!</v>
      </c>
      <c r="X68" t="e">
        <f t="shared" si="8"/>
        <v>#REF!</v>
      </c>
      <c r="Y68" s="6" t="e">
        <f t="shared" si="9"/>
        <v>#REF!</v>
      </c>
    </row>
    <row r="69" spans="1:25" x14ac:dyDescent="0.3">
      <c r="A69" t="str">
        <f>'rockfish harvests'!A69</f>
        <v>SC</v>
      </c>
      <c r="B69">
        <f>'rockfish harvests'!B69</f>
        <v>2015</v>
      </c>
      <c r="C69" t="str">
        <f>'rockfish harvests'!C69</f>
        <v>SKMA</v>
      </c>
      <c r="D69">
        <f>'rockfish harvests'!D69</f>
        <v>619</v>
      </c>
      <c r="E69">
        <f>'YE harvest'!E70</f>
        <v>72</v>
      </c>
      <c r="G69" s="16"/>
      <c r="H69" s="13" t="e">
        <f>#REF!</f>
        <v>#REF!</v>
      </c>
      <c r="I69">
        <f t="shared" si="1"/>
        <v>0</v>
      </c>
      <c r="J69">
        <f t="shared" si="4"/>
        <v>0</v>
      </c>
      <c r="K69" s="6">
        <f t="shared" si="5"/>
        <v>0</v>
      </c>
      <c r="M69" s="2">
        <f>'rockfish harvests'!O69</f>
        <v>281.78094694808897</v>
      </c>
      <c r="N69">
        <f>'rockfish harvests'!P69</f>
        <v>62212.407283949418</v>
      </c>
      <c r="Q69" s="13" t="e">
        <f>#REF!*M69</f>
        <v>#REF!</v>
      </c>
      <c r="R69" s="14" t="e">
        <f>(M69^2)*#REF!+(#REF!^2)*N69-(#REF!*N69)</f>
        <v>#REF!</v>
      </c>
      <c r="S69" t="e">
        <f t="shared" si="6"/>
        <v>#REF!</v>
      </c>
      <c r="T69" s="6" t="e">
        <f t="shared" si="7"/>
        <v>#REF!</v>
      </c>
      <c r="V69" s="13" t="e">
        <f t="shared" si="2"/>
        <v>#REF!</v>
      </c>
      <c r="W69" t="e">
        <f t="shared" si="3"/>
        <v>#REF!</v>
      </c>
      <c r="X69" t="e">
        <f t="shared" si="8"/>
        <v>#REF!</v>
      </c>
      <c r="Y69" s="6" t="e">
        <f t="shared" si="9"/>
        <v>#REF!</v>
      </c>
    </row>
    <row r="70" spans="1:25" x14ac:dyDescent="0.3">
      <c r="A70" t="str">
        <f>'rockfish harvests'!A70</f>
        <v>SC</v>
      </c>
      <c r="B70">
        <f>'rockfish harvests'!B70</f>
        <v>2016</v>
      </c>
      <c r="C70" t="str">
        <f>'rockfish harvests'!C70</f>
        <v>SKMA</v>
      </c>
      <c r="D70">
        <f>'rockfish harvests'!D70</f>
        <v>804</v>
      </c>
      <c r="E70">
        <f>'YE harvest'!E71</f>
        <v>91</v>
      </c>
      <c r="G70" s="16"/>
      <c r="H70" s="13" t="e">
        <f>#REF!</f>
        <v>#REF!</v>
      </c>
      <c r="I70">
        <f t="shared" si="1"/>
        <v>0</v>
      </c>
      <c r="J70">
        <f t="shared" si="4"/>
        <v>0</v>
      </c>
      <c r="K70" s="6">
        <f t="shared" si="5"/>
        <v>0</v>
      </c>
      <c r="M70" s="2">
        <f>'rockfish harvests'!O70</f>
        <v>94.418789808917268</v>
      </c>
      <c r="N70">
        <f>'rockfish harvests'!P70</f>
        <v>4384.8563398414108</v>
      </c>
      <c r="Q70" s="13" t="e">
        <f>#REF!*M70</f>
        <v>#REF!</v>
      </c>
      <c r="R70" s="14" t="e">
        <f>(M70^2)*#REF!+(#REF!^2)*N70-(#REF!*N70)</f>
        <v>#REF!</v>
      </c>
      <c r="S70" t="e">
        <f t="shared" si="6"/>
        <v>#REF!</v>
      </c>
      <c r="T70" s="6" t="e">
        <f t="shared" si="7"/>
        <v>#REF!</v>
      </c>
      <c r="V70" s="13" t="e">
        <f t="shared" si="2"/>
        <v>#REF!</v>
      </c>
      <c r="W70" t="e">
        <f t="shared" si="3"/>
        <v>#REF!</v>
      </c>
      <c r="X70" t="e">
        <f t="shared" si="8"/>
        <v>#REF!</v>
      </c>
      <c r="Y70" s="6" t="e">
        <f t="shared" si="9"/>
        <v>#REF!</v>
      </c>
    </row>
    <row r="71" spans="1:25" x14ac:dyDescent="0.3">
      <c r="A71" t="str">
        <f>'rockfish harvests'!A71</f>
        <v>SC</v>
      </c>
      <c r="B71">
        <f>'rockfish harvests'!B71</f>
        <v>2017</v>
      </c>
      <c r="C71" t="str">
        <f>'rockfish harvests'!C71</f>
        <v>SKMA</v>
      </c>
      <c r="D71">
        <f>'rockfish harvests'!D71</f>
        <v>666</v>
      </c>
      <c r="E71">
        <f>'YE harvest'!E72</f>
        <v>59</v>
      </c>
      <c r="G71" s="16"/>
      <c r="H71" s="13" t="e">
        <f>#REF!</f>
        <v>#REF!</v>
      </c>
      <c r="I71">
        <f t="shared" si="1"/>
        <v>0</v>
      </c>
      <c r="J71">
        <f t="shared" si="4"/>
        <v>0</v>
      </c>
      <c r="K71" s="6">
        <f t="shared" si="5"/>
        <v>0</v>
      </c>
      <c r="M71" s="2">
        <f>'rockfish harvests'!O71</f>
        <v>229.24813432835822</v>
      </c>
      <c r="N71">
        <f>'rockfish harvests'!P71</f>
        <v>18017.117128178837</v>
      </c>
      <c r="Q71" s="13" t="e">
        <f>#REF!*M71</f>
        <v>#REF!</v>
      </c>
      <c r="R71" s="14" t="e">
        <f>(M71^2)*#REF!+(#REF!^2)*N71-(#REF!*N71)</f>
        <v>#REF!</v>
      </c>
      <c r="S71" t="e">
        <f t="shared" si="6"/>
        <v>#REF!</v>
      </c>
      <c r="T71" s="6" t="e">
        <f t="shared" si="7"/>
        <v>#REF!</v>
      </c>
      <c r="V71" s="13" t="e">
        <f t="shared" si="2"/>
        <v>#REF!</v>
      </c>
      <c r="W71" t="e">
        <f t="shared" si="3"/>
        <v>#REF!</v>
      </c>
      <c r="X71" t="e">
        <f t="shared" si="8"/>
        <v>#REF!</v>
      </c>
      <c r="Y71" s="6" t="e">
        <f t="shared" si="9"/>
        <v>#REF!</v>
      </c>
    </row>
    <row r="72" spans="1:25" x14ac:dyDescent="0.3">
      <c r="A72" t="str">
        <f>'rockfish harvests'!A72</f>
        <v>SC</v>
      </c>
      <c r="B72">
        <f>'rockfish harvests'!B72</f>
        <v>2018</v>
      </c>
      <c r="C72" t="str">
        <f>'rockfish harvests'!C72</f>
        <v>SKMA</v>
      </c>
      <c r="D72">
        <f>'rockfish harvests'!D72</f>
        <v>671</v>
      </c>
      <c r="E72">
        <f>'YE harvest'!E73</f>
        <v>72</v>
      </c>
      <c r="G72" s="16"/>
      <c r="H72" s="13" t="e">
        <f>#REF!</f>
        <v>#REF!</v>
      </c>
      <c r="I72">
        <f t="shared" si="1"/>
        <v>0</v>
      </c>
      <c r="J72">
        <f t="shared" si="4"/>
        <v>0</v>
      </c>
      <c r="K72" s="6">
        <f t="shared" si="5"/>
        <v>0</v>
      </c>
      <c r="M72" s="2">
        <f>'rockfish harvests'!O72</f>
        <v>107.64245379876797</v>
      </c>
      <c r="N72">
        <f>'rockfish harvests'!P72</f>
        <v>4325.8254808581805</v>
      </c>
      <c r="Q72" s="13" t="e">
        <f>#REF!*M72</f>
        <v>#REF!</v>
      </c>
      <c r="R72" s="14" t="e">
        <f>(M72^2)*#REF!+(#REF!^2)*N72-(#REF!*N72)</f>
        <v>#REF!</v>
      </c>
      <c r="S72" t="e">
        <f t="shared" si="6"/>
        <v>#REF!</v>
      </c>
      <c r="T72" s="6" t="e">
        <f t="shared" si="7"/>
        <v>#REF!</v>
      </c>
      <c r="V72" s="13" t="e">
        <f t="shared" si="2"/>
        <v>#REF!</v>
      </c>
      <c r="W72" t="e">
        <f t="shared" si="3"/>
        <v>#REF!</v>
      </c>
      <c r="X72" t="e">
        <f t="shared" si="8"/>
        <v>#REF!</v>
      </c>
      <c r="Y72" s="6" t="e">
        <f t="shared" si="9"/>
        <v>#REF!</v>
      </c>
    </row>
    <row r="73" spans="1:25" x14ac:dyDescent="0.3">
      <c r="A73" t="str">
        <f>'rockfish harvests'!A73</f>
        <v>SC</v>
      </c>
      <c r="B73">
        <f>'rockfish harvests'!B73</f>
        <v>2019</v>
      </c>
      <c r="C73" t="str">
        <f>'rockfish harvests'!C73</f>
        <v>SKMA</v>
      </c>
      <c r="D73">
        <f>'rockfish harvests'!D73</f>
        <v>716</v>
      </c>
      <c r="E73">
        <f>'YE harvest'!E74</f>
        <v>128</v>
      </c>
      <c r="G73" s="16"/>
      <c r="I73">
        <f t="shared" ref="I73:I74" si="18">(E73^2)*G73</f>
        <v>0</v>
      </c>
      <c r="J73">
        <f t="shared" ref="J73:J74" si="19">SQRT(I73)</f>
        <v>0</v>
      </c>
      <c r="K73" s="6">
        <f t="shared" ref="K73:K74" si="20">(1.96*J73)</f>
        <v>0</v>
      </c>
      <c r="M73" s="2">
        <f>'rockfish harvests'!O73</f>
        <v>230.32441288913162</v>
      </c>
      <c r="N73">
        <f>'rockfish harvests'!P73</f>
        <v>30814.691102249373</v>
      </c>
      <c r="R73" s="14"/>
      <c r="S73"/>
      <c r="T73" s="6"/>
      <c r="Y73" s="6"/>
    </row>
    <row r="74" spans="1:25" x14ac:dyDescent="0.3">
      <c r="A74" t="str">
        <f>'rockfish harvests'!A74</f>
        <v>SC</v>
      </c>
      <c r="B74">
        <f>'rockfish harvests'!B74</f>
        <v>2020</v>
      </c>
      <c r="C74" t="str">
        <f>'rockfish harvests'!C74</f>
        <v>SKMA</v>
      </c>
      <c r="D74">
        <f>'rockfish harvests'!D74</f>
        <v>302</v>
      </c>
      <c r="E74">
        <f>'YE harvest'!E75</f>
        <v>47</v>
      </c>
      <c r="G74" s="16"/>
      <c r="I74">
        <f t="shared" si="18"/>
        <v>0</v>
      </c>
      <c r="J74">
        <f t="shared" si="19"/>
        <v>0</v>
      </c>
      <c r="K74" s="6">
        <f t="shared" si="20"/>
        <v>0</v>
      </c>
      <c r="M74" s="2">
        <f>'rockfish harvests'!O74</f>
        <v>57.128003494975985</v>
      </c>
      <c r="N74">
        <f>'rockfish harvests'!P74</f>
        <v>816.94472651239755</v>
      </c>
      <c r="R74" s="14"/>
      <c r="S74"/>
      <c r="T74" s="6"/>
      <c r="Y74" s="6"/>
    </row>
    <row r="75" spans="1:25" x14ac:dyDescent="0.3">
      <c r="A75" t="str">
        <f>'rockfish harvests'!A75</f>
        <v>SC</v>
      </c>
      <c r="B75">
        <f>'rockfish harvests'!B75</f>
        <v>2021</v>
      </c>
      <c r="C75" t="str">
        <f>'rockfish harvests'!C75</f>
        <v>SKMA</v>
      </c>
      <c r="D75">
        <f>'rockfish harvests'!D75</f>
        <v>1622</v>
      </c>
      <c r="E75">
        <f>'YE harvest'!E76</f>
        <v>194</v>
      </c>
      <c r="G75" s="16"/>
      <c r="K75" s="6"/>
      <c r="M75" s="2">
        <f>'rockfish harvests'!O75</f>
        <v>253.31845937059643</v>
      </c>
      <c r="N75">
        <f>'rockfish harvests'!P75</f>
        <v>10922.563990757333</v>
      </c>
      <c r="R75" s="14"/>
      <c r="S75"/>
      <c r="T75" s="6"/>
      <c r="Y75" s="6"/>
    </row>
    <row r="76" spans="1:25" x14ac:dyDescent="0.3">
      <c r="A76" t="str">
        <f>'rockfish harvests'!A77</f>
        <v>SC</v>
      </c>
      <c r="B76">
        <f>'rockfish harvests'!B77</f>
        <v>1998</v>
      </c>
      <c r="C76" t="str">
        <f>'rockfish harvests'!C77</f>
        <v>CI</v>
      </c>
      <c r="D76">
        <f>'rockfish harvests'!D77</f>
        <v>994</v>
      </c>
      <c r="E76">
        <f>'YE harvest'!E78</f>
        <v>271</v>
      </c>
      <c r="F76" s="38"/>
      <c r="G76" s="39"/>
      <c r="H76" s="13">
        <f t="shared" ref="H76:H83" si="21">E76*F76</f>
        <v>0</v>
      </c>
      <c r="I76">
        <f t="shared" si="1"/>
        <v>0</v>
      </c>
      <c r="J76">
        <f t="shared" si="4"/>
        <v>0</v>
      </c>
      <c r="K76" s="6">
        <f t="shared" si="5"/>
        <v>0</v>
      </c>
      <c r="M76" s="2">
        <f>'rockfish harvests'!O77</f>
        <v>692.47589516408812</v>
      </c>
      <c r="N76">
        <f>'rockfish harvests'!P77</f>
        <v>44240.136597187789</v>
      </c>
      <c r="O76" s="32"/>
      <c r="P76" s="32"/>
      <c r="Q76" s="13">
        <f t="shared" ref="Q76:Q96" si="22">M76*O76</f>
        <v>0</v>
      </c>
      <c r="R76" s="14">
        <f t="shared" ref="R76:R96" si="23">(M76^2)*P76+(O76^2)*N76-(P76*N76)</f>
        <v>0</v>
      </c>
      <c r="S76">
        <f t="shared" si="6"/>
        <v>0</v>
      </c>
      <c r="T76" s="6">
        <f t="shared" si="7"/>
        <v>0</v>
      </c>
      <c r="V76" s="13">
        <f t="shared" si="2"/>
        <v>0</v>
      </c>
      <c r="W76" s="14">
        <f t="shared" si="3"/>
        <v>0</v>
      </c>
      <c r="X76">
        <f t="shared" si="8"/>
        <v>0</v>
      </c>
      <c r="Y76" s="6">
        <f t="shared" si="9"/>
        <v>0</v>
      </c>
    </row>
    <row r="77" spans="1:25" x14ac:dyDescent="0.3">
      <c r="A77" t="str">
        <f>'rockfish harvests'!A78</f>
        <v>SC</v>
      </c>
      <c r="B77">
        <f>'rockfish harvests'!B78</f>
        <v>1999</v>
      </c>
      <c r="C77" t="str">
        <f>'rockfish harvests'!C78</f>
        <v>CI</v>
      </c>
      <c r="D77">
        <f>'rockfish harvests'!D78</f>
        <v>911</v>
      </c>
      <c r="E77">
        <f>'YE harvest'!E79</f>
        <v>102</v>
      </c>
      <c r="F77" s="38"/>
      <c r="G77" s="39"/>
      <c r="H77" s="13">
        <f t="shared" si="21"/>
        <v>0</v>
      </c>
      <c r="I77">
        <f t="shared" ref="I77:I149" si="24">(E77^2)*G77</f>
        <v>0</v>
      </c>
      <c r="J77">
        <f t="shared" si="4"/>
        <v>0</v>
      </c>
      <c r="K77" s="6">
        <f t="shared" si="5"/>
        <v>0</v>
      </c>
      <c r="M77" s="2">
        <f>'rockfish harvests'!O78</f>
        <v>634.65346126205668</v>
      </c>
      <c r="N77">
        <f>'rockfish harvests'!P78</f>
        <v>37160.4054962316</v>
      </c>
      <c r="Q77" s="13">
        <f t="shared" si="22"/>
        <v>0</v>
      </c>
      <c r="R77" s="14">
        <f t="shared" si="23"/>
        <v>0</v>
      </c>
      <c r="S77">
        <f t="shared" si="6"/>
        <v>0</v>
      </c>
      <c r="T77" s="6">
        <f t="shared" si="7"/>
        <v>0</v>
      </c>
      <c r="V77" s="13">
        <f t="shared" ref="V77:V149" si="25">Q77+H77</f>
        <v>0</v>
      </c>
      <c r="W77">
        <f t="shared" ref="W77:W149" si="26">R77+I77</f>
        <v>0</v>
      </c>
      <c r="X77">
        <f t="shared" si="8"/>
        <v>0</v>
      </c>
      <c r="Y77" s="6">
        <f t="shared" si="9"/>
        <v>0</v>
      </c>
    </row>
    <row r="78" spans="1:25" x14ac:dyDescent="0.3">
      <c r="A78" t="str">
        <f>'rockfish harvests'!A79</f>
        <v>SC</v>
      </c>
      <c r="B78">
        <f>'rockfish harvests'!B79</f>
        <v>2000</v>
      </c>
      <c r="C78" t="str">
        <f>'rockfish harvests'!C79</f>
        <v>CI</v>
      </c>
      <c r="D78">
        <f>'rockfish harvests'!D79</f>
        <v>1400</v>
      </c>
      <c r="E78">
        <f>'YE harvest'!E80</f>
        <v>175</v>
      </c>
      <c r="F78" s="38"/>
      <c r="G78" s="39"/>
      <c r="H78" s="13">
        <f t="shared" si="21"/>
        <v>0</v>
      </c>
      <c r="I78">
        <f t="shared" si="24"/>
        <v>0</v>
      </c>
      <c r="J78">
        <f t="shared" ref="J78:J150" si="27">SQRT(I78)</f>
        <v>0</v>
      </c>
      <c r="K78" s="6">
        <f t="shared" ref="K78:K150" si="28">(1.96*J78)</f>
        <v>0</v>
      </c>
      <c r="M78" s="2">
        <f>'rockfish harvests'!O79</f>
        <v>975.31816220294104</v>
      </c>
      <c r="N78">
        <f>'rockfish harvests'!P79</f>
        <v>87760.635979344952</v>
      </c>
      <c r="O78" s="32"/>
      <c r="P78" s="32"/>
      <c r="Q78" s="13">
        <f t="shared" si="22"/>
        <v>0</v>
      </c>
      <c r="R78" s="14">
        <f t="shared" si="23"/>
        <v>0</v>
      </c>
      <c r="S78">
        <f t="shared" ref="S78:S150" si="29">SQRT(R78)</f>
        <v>0</v>
      </c>
      <c r="T78" s="6">
        <f t="shared" ref="T78:T150" si="30">(1.96*S78)</f>
        <v>0</v>
      </c>
      <c r="V78" s="13">
        <f t="shared" si="25"/>
        <v>0</v>
      </c>
      <c r="W78">
        <f t="shared" si="26"/>
        <v>0</v>
      </c>
      <c r="X78">
        <f t="shared" ref="X78:X150" si="31">SQRT(W78)</f>
        <v>0</v>
      </c>
      <c r="Y78" s="6">
        <f t="shared" ref="Y78:Y150" si="32">(1.96*X78)</f>
        <v>0</v>
      </c>
    </row>
    <row r="79" spans="1:25" x14ac:dyDescent="0.3">
      <c r="A79" t="str">
        <f>'rockfish harvests'!A80</f>
        <v>SC</v>
      </c>
      <c r="B79">
        <f>'rockfish harvests'!B80</f>
        <v>2001</v>
      </c>
      <c r="C79" t="str">
        <f>'rockfish harvests'!C80</f>
        <v>CI</v>
      </c>
      <c r="D79">
        <f>'rockfish harvests'!D80</f>
        <v>763</v>
      </c>
      <c r="E79">
        <f>'YE harvest'!E81</f>
        <v>69</v>
      </c>
      <c r="F79" s="38"/>
      <c r="G79" s="39"/>
      <c r="H79" s="13">
        <f t="shared" si="21"/>
        <v>0</v>
      </c>
      <c r="I79">
        <f t="shared" si="24"/>
        <v>0</v>
      </c>
      <c r="J79">
        <f t="shared" si="27"/>
        <v>0</v>
      </c>
      <c r="K79" s="6">
        <f t="shared" si="28"/>
        <v>0</v>
      </c>
      <c r="M79" s="2">
        <f>'rockfish harvests'!O80</f>
        <v>531.54839840060276</v>
      </c>
      <c r="N79">
        <f>'rockfish harvests'!P80</f>
        <v>26067.102901764931</v>
      </c>
      <c r="Q79" s="13">
        <f t="shared" si="22"/>
        <v>0</v>
      </c>
      <c r="R79" s="14">
        <f t="shared" si="23"/>
        <v>0</v>
      </c>
      <c r="S79">
        <f t="shared" si="29"/>
        <v>0</v>
      </c>
      <c r="T79" s="6">
        <f t="shared" si="30"/>
        <v>0</v>
      </c>
      <c r="V79" s="13">
        <f t="shared" si="25"/>
        <v>0</v>
      </c>
      <c r="W79">
        <f t="shared" si="26"/>
        <v>0</v>
      </c>
      <c r="X79">
        <f t="shared" si="31"/>
        <v>0</v>
      </c>
      <c r="Y79" s="6">
        <f t="shared" si="32"/>
        <v>0</v>
      </c>
    </row>
    <row r="80" spans="1:25" x14ac:dyDescent="0.3">
      <c r="A80" t="str">
        <f>'rockfish harvests'!A81</f>
        <v>SC</v>
      </c>
      <c r="B80">
        <f>'rockfish harvests'!B81</f>
        <v>2002</v>
      </c>
      <c r="C80" t="str">
        <f>'rockfish harvests'!C81</f>
        <v>CI</v>
      </c>
      <c r="D80">
        <f>'rockfish harvests'!D81</f>
        <v>2378</v>
      </c>
      <c r="E80">
        <f>'YE harvest'!E82</f>
        <v>271</v>
      </c>
      <c r="F80" s="38"/>
      <c r="G80" s="39"/>
      <c r="H80" s="13">
        <f t="shared" si="21"/>
        <v>0</v>
      </c>
      <c r="I80">
        <f t="shared" si="24"/>
        <v>0</v>
      </c>
      <c r="J80">
        <f t="shared" si="27"/>
        <v>0</v>
      </c>
      <c r="K80" s="6">
        <f t="shared" si="28"/>
        <v>0</v>
      </c>
      <c r="M80" s="2">
        <f>'rockfish harvests'!O81</f>
        <v>1656.6475640847098</v>
      </c>
      <c r="N80">
        <f>'rockfish harvests'!P81</f>
        <v>253202.15113746023</v>
      </c>
      <c r="O80" s="32"/>
      <c r="P80" s="32"/>
      <c r="Q80" s="13">
        <f t="shared" si="22"/>
        <v>0</v>
      </c>
      <c r="R80" s="14">
        <f t="shared" si="23"/>
        <v>0</v>
      </c>
      <c r="S80">
        <f t="shared" si="29"/>
        <v>0</v>
      </c>
      <c r="T80" s="6">
        <f t="shared" si="30"/>
        <v>0</v>
      </c>
      <c r="V80" s="13">
        <f t="shared" si="25"/>
        <v>0</v>
      </c>
      <c r="W80">
        <f t="shared" si="26"/>
        <v>0</v>
      </c>
      <c r="X80">
        <f t="shared" si="31"/>
        <v>0</v>
      </c>
      <c r="Y80" s="6">
        <f t="shared" si="32"/>
        <v>0</v>
      </c>
    </row>
    <row r="81" spans="1:25" x14ac:dyDescent="0.3">
      <c r="A81" t="str">
        <f>'rockfish harvests'!A82</f>
        <v>SC</v>
      </c>
      <c r="B81">
        <f>'rockfish harvests'!B82</f>
        <v>2003</v>
      </c>
      <c r="C81" t="str">
        <f>'rockfish harvests'!C82</f>
        <v>CI</v>
      </c>
      <c r="D81">
        <f>'rockfish harvests'!D82</f>
        <v>4623</v>
      </c>
      <c r="E81">
        <f>'YE harvest'!E83</f>
        <v>376</v>
      </c>
      <c r="F81" s="38"/>
      <c r="G81" s="39"/>
      <c r="H81" s="13">
        <f t="shared" si="21"/>
        <v>0</v>
      </c>
      <c r="I81">
        <f t="shared" si="24"/>
        <v>0</v>
      </c>
      <c r="J81">
        <f t="shared" si="27"/>
        <v>0</v>
      </c>
      <c r="K81" s="6">
        <f t="shared" si="28"/>
        <v>0</v>
      </c>
      <c r="M81" s="2">
        <f>'rockfish harvests'!O82</f>
        <v>3220.6399027601401</v>
      </c>
      <c r="N81">
        <f>'rockfish harvests'!P82</f>
        <v>956954.91493500082</v>
      </c>
      <c r="O81" s="32"/>
      <c r="P81" s="32"/>
      <c r="Q81" s="13">
        <f t="shared" si="22"/>
        <v>0</v>
      </c>
      <c r="R81" s="14">
        <f t="shared" si="23"/>
        <v>0</v>
      </c>
      <c r="S81">
        <f t="shared" si="29"/>
        <v>0</v>
      </c>
      <c r="T81" s="6">
        <f t="shared" si="30"/>
        <v>0</v>
      </c>
      <c r="V81" s="13">
        <f t="shared" si="25"/>
        <v>0</v>
      </c>
      <c r="W81">
        <f t="shared" si="26"/>
        <v>0</v>
      </c>
      <c r="X81">
        <f t="shared" si="31"/>
        <v>0</v>
      </c>
      <c r="Y81" s="6">
        <f t="shared" si="32"/>
        <v>0</v>
      </c>
    </row>
    <row r="82" spans="1:25" x14ac:dyDescent="0.3">
      <c r="A82" t="str">
        <f>'rockfish harvests'!A83</f>
        <v>SC</v>
      </c>
      <c r="B82">
        <f>'rockfish harvests'!B83</f>
        <v>2004</v>
      </c>
      <c r="C82" t="str">
        <f>'rockfish harvests'!C83</f>
        <v>CI</v>
      </c>
      <c r="D82">
        <f>'rockfish harvests'!D83</f>
        <v>4736</v>
      </c>
      <c r="E82">
        <f>'YE harvest'!E84</f>
        <v>266</v>
      </c>
      <c r="F82" s="38"/>
      <c r="G82" s="39"/>
      <c r="H82" s="13">
        <f t="shared" si="21"/>
        <v>0</v>
      </c>
      <c r="I82">
        <f t="shared" si="24"/>
        <v>0</v>
      </c>
      <c r="J82">
        <f t="shared" si="27"/>
        <v>0</v>
      </c>
      <c r="K82" s="6">
        <f t="shared" si="28"/>
        <v>0</v>
      </c>
      <c r="M82" s="2">
        <f>'rockfish harvests'!O83</f>
        <v>3299.3620115665199</v>
      </c>
      <c r="N82">
        <f>'rockfish harvests'!P83</f>
        <v>1004308.3600935558</v>
      </c>
      <c r="O82" s="32"/>
      <c r="P82" s="32"/>
      <c r="Q82" s="13">
        <f t="shared" si="22"/>
        <v>0</v>
      </c>
      <c r="R82" s="14">
        <f t="shared" si="23"/>
        <v>0</v>
      </c>
      <c r="S82">
        <f t="shared" si="29"/>
        <v>0</v>
      </c>
      <c r="T82" s="6">
        <f t="shared" si="30"/>
        <v>0</v>
      </c>
      <c r="V82" s="13">
        <f t="shared" si="25"/>
        <v>0</v>
      </c>
      <c r="W82">
        <f t="shared" si="26"/>
        <v>0</v>
      </c>
      <c r="X82">
        <f t="shared" si="31"/>
        <v>0</v>
      </c>
      <c r="Y82" s="6">
        <f t="shared" si="32"/>
        <v>0</v>
      </c>
    </row>
    <row r="83" spans="1:25" x14ac:dyDescent="0.3">
      <c r="A83" t="str">
        <f>'rockfish harvests'!A84</f>
        <v>SC</v>
      </c>
      <c r="B83">
        <f>'rockfish harvests'!B84</f>
        <v>2005</v>
      </c>
      <c r="C83" t="str">
        <f>'rockfish harvests'!C84</f>
        <v>CI</v>
      </c>
      <c r="D83">
        <f>'rockfish harvests'!D84</f>
        <v>3615</v>
      </c>
      <c r="E83">
        <f>'YE harvest'!E85</f>
        <v>155</v>
      </c>
      <c r="F83" s="38"/>
      <c r="G83" s="39"/>
      <c r="H83" s="13">
        <f t="shared" si="21"/>
        <v>0</v>
      </c>
      <c r="I83">
        <f t="shared" si="24"/>
        <v>0</v>
      </c>
      <c r="J83">
        <f t="shared" si="27"/>
        <v>0</v>
      </c>
      <c r="K83" s="6">
        <f t="shared" si="28"/>
        <v>0</v>
      </c>
      <c r="M83" s="2">
        <f>'rockfish harvests'!O84</f>
        <v>2518.4108259740224</v>
      </c>
      <c r="N83">
        <f>'rockfish harvests'!P84</f>
        <v>585140.68220468122</v>
      </c>
      <c r="O83" s="32"/>
      <c r="P83" s="32"/>
      <c r="Q83" s="13">
        <f t="shared" si="22"/>
        <v>0</v>
      </c>
      <c r="R83" s="14">
        <f t="shared" si="23"/>
        <v>0</v>
      </c>
      <c r="S83">
        <f t="shared" si="29"/>
        <v>0</v>
      </c>
      <c r="T83" s="6">
        <f t="shared" si="30"/>
        <v>0</v>
      </c>
      <c r="V83" s="13">
        <f t="shared" si="25"/>
        <v>0</v>
      </c>
      <c r="W83">
        <f t="shared" si="26"/>
        <v>0</v>
      </c>
      <c r="X83">
        <f t="shared" si="31"/>
        <v>0</v>
      </c>
      <c r="Y83" s="6">
        <f t="shared" si="32"/>
        <v>0</v>
      </c>
    </row>
    <row r="84" spans="1:25" x14ac:dyDescent="0.3">
      <c r="A84" t="str">
        <f>'rockfish harvests'!A85</f>
        <v>SC</v>
      </c>
      <c r="B84">
        <f>'rockfish harvests'!B85</f>
        <v>2006</v>
      </c>
      <c r="C84" t="str">
        <f>'rockfish harvests'!C85</f>
        <v>CI</v>
      </c>
      <c r="D84">
        <f>'rockfish harvests'!D85</f>
        <v>2463</v>
      </c>
      <c r="E84">
        <f>'YE harvest'!E86</f>
        <v>213</v>
      </c>
      <c r="H84" s="13" t="e">
        <f>#REF!</f>
        <v>#REF!</v>
      </c>
      <c r="I84">
        <f t="shared" si="24"/>
        <v>0</v>
      </c>
      <c r="J84">
        <f t="shared" si="27"/>
        <v>0</v>
      </c>
      <c r="K84" s="6">
        <f t="shared" si="28"/>
        <v>0</v>
      </c>
      <c r="M84" s="2">
        <f>'rockfish harvests'!O85</f>
        <v>1715.8633096470312</v>
      </c>
      <c r="N84">
        <f>'rockfish harvests'!P85</f>
        <v>271626.73547213408</v>
      </c>
      <c r="O84" s="32"/>
      <c r="P84" s="32"/>
      <c r="Q84" s="13">
        <f t="shared" si="22"/>
        <v>0</v>
      </c>
      <c r="R84" s="14">
        <f t="shared" si="23"/>
        <v>0</v>
      </c>
      <c r="S84">
        <f t="shared" si="29"/>
        <v>0</v>
      </c>
      <c r="T84" s="6">
        <f t="shared" si="30"/>
        <v>0</v>
      </c>
      <c r="V84" s="13" t="e">
        <f t="shared" si="25"/>
        <v>#REF!</v>
      </c>
      <c r="W84">
        <f t="shared" si="26"/>
        <v>0</v>
      </c>
      <c r="X84">
        <f t="shared" si="31"/>
        <v>0</v>
      </c>
      <c r="Y84" s="6">
        <f t="shared" si="32"/>
        <v>0</v>
      </c>
    </row>
    <row r="85" spans="1:25" x14ac:dyDescent="0.3">
      <c r="A85" t="str">
        <f>'rockfish harvests'!A86</f>
        <v>SC</v>
      </c>
      <c r="B85">
        <f>'rockfish harvests'!B86</f>
        <v>2007</v>
      </c>
      <c r="C85" t="str">
        <f>'rockfish harvests'!C86</f>
        <v>CI</v>
      </c>
      <c r="D85">
        <f>'rockfish harvests'!D86</f>
        <v>2559</v>
      </c>
      <c r="E85">
        <f>'YE harvest'!E87</f>
        <v>194</v>
      </c>
      <c r="H85" s="13" t="e">
        <f>#REF!</f>
        <v>#REF!</v>
      </c>
      <c r="I85">
        <f t="shared" si="24"/>
        <v>0</v>
      </c>
      <c r="J85">
        <f t="shared" si="27"/>
        <v>0</v>
      </c>
      <c r="K85" s="6">
        <f t="shared" si="28"/>
        <v>0</v>
      </c>
      <c r="M85" s="2">
        <f>'rockfish harvests'!O86</f>
        <v>1782.7422693409471</v>
      </c>
      <c r="N85">
        <f>'rockfish harvests'!P86</f>
        <v>293213.70268298819</v>
      </c>
      <c r="O85" s="32"/>
      <c r="P85" s="32"/>
      <c r="Q85" s="13">
        <f t="shared" si="22"/>
        <v>0</v>
      </c>
      <c r="R85" s="14">
        <f t="shared" si="23"/>
        <v>0</v>
      </c>
      <c r="S85">
        <f t="shared" si="29"/>
        <v>0</v>
      </c>
      <c r="T85" s="6">
        <f t="shared" si="30"/>
        <v>0</v>
      </c>
      <c r="V85" s="13" t="e">
        <f t="shared" si="25"/>
        <v>#REF!</v>
      </c>
      <c r="W85">
        <f t="shared" si="26"/>
        <v>0</v>
      </c>
      <c r="X85">
        <f t="shared" si="31"/>
        <v>0</v>
      </c>
      <c r="Y85" s="6">
        <f t="shared" si="32"/>
        <v>0</v>
      </c>
    </row>
    <row r="86" spans="1:25" x14ac:dyDescent="0.3">
      <c r="A86" t="str">
        <f>'rockfish harvests'!A87</f>
        <v>SC</v>
      </c>
      <c r="B86">
        <f>'rockfish harvests'!B87</f>
        <v>2008</v>
      </c>
      <c r="C86" t="str">
        <f>'rockfish harvests'!C87</f>
        <v>CI</v>
      </c>
      <c r="D86">
        <f>'rockfish harvests'!D87</f>
        <v>2163</v>
      </c>
      <c r="E86">
        <f>'YE harvest'!E88</f>
        <v>157</v>
      </c>
      <c r="H86" s="13" t="e">
        <f>#REF!</f>
        <v>#REF!</v>
      </c>
      <c r="I86">
        <f t="shared" si="24"/>
        <v>0</v>
      </c>
      <c r="J86">
        <f t="shared" si="27"/>
        <v>0</v>
      </c>
      <c r="K86" s="6">
        <f t="shared" si="28"/>
        <v>0</v>
      </c>
      <c r="M86" s="2">
        <f>'rockfish harvests'!O87</f>
        <v>1506.8665606035438</v>
      </c>
      <c r="N86">
        <f>'rockfish harvests'!P87</f>
        <v>209486.83209859589</v>
      </c>
      <c r="O86" s="32"/>
      <c r="P86" s="32"/>
      <c r="Q86" s="13">
        <f t="shared" si="22"/>
        <v>0</v>
      </c>
      <c r="R86" s="14">
        <f t="shared" si="23"/>
        <v>0</v>
      </c>
      <c r="S86">
        <f t="shared" si="29"/>
        <v>0</v>
      </c>
      <c r="T86" s="6">
        <f t="shared" si="30"/>
        <v>0</v>
      </c>
      <c r="V86" s="13" t="e">
        <f t="shared" si="25"/>
        <v>#REF!</v>
      </c>
      <c r="W86">
        <f t="shared" si="26"/>
        <v>0</v>
      </c>
      <c r="X86">
        <f t="shared" si="31"/>
        <v>0</v>
      </c>
      <c r="Y86" s="6">
        <f t="shared" si="32"/>
        <v>0</v>
      </c>
    </row>
    <row r="87" spans="1:25" x14ac:dyDescent="0.3">
      <c r="A87" t="str">
        <f>'rockfish harvests'!A88</f>
        <v>SC</v>
      </c>
      <c r="B87">
        <f>'rockfish harvests'!B88</f>
        <v>2009</v>
      </c>
      <c r="C87" t="str">
        <f>'rockfish harvests'!C88</f>
        <v>CI</v>
      </c>
      <c r="D87">
        <f>'rockfish harvests'!D88</f>
        <v>2918</v>
      </c>
      <c r="E87">
        <f>'YE harvest'!E89</f>
        <v>256</v>
      </c>
      <c r="H87" s="13" t="e">
        <f>#REF!</f>
        <v>#REF!</v>
      </c>
      <c r="I87">
        <f t="shared" si="24"/>
        <v>0</v>
      </c>
      <c r="J87">
        <f t="shared" si="27"/>
        <v>0</v>
      </c>
      <c r="K87" s="6">
        <f t="shared" si="28"/>
        <v>0</v>
      </c>
      <c r="M87" s="2">
        <f>'rockfish harvests'!O88</f>
        <v>2032.841712362987</v>
      </c>
      <c r="N87">
        <f>'rockfish harvests'!P88</f>
        <v>381253.87419826118</v>
      </c>
      <c r="Q87" s="13">
        <f t="shared" si="22"/>
        <v>0</v>
      </c>
      <c r="R87" s="14">
        <f t="shared" si="23"/>
        <v>0</v>
      </c>
      <c r="S87">
        <f t="shared" si="29"/>
        <v>0</v>
      </c>
      <c r="T87" s="6">
        <f t="shared" si="30"/>
        <v>0</v>
      </c>
      <c r="V87" s="13" t="e">
        <f t="shared" si="25"/>
        <v>#REF!</v>
      </c>
      <c r="W87">
        <f t="shared" si="26"/>
        <v>0</v>
      </c>
      <c r="X87">
        <f t="shared" si="31"/>
        <v>0</v>
      </c>
      <c r="Y87" s="6">
        <f t="shared" si="32"/>
        <v>0</v>
      </c>
    </row>
    <row r="88" spans="1:25" x14ac:dyDescent="0.3">
      <c r="A88" t="str">
        <f>'rockfish harvests'!A89</f>
        <v>SC</v>
      </c>
      <c r="B88">
        <f>'rockfish harvests'!B89</f>
        <v>2010</v>
      </c>
      <c r="C88" t="str">
        <f>'rockfish harvests'!C89</f>
        <v>CI</v>
      </c>
      <c r="D88">
        <f>'rockfish harvests'!D89</f>
        <v>4422</v>
      </c>
      <c r="E88">
        <f>'YE harvest'!E90</f>
        <v>1173</v>
      </c>
      <c r="H88" s="13" t="e">
        <f>#REF!</f>
        <v>#REF!</v>
      </c>
      <c r="I88">
        <f t="shared" si="24"/>
        <v>0</v>
      </c>
      <c r="J88">
        <f t="shared" si="27"/>
        <v>0</v>
      </c>
      <c r="K88" s="6">
        <f t="shared" si="28"/>
        <v>0</v>
      </c>
      <c r="M88" s="2">
        <f>'rockfish harvests'!O89</f>
        <v>3080.6120809010035</v>
      </c>
      <c r="N88">
        <f>'rockfish harvests'!P89</f>
        <v>875550.43256812927</v>
      </c>
      <c r="Q88" s="13">
        <f t="shared" si="22"/>
        <v>0</v>
      </c>
      <c r="R88" s="14">
        <f t="shared" si="23"/>
        <v>0</v>
      </c>
      <c r="S88">
        <f t="shared" si="29"/>
        <v>0</v>
      </c>
      <c r="T88" s="6">
        <f t="shared" si="30"/>
        <v>0</v>
      </c>
      <c r="V88" s="13" t="e">
        <f t="shared" si="25"/>
        <v>#REF!</v>
      </c>
      <c r="W88">
        <f t="shared" si="26"/>
        <v>0</v>
      </c>
      <c r="X88">
        <f t="shared" si="31"/>
        <v>0</v>
      </c>
      <c r="Y88" s="6">
        <f t="shared" si="32"/>
        <v>0</v>
      </c>
    </row>
    <row r="89" spans="1:25" x14ac:dyDescent="0.3">
      <c r="A89" t="str">
        <f>'rockfish harvests'!A90</f>
        <v>SC</v>
      </c>
      <c r="B89">
        <f>'rockfish harvests'!B90</f>
        <v>2011</v>
      </c>
      <c r="C89" t="str">
        <f>'rockfish harvests'!C90</f>
        <v>CI</v>
      </c>
      <c r="D89">
        <f>'rockfish harvests'!D90</f>
        <v>3046</v>
      </c>
      <c r="E89">
        <f>'YE harvest'!E91</f>
        <v>476</v>
      </c>
      <c r="H89" s="13" t="e">
        <f>#REF!</f>
        <v>#REF!</v>
      </c>
      <c r="I89">
        <f t="shared" si="24"/>
        <v>0</v>
      </c>
      <c r="J89">
        <f t="shared" si="27"/>
        <v>0</v>
      </c>
      <c r="K89" s="6">
        <f t="shared" si="28"/>
        <v>0</v>
      </c>
      <c r="M89" s="2">
        <f>'rockfish harvests'!O90</f>
        <v>2195.2886731391591</v>
      </c>
      <c r="N89">
        <f>'rockfish harvests'!P90</f>
        <v>347241.00971171423</v>
      </c>
      <c r="Q89" s="13">
        <f t="shared" si="22"/>
        <v>0</v>
      </c>
      <c r="R89" s="14">
        <f t="shared" si="23"/>
        <v>0</v>
      </c>
      <c r="S89">
        <f t="shared" si="29"/>
        <v>0</v>
      </c>
      <c r="T89" s="6">
        <f t="shared" si="30"/>
        <v>0</v>
      </c>
      <c r="V89" s="13" t="e">
        <f t="shared" si="25"/>
        <v>#REF!</v>
      </c>
      <c r="W89">
        <f t="shared" si="26"/>
        <v>0</v>
      </c>
      <c r="X89">
        <f t="shared" si="31"/>
        <v>0</v>
      </c>
      <c r="Y89" s="6">
        <f t="shared" si="32"/>
        <v>0</v>
      </c>
    </row>
    <row r="90" spans="1:25" x14ac:dyDescent="0.3">
      <c r="A90" t="str">
        <f>'rockfish harvests'!A91</f>
        <v>SC</v>
      </c>
      <c r="B90">
        <f>'rockfish harvests'!B91</f>
        <v>2012</v>
      </c>
      <c r="C90" t="str">
        <f>'rockfish harvests'!C91</f>
        <v>CI</v>
      </c>
      <c r="D90">
        <f>'rockfish harvests'!D91</f>
        <v>4677</v>
      </c>
      <c r="E90">
        <f>'YE harvest'!E92</f>
        <v>568</v>
      </c>
      <c r="H90" s="13" t="e">
        <f>#REF!</f>
        <v>#REF!</v>
      </c>
      <c r="I90">
        <f t="shared" si="24"/>
        <v>0</v>
      </c>
      <c r="J90">
        <f t="shared" si="27"/>
        <v>0</v>
      </c>
      <c r="K90" s="6">
        <f t="shared" si="28"/>
        <v>0</v>
      </c>
      <c r="M90" s="2">
        <f>'rockfish harvests'!O91</f>
        <v>5339.9412080536913</v>
      </c>
      <c r="N90">
        <f>'rockfish harvests'!P91</f>
        <v>1729256.1604569755</v>
      </c>
      <c r="Q90" s="13">
        <f t="shared" si="22"/>
        <v>0</v>
      </c>
      <c r="R90" s="14">
        <f t="shared" si="23"/>
        <v>0</v>
      </c>
      <c r="S90">
        <f t="shared" si="29"/>
        <v>0</v>
      </c>
      <c r="T90" s="6">
        <f t="shared" si="30"/>
        <v>0</v>
      </c>
      <c r="V90" s="13" t="e">
        <f t="shared" si="25"/>
        <v>#REF!</v>
      </c>
      <c r="W90">
        <f t="shared" si="26"/>
        <v>0</v>
      </c>
      <c r="X90">
        <f t="shared" si="31"/>
        <v>0</v>
      </c>
      <c r="Y90" s="6">
        <f t="shared" si="32"/>
        <v>0</v>
      </c>
    </row>
    <row r="91" spans="1:25" x14ac:dyDescent="0.3">
      <c r="A91" t="str">
        <f>'rockfish harvests'!A92</f>
        <v>SC</v>
      </c>
      <c r="B91">
        <f>'rockfish harvests'!B92</f>
        <v>2013</v>
      </c>
      <c r="C91" t="str">
        <f>'rockfish harvests'!C92</f>
        <v>CI</v>
      </c>
      <c r="D91">
        <f>'rockfish harvests'!D92</f>
        <v>4808</v>
      </c>
      <c r="E91">
        <f>'YE harvest'!E93</f>
        <v>428</v>
      </c>
      <c r="H91" s="13" t="e">
        <f>#REF!</f>
        <v>#REF!</v>
      </c>
      <c r="I91">
        <f t="shared" si="24"/>
        <v>0</v>
      </c>
      <c r="J91">
        <f t="shared" si="27"/>
        <v>0</v>
      </c>
      <c r="K91" s="6">
        <f t="shared" si="28"/>
        <v>0</v>
      </c>
      <c r="M91" s="2">
        <f>'rockfish harvests'!O92</f>
        <v>3482.4354718850645</v>
      </c>
      <c r="N91">
        <f>'rockfish harvests'!P92</f>
        <v>863231.70507392555</v>
      </c>
      <c r="Q91" s="13">
        <f t="shared" si="22"/>
        <v>0</v>
      </c>
      <c r="R91" s="14">
        <f t="shared" si="23"/>
        <v>0</v>
      </c>
      <c r="S91">
        <f t="shared" si="29"/>
        <v>0</v>
      </c>
      <c r="T91" s="6">
        <f t="shared" si="30"/>
        <v>0</v>
      </c>
      <c r="V91" s="13" t="e">
        <f t="shared" si="25"/>
        <v>#REF!</v>
      </c>
      <c r="W91">
        <f t="shared" si="26"/>
        <v>0</v>
      </c>
      <c r="X91">
        <f t="shared" si="31"/>
        <v>0</v>
      </c>
      <c r="Y91" s="6">
        <f t="shared" si="32"/>
        <v>0</v>
      </c>
    </row>
    <row r="92" spans="1:25" x14ac:dyDescent="0.3">
      <c r="A92" t="str">
        <f>'rockfish harvests'!A93</f>
        <v>SC</v>
      </c>
      <c r="B92">
        <f>'rockfish harvests'!B93</f>
        <v>2014</v>
      </c>
      <c r="C92" t="str">
        <f>'rockfish harvests'!C93</f>
        <v>CI</v>
      </c>
      <c r="D92">
        <f>'rockfish harvests'!D93</f>
        <v>4731</v>
      </c>
      <c r="E92">
        <f>'YE harvest'!E94</f>
        <v>362</v>
      </c>
      <c r="H92" s="13" t="e">
        <f>#REF!</f>
        <v>#REF!</v>
      </c>
      <c r="I92">
        <f t="shared" si="24"/>
        <v>0</v>
      </c>
      <c r="J92">
        <f t="shared" si="27"/>
        <v>0</v>
      </c>
      <c r="K92" s="6">
        <f t="shared" si="28"/>
        <v>0</v>
      </c>
      <c r="M92" s="2">
        <f>'rockfish harvests'!O93</f>
        <v>3444.6502099319532</v>
      </c>
      <c r="N92">
        <f>'rockfish harvests'!P93</f>
        <v>609818.57296968682</v>
      </c>
      <c r="Q92" s="13">
        <f t="shared" si="22"/>
        <v>0</v>
      </c>
      <c r="R92" s="14">
        <f t="shared" si="23"/>
        <v>0</v>
      </c>
      <c r="S92">
        <f t="shared" si="29"/>
        <v>0</v>
      </c>
      <c r="T92" s="6">
        <f t="shared" si="30"/>
        <v>0</v>
      </c>
      <c r="V92" s="13" t="e">
        <f t="shared" si="25"/>
        <v>#REF!</v>
      </c>
      <c r="W92">
        <f t="shared" si="26"/>
        <v>0</v>
      </c>
      <c r="X92">
        <f t="shared" si="31"/>
        <v>0</v>
      </c>
      <c r="Y92" s="6">
        <f t="shared" si="32"/>
        <v>0</v>
      </c>
    </row>
    <row r="93" spans="1:25" x14ac:dyDescent="0.3">
      <c r="A93" t="str">
        <f>'rockfish harvests'!A94</f>
        <v>SC</v>
      </c>
      <c r="B93">
        <f>'rockfish harvests'!B94</f>
        <v>2015</v>
      </c>
      <c r="C93" t="str">
        <f>'rockfish harvests'!C94</f>
        <v>CI</v>
      </c>
      <c r="D93">
        <f>'rockfish harvests'!D94</f>
        <v>6321</v>
      </c>
      <c r="E93">
        <f>'YE harvest'!E95</f>
        <v>457</v>
      </c>
      <c r="H93" s="13" t="e">
        <f>#REF!</f>
        <v>#REF!</v>
      </c>
      <c r="I93">
        <f t="shared" si="24"/>
        <v>0</v>
      </c>
      <c r="J93">
        <f t="shared" si="27"/>
        <v>0</v>
      </c>
      <c r="K93" s="6">
        <f t="shared" si="28"/>
        <v>0</v>
      </c>
      <c r="M93" s="2">
        <f>'rockfish harvests'!O94</f>
        <v>4002.3757374073521</v>
      </c>
      <c r="N93">
        <f>'rockfish harvests'!P94</f>
        <v>811336.58070905623</v>
      </c>
      <c r="Q93" s="13">
        <f t="shared" si="22"/>
        <v>0</v>
      </c>
      <c r="R93" s="14">
        <f t="shared" si="23"/>
        <v>0</v>
      </c>
      <c r="S93">
        <f t="shared" si="29"/>
        <v>0</v>
      </c>
      <c r="T93" s="6">
        <f t="shared" si="30"/>
        <v>0</v>
      </c>
      <c r="V93" s="13" t="e">
        <f t="shared" si="25"/>
        <v>#REF!</v>
      </c>
      <c r="W93">
        <f t="shared" si="26"/>
        <v>0</v>
      </c>
      <c r="X93">
        <f t="shared" si="31"/>
        <v>0</v>
      </c>
      <c r="Y93" s="6">
        <f t="shared" si="32"/>
        <v>0</v>
      </c>
    </row>
    <row r="94" spans="1:25" x14ac:dyDescent="0.3">
      <c r="A94" t="str">
        <f>'rockfish harvests'!A95</f>
        <v>SC</v>
      </c>
      <c r="B94">
        <f>'rockfish harvests'!B95</f>
        <v>2016</v>
      </c>
      <c r="C94" t="str">
        <f>'rockfish harvests'!C95</f>
        <v>CI</v>
      </c>
      <c r="D94">
        <f>'rockfish harvests'!D95</f>
        <v>10123</v>
      </c>
      <c r="E94">
        <f>'YE harvest'!E96</f>
        <v>779</v>
      </c>
      <c r="H94" s="13" t="e">
        <f>#REF!</f>
        <v>#REF!</v>
      </c>
      <c r="I94">
        <f t="shared" si="24"/>
        <v>0</v>
      </c>
      <c r="J94">
        <f t="shared" si="27"/>
        <v>0</v>
      </c>
      <c r="K94" s="6">
        <f t="shared" si="28"/>
        <v>0</v>
      </c>
      <c r="M94" s="2">
        <f>'rockfish harvests'!O95</f>
        <v>6323.0304871660555</v>
      </c>
      <c r="N94">
        <f>'rockfish harvests'!P95</f>
        <v>1298638.7245062976</v>
      </c>
      <c r="Q94" s="13">
        <f t="shared" si="22"/>
        <v>0</v>
      </c>
      <c r="R94" s="14">
        <f t="shared" si="23"/>
        <v>0</v>
      </c>
      <c r="S94">
        <f t="shared" si="29"/>
        <v>0</v>
      </c>
      <c r="T94" s="6">
        <f t="shared" si="30"/>
        <v>0</v>
      </c>
      <c r="V94" s="13" t="e">
        <f t="shared" si="25"/>
        <v>#REF!</v>
      </c>
      <c r="W94">
        <f t="shared" si="26"/>
        <v>0</v>
      </c>
      <c r="X94">
        <f t="shared" si="31"/>
        <v>0</v>
      </c>
      <c r="Y94" s="6">
        <f t="shared" si="32"/>
        <v>0</v>
      </c>
    </row>
    <row r="95" spans="1:25" x14ac:dyDescent="0.3">
      <c r="A95" t="str">
        <f>'rockfish harvests'!A96</f>
        <v>SC</v>
      </c>
      <c r="B95">
        <f>'rockfish harvests'!B96</f>
        <v>2017</v>
      </c>
      <c r="C95" t="str">
        <f>'rockfish harvests'!C96</f>
        <v>CI</v>
      </c>
      <c r="D95">
        <f>'rockfish harvests'!D96</f>
        <v>8376</v>
      </c>
      <c r="E95">
        <f>'YE harvest'!E97</f>
        <v>923</v>
      </c>
      <c r="H95" s="13" t="e">
        <f>#REF!</f>
        <v>#REF!</v>
      </c>
      <c r="I95">
        <f t="shared" si="24"/>
        <v>0</v>
      </c>
      <c r="J95">
        <f t="shared" si="27"/>
        <v>0</v>
      </c>
      <c r="K95" s="6">
        <f t="shared" si="28"/>
        <v>0</v>
      </c>
      <c r="M95" s="2">
        <f>'rockfish harvests'!O96</f>
        <v>3322.4902609334804</v>
      </c>
      <c r="N95">
        <f>'rockfish harvests'!P96</f>
        <v>525119.78521776723</v>
      </c>
      <c r="Q95" s="13">
        <f t="shared" si="22"/>
        <v>0</v>
      </c>
      <c r="R95" s="14">
        <f t="shared" si="23"/>
        <v>0</v>
      </c>
      <c r="S95">
        <f t="shared" si="29"/>
        <v>0</v>
      </c>
      <c r="T95" s="6">
        <f t="shared" si="30"/>
        <v>0</v>
      </c>
      <c r="V95" s="13" t="e">
        <f t="shared" si="25"/>
        <v>#REF!</v>
      </c>
      <c r="W95">
        <f t="shared" si="26"/>
        <v>0</v>
      </c>
      <c r="X95">
        <f t="shared" si="31"/>
        <v>0</v>
      </c>
      <c r="Y95" s="6">
        <f t="shared" si="32"/>
        <v>0</v>
      </c>
    </row>
    <row r="96" spans="1:25" x14ac:dyDescent="0.3">
      <c r="A96" t="str">
        <f>'rockfish harvests'!A97</f>
        <v>SC</v>
      </c>
      <c r="B96">
        <f>'rockfish harvests'!B97</f>
        <v>2018</v>
      </c>
      <c r="C96" t="str">
        <f>'rockfish harvests'!C97</f>
        <v>CI</v>
      </c>
      <c r="D96">
        <f>'rockfish harvests'!D97</f>
        <v>13009</v>
      </c>
      <c r="E96">
        <f>'YE harvest'!E98</f>
        <v>1031</v>
      </c>
      <c r="H96" s="13" t="e">
        <f>#REF!</f>
        <v>#REF!</v>
      </c>
      <c r="I96">
        <f t="shared" si="24"/>
        <v>0</v>
      </c>
      <c r="J96">
        <f t="shared" si="27"/>
        <v>0</v>
      </c>
      <c r="K96" s="6">
        <f t="shared" si="28"/>
        <v>0</v>
      </c>
      <c r="M96" s="2">
        <f>'rockfish harvests'!O97</f>
        <v>10029.600289296046</v>
      </c>
      <c r="N96">
        <f>'rockfish harvests'!P97</f>
        <v>5460886.0967642423</v>
      </c>
      <c r="Q96" s="13">
        <f t="shared" si="22"/>
        <v>0</v>
      </c>
      <c r="R96" s="14">
        <f t="shared" si="23"/>
        <v>0</v>
      </c>
      <c r="S96">
        <f t="shared" si="29"/>
        <v>0</v>
      </c>
      <c r="T96" s="6">
        <f t="shared" si="30"/>
        <v>0</v>
      </c>
      <c r="V96" s="13" t="e">
        <f t="shared" si="25"/>
        <v>#REF!</v>
      </c>
      <c r="W96">
        <f t="shared" si="26"/>
        <v>0</v>
      </c>
      <c r="X96">
        <f t="shared" si="31"/>
        <v>0</v>
      </c>
      <c r="Y96" s="6">
        <f t="shared" si="32"/>
        <v>0</v>
      </c>
    </row>
    <row r="97" spans="1:25" x14ac:dyDescent="0.3">
      <c r="A97" t="str">
        <f>'rockfish harvests'!A98</f>
        <v>SC</v>
      </c>
      <c r="B97">
        <f>'rockfish harvests'!B98</f>
        <v>2019</v>
      </c>
      <c r="C97" t="str">
        <f>'rockfish harvests'!C98</f>
        <v>CI</v>
      </c>
      <c r="D97">
        <f>'rockfish harvests'!D98</f>
        <v>16061</v>
      </c>
      <c r="E97">
        <f>'YE harvest'!E99</f>
        <v>985</v>
      </c>
      <c r="I97">
        <f t="shared" ref="I97:I98" si="33">(E97^2)*G97</f>
        <v>0</v>
      </c>
      <c r="J97">
        <f t="shared" ref="J97:J98" si="34">SQRT(I97)</f>
        <v>0</v>
      </c>
      <c r="K97" s="6">
        <f t="shared" ref="K97:K98" si="35">(1.96*J97)</f>
        <v>0</v>
      </c>
      <c r="M97" s="2">
        <f>'rockfish harvests'!O98</f>
        <v>11565.493536535585</v>
      </c>
      <c r="N97">
        <f>'rockfish harvests'!P98</f>
        <v>7400162.779370754</v>
      </c>
      <c r="R97" s="14"/>
      <c r="S97"/>
      <c r="T97" s="6"/>
      <c r="Y97" s="6"/>
    </row>
    <row r="98" spans="1:25" x14ac:dyDescent="0.3">
      <c r="A98" t="str">
        <f>'rockfish harvests'!A99</f>
        <v>SC</v>
      </c>
      <c r="B98">
        <f>'rockfish harvests'!B99</f>
        <v>2020</v>
      </c>
      <c r="C98" t="str">
        <f>'rockfish harvests'!C99</f>
        <v>CI</v>
      </c>
      <c r="D98">
        <f>'rockfish harvests'!D99</f>
        <v>9784</v>
      </c>
      <c r="E98">
        <f>'YE harvest'!E100</f>
        <v>650</v>
      </c>
      <c r="I98">
        <f t="shared" si="33"/>
        <v>0</v>
      </c>
      <c r="J98">
        <f t="shared" si="34"/>
        <v>0</v>
      </c>
      <c r="K98" s="6">
        <f t="shared" si="35"/>
        <v>0</v>
      </c>
      <c r="M98" s="2">
        <f>'rockfish harvests'!O99</f>
        <v>10340.813008130081</v>
      </c>
      <c r="N98">
        <f>'rockfish harvests'!P99</f>
        <v>6856537.925024569</v>
      </c>
      <c r="R98" s="14"/>
      <c r="S98"/>
      <c r="T98" s="6"/>
      <c r="Y98" s="6"/>
    </row>
    <row r="99" spans="1:25" x14ac:dyDescent="0.3">
      <c r="A99" t="str">
        <f>'rockfish harvests'!A100</f>
        <v>SC</v>
      </c>
      <c r="B99">
        <f>'rockfish harvests'!B100</f>
        <v>2021</v>
      </c>
      <c r="C99" t="str">
        <f>'rockfish harvests'!C100</f>
        <v>CI</v>
      </c>
      <c r="D99">
        <f>'rockfish harvests'!D100</f>
        <v>14326</v>
      </c>
      <c r="E99">
        <f>'YE harvest'!E101</f>
        <v>1101</v>
      </c>
      <c r="K99" s="6"/>
      <c r="M99" s="2">
        <f>'rockfish harvests'!O100</f>
        <v>7068.2694391332043</v>
      </c>
      <c r="N99">
        <f>'rockfish harvests'!P100</f>
        <v>3061133.8312190818</v>
      </c>
      <c r="R99" s="14"/>
      <c r="S99"/>
      <c r="T99" s="6"/>
      <c r="Y99" s="6"/>
    </row>
    <row r="100" spans="1:25" x14ac:dyDescent="0.3">
      <c r="A100" t="str">
        <f>'rockfish harvests'!A102</f>
        <v>SC</v>
      </c>
      <c r="B100">
        <f>'rockfish harvests'!B102</f>
        <v>1998</v>
      </c>
      <c r="C100" t="str">
        <f>'rockfish harvests'!C102</f>
        <v>EASTSIDE</v>
      </c>
      <c r="D100">
        <f>'rockfish harvests'!D102</f>
        <v>157</v>
      </c>
      <c r="E100">
        <f>'YE harvest'!E103</f>
        <v>82</v>
      </c>
      <c r="F100" s="38"/>
      <c r="G100" s="39"/>
      <c r="H100" s="13">
        <f t="shared" ref="H100:H107" si="36">E100*F100</f>
        <v>0</v>
      </c>
      <c r="I100">
        <f t="shared" si="24"/>
        <v>0</v>
      </c>
      <c r="J100">
        <f t="shared" si="27"/>
        <v>0</v>
      </c>
      <c r="K100" s="6">
        <f t="shared" si="28"/>
        <v>0</v>
      </c>
      <c r="M100" s="2">
        <f>'rockfish harvests'!O102</f>
        <v>22.108315533666314</v>
      </c>
      <c r="N100">
        <f>'rockfish harvests'!P102</f>
        <v>350.7410435791694</v>
      </c>
      <c r="Q100" s="13" t="e">
        <f>M100*#REF!</f>
        <v>#REF!</v>
      </c>
      <c r="R100" s="14" t="e">
        <f>(M100^2)*#REF!+(#REF!^2)*N100-(#REF!*N100)</f>
        <v>#REF!</v>
      </c>
      <c r="S100" t="e">
        <f t="shared" si="29"/>
        <v>#REF!</v>
      </c>
      <c r="T100" s="6" t="e">
        <f t="shared" si="30"/>
        <v>#REF!</v>
      </c>
      <c r="V100" s="13" t="e">
        <f t="shared" si="25"/>
        <v>#REF!</v>
      </c>
      <c r="W100" t="e">
        <f t="shared" si="26"/>
        <v>#REF!</v>
      </c>
      <c r="X100" t="e">
        <f t="shared" si="31"/>
        <v>#REF!</v>
      </c>
      <c r="Y100" s="6" t="e">
        <f t="shared" si="32"/>
        <v>#REF!</v>
      </c>
    </row>
    <row r="101" spans="1:25" x14ac:dyDescent="0.3">
      <c r="A101" t="str">
        <f>'rockfish harvests'!A103</f>
        <v>SC</v>
      </c>
      <c r="B101">
        <f>'rockfish harvests'!B103</f>
        <v>1999</v>
      </c>
      <c r="C101" t="str">
        <f>'rockfish harvests'!C103</f>
        <v>EASTSIDE</v>
      </c>
      <c r="D101">
        <f>'rockfish harvests'!D103</f>
        <v>121</v>
      </c>
      <c r="E101">
        <f>'YE harvest'!E104</f>
        <v>21</v>
      </c>
      <c r="F101" s="38"/>
      <c r="G101" s="39"/>
      <c r="H101" s="13">
        <f t="shared" si="36"/>
        <v>0</v>
      </c>
      <c r="I101">
        <f t="shared" si="24"/>
        <v>0</v>
      </c>
      <c r="J101">
        <f t="shared" si="27"/>
        <v>0</v>
      </c>
      <c r="K101" s="6">
        <f t="shared" si="28"/>
        <v>0</v>
      </c>
      <c r="M101" s="2">
        <f>'rockfish harvests'!O103</f>
        <v>16.687051745013036</v>
      </c>
      <c r="N101">
        <f>'rockfish harvests'!P103</f>
        <v>206.21704461477333</v>
      </c>
      <c r="Q101" s="13" t="e">
        <f>M101*#REF!</f>
        <v>#REF!</v>
      </c>
      <c r="R101" s="14" t="e">
        <f>(M101^2)*#REF!+(#REF!^2)*N101-(#REF!*N101)</f>
        <v>#REF!</v>
      </c>
      <c r="S101" t="e">
        <f t="shared" si="29"/>
        <v>#REF!</v>
      </c>
      <c r="T101" s="6" t="e">
        <f t="shared" si="30"/>
        <v>#REF!</v>
      </c>
      <c r="V101" s="13" t="e">
        <f t="shared" si="25"/>
        <v>#REF!</v>
      </c>
      <c r="W101" t="e">
        <f t="shared" si="26"/>
        <v>#REF!</v>
      </c>
      <c r="X101" t="e">
        <f t="shared" si="31"/>
        <v>#REF!</v>
      </c>
      <c r="Y101" s="6" t="e">
        <f t="shared" si="32"/>
        <v>#REF!</v>
      </c>
    </row>
    <row r="102" spans="1:25" x14ac:dyDescent="0.3">
      <c r="A102" t="str">
        <f>'rockfish harvests'!A104</f>
        <v>SC</v>
      </c>
      <c r="B102">
        <f>'rockfish harvests'!B104</f>
        <v>2000</v>
      </c>
      <c r="C102" t="str">
        <f>'rockfish harvests'!C104</f>
        <v>EASTSIDE</v>
      </c>
      <c r="D102">
        <f>'rockfish harvests'!D104</f>
        <v>423</v>
      </c>
      <c r="E102">
        <f>'YE harvest'!E105</f>
        <v>43</v>
      </c>
      <c r="F102" s="38"/>
      <c r="G102" s="39"/>
      <c r="H102" s="13">
        <f t="shared" si="36"/>
        <v>0</v>
      </c>
      <c r="I102">
        <f t="shared" si="24"/>
        <v>0</v>
      </c>
      <c r="J102">
        <f t="shared" si="27"/>
        <v>0</v>
      </c>
      <c r="K102" s="6">
        <f t="shared" si="28"/>
        <v>0</v>
      </c>
      <c r="M102" s="2">
        <f>'rockfish harvests'!O104</f>
        <v>58.335726348268736</v>
      </c>
      <c r="N102">
        <f>'rockfish harvests'!P104</f>
        <v>2520.1973619204136</v>
      </c>
      <c r="Q102" s="13" t="e">
        <f>M102*#REF!</f>
        <v>#REF!</v>
      </c>
      <c r="R102" s="14" t="e">
        <f>(M102^2)*#REF!+(#REF!^2)*N102-(#REF!*N102)</f>
        <v>#REF!</v>
      </c>
      <c r="S102" t="e">
        <f t="shared" si="29"/>
        <v>#REF!</v>
      </c>
      <c r="T102" s="6" t="e">
        <f t="shared" si="30"/>
        <v>#REF!</v>
      </c>
      <c r="V102" s="13" t="e">
        <f t="shared" si="25"/>
        <v>#REF!</v>
      </c>
      <c r="W102" t="e">
        <f t="shared" si="26"/>
        <v>#REF!</v>
      </c>
      <c r="X102" t="e">
        <f t="shared" si="31"/>
        <v>#REF!</v>
      </c>
      <c r="Y102" s="6" t="e">
        <f t="shared" si="32"/>
        <v>#REF!</v>
      </c>
    </row>
    <row r="103" spans="1:25" x14ac:dyDescent="0.3">
      <c r="A103" t="str">
        <f>'rockfish harvests'!A105</f>
        <v>SC</v>
      </c>
      <c r="B103">
        <f>'rockfish harvests'!B105</f>
        <v>2001</v>
      </c>
      <c r="C103" t="str">
        <f>'rockfish harvests'!C105</f>
        <v>EASTSIDE</v>
      </c>
      <c r="D103">
        <f>'rockfish harvests'!D105</f>
        <v>298</v>
      </c>
      <c r="E103">
        <f>'YE harvest'!E106</f>
        <v>67</v>
      </c>
      <c r="F103" s="38"/>
      <c r="G103" s="39"/>
      <c r="H103" s="13">
        <f t="shared" si="36"/>
        <v>0</v>
      </c>
      <c r="I103">
        <f t="shared" si="24"/>
        <v>0</v>
      </c>
      <c r="J103">
        <f t="shared" si="27"/>
        <v>0</v>
      </c>
      <c r="K103" s="6">
        <f t="shared" si="28"/>
        <v>0</v>
      </c>
      <c r="M103" s="2">
        <f>'rockfish harvests'!O105</f>
        <v>41.097036529040395</v>
      </c>
      <c r="N103">
        <f>'rockfish harvests'!P105</f>
        <v>1250.7956034403612</v>
      </c>
      <c r="Q103" s="13" t="e">
        <f>M103*#REF!</f>
        <v>#REF!</v>
      </c>
      <c r="R103" s="14" t="e">
        <f>(M103^2)*#REF!+(#REF!^2)*N103-(#REF!*N103)</f>
        <v>#REF!</v>
      </c>
      <c r="S103" t="e">
        <f t="shared" si="29"/>
        <v>#REF!</v>
      </c>
      <c r="T103" s="6" t="e">
        <f t="shared" si="30"/>
        <v>#REF!</v>
      </c>
      <c r="V103" s="13" t="e">
        <f t="shared" si="25"/>
        <v>#REF!</v>
      </c>
      <c r="W103" t="e">
        <f t="shared" si="26"/>
        <v>#REF!</v>
      </c>
      <c r="X103" t="e">
        <f t="shared" si="31"/>
        <v>#REF!</v>
      </c>
      <c r="Y103" s="6" t="e">
        <f t="shared" si="32"/>
        <v>#REF!</v>
      </c>
    </row>
    <row r="104" spans="1:25" x14ac:dyDescent="0.3">
      <c r="A104" t="str">
        <f>'rockfish harvests'!A106</f>
        <v>SC</v>
      </c>
      <c r="B104">
        <f>'rockfish harvests'!B106</f>
        <v>2002</v>
      </c>
      <c r="C104" t="str">
        <f>'rockfish harvests'!C106</f>
        <v>EASTSIDE</v>
      </c>
      <c r="D104">
        <f>'rockfish harvests'!D106</f>
        <v>319</v>
      </c>
      <c r="E104">
        <f>'YE harvest'!E107</f>
        <v>50</v>
      </c>
      <c r="F104" s="38"/>
      <c r="G104" s="39"/>
      <c r="H104" s="13">
        <f t="shared" si="36"/>
        <v>0</v>
      </c>
      <c r="I104">
        <f t="shared" si="24"/>
        <v>0</v>
      </c>
      <c r="J104">
        <f t="shared" si="27"/>
        <v>0</v>
      </c>
      <c r="K104" s="6">
        <f t="shared" si="28"/>
        <v>0</v>
      </c>
      <c r="M104" s="2">
        <f>'rockfish harvests'!O106</f>
        <v>43.993136418670758</v>
      </c>
      <c r="N104">
        <f>'rockfish harvests'!P106</f>
        <v>1433.2936737274742</v>
      </c>
      <c r="Q104" s="13" t="e">
        <f>M104*#REF!</f>
        <v>#REF!</v>
      </c>
      <c r="R104" s="14" t="e">
        <f>(M104^2)*#REF!+(#REF!^2)*N104-(#REF!*N104)</f>
        <v>#REF!</v>
      </c>
      <c r="S104" t="e">
        <f t="shared" si="29"/>
        <v>#REF!</v>
      </c>
      <c r="T104" s="6" t="e">
        <f t="shared" si="30"/>
        <v>#REF!</v>
      </c>
      <c r="V104" s="13" t="e">
        <f t="shared" si="25"/>
        <v>#REF!</v>
      </c>
      <c r="W104" t="e">
        <f t="shared" si="26"/>
        <v>#REF!</v>
      </c>
      <c r="X104" t="e">
        <f t="shared" si="31"/>
        <v>#REF!</v>
      </c>
      <c r="Y104" s="6" t="e">
        <f t="shared" si="32"/>
        <v>#REF!</v>
      </c>
    </row>
    <row r="105" spans="1:25" x14ac:dyDescent="0.3">
      <c r="A105" t="str">
        <f>'rockfish harvests'!A107</f>
        <v>SC</v>
      </c>
      <c r="B105">
        <f>'rockfish harvests'!B107</f>
        <v>2003</v>
      </c>
      <c r="C105" t="str">
        <f>'rockfish harvests'!C107</f>
        <v>EASTSIDE</v>
      </c>
      <c r="D105">
        <f>'rockfish harvests'!D107</f>
        <v>1012</v>
      </c>
      <c r="E105">
        <f>'YE harvest'!E108</f>
        <v>48</v>
      </c>
      <c r="F105" s="38"/>
      <c r="G105" s="39"/>
      <c r="H105" s="13">
        <f t="shared" si="36"/>
        <v>0</v>
      </c>
      <c r="I105">
        <f t="shared" si="24"/>
        <v>0</v>
      </c>
      <c r="J105">
        <f t="shared" si="27"/>
        <v>0</v>
      </c>
      <c r="K105" s="6">
        <f t="shared" si="28"/>
        <v>0</v>
      </c>
      <c r="M105" s="2">
        <f>'rockfish harvests'!O107</f>
        <v>139.56443277647281</v>
      </c>
      <c r="N105">
        <f>'rockfish harvests'!P107</f>
        <v>14424.967484458195</v>
      </c>
      <c r="Q105" s="13" t="e">
        <f>M105*#REF!</f>
        <v>#REF!</v>
      </c>
      <c r="R105" s="14" t="e">
        <f>(M105^2)*#REF!+(#REF!^2)*N105-(#REF!*N105)</f>
        <v>#REF!</v>
      </c>
      <c r="S105" t="e">
        <f t="shared" si="29"/>
        <v>#REF!</v>
      </c>
      <c r="T105" s="6" t="e">
        <f t="shared" si="30"/>
        <v>#REF!</v>
      </c>
      <c r="V105" s="13" t="e">
        <f t="shared" si="25"/>
        <v>#REF!</v>
      </c>
      <c r="W105" t="e">
        <f t="shared" si="26"/>
        <v>#REF!</v>
      </c>
      <c r="X105" t="e">
        <f t="shared" si="31"/>
        <v>#REF!</v>
      </c>
      <c r="Y105" s="6" t="e">
        <f t="shared" si="32"/>
        <v>#REF!</v>
      </c>
    </row>
    <row r="106" spans="1:25" x14ac:dyDescent="0.3">
      <c r="A106" t="str">
        <f>'rockfish harvests'!A108</f>
        <v>SC</v>
      </c>
      <c r="B106">
        <f>'rockfish harvests'!B108</f>
        <v>2004</v>
      </c>
      <c r="C106" t="str">
        <f>'rockfish harvests'!C108</f>
        <v>EASTSIDE</v>
      </c>
      <c r="D106">
        <f>'rockfish harvests'!D108</f>
        <v>730</v>
      </c>
      <c r="E106">
        <f>'YE harvest'!E109</f>
        <v>58</v>
      </c>
      <c r="F106" s="38"/>
      <c r="G106" s="39"/>
      <c r="H106" s="13">
        <f t="shared" si="36"/>
        <v>0</v>
      </c>
      <c r="I106">
        <f t="shared" si="24"/>
        <v>0</v>
      </c>
      <c r="J106">
        <f t="shared" si="27"/>
        <v>0</v>
      </c>
      <c r="K106" s="6">
        <f t="shared" si="28"/>
        <v>0</v>
      </c>
      <c r="M106" s="2">
        <f>'rockfish harvests'!O108</f>
        <v>100.67394854429358</v>
      </c>
      <c r="N106">
        <f>'rockfish harvests'!P108</f>
        <v>7505.8440731652699</v>
      </c>
      <c r="Q106" s="13" t="e">
        <f>M106*#REF!</f>
        <v>#REF!</v>
      </c>
      <c r="R106" s="14" t="e">
        <f>(M106^2)*#REF!+(#REF!^2)*N106-(#REF!*N106)</f>
        <v>#REF!</v>
      </c>
      <c r="S106" t="e">
        <f t="shared" si="29"/>
        <v>#REF!</v>
      </c>
      <c r="T106" s="6" t="e">
        <f t="shared" si="30"/>
        <v>#REF!</v>
      </c>
      <c r="V106" s="13" t="e">
        <f t="shared" si="25"/>
        <v>#REF!</v>
      </c>
      <c r="W106" t="e">
        <f t="shared" si="26"/>
        <v>#REF!</v>
      </c>
      <c r="X106" t="e">
        <f t="shared" si="31"/>
        <v>#REF!</v>
      </c>
      <c r="Y106" s="6" t="e">
        <f t="shared" si="32"/>
        <v>#REF!</v>
      </c>
    </row>
    <row r="107" spans="1:25" x14ac:dyDescent="0.3">
      <c r="A107" t="str">
        <f>'rockfish harvests'!A109</f>
        <v>SC</v>
      </c>
      <c r="B107">
        <f>'rockfish harvests'!B109</f>
        <v>2005</v>
      </c>
      <c r="C107" t="str">
        <f>'rockfish harvests'!C109</f>
        <v>EASTSIDE</v>
      </c>
      <c r="D107">
        <f>'rockfish harvests'!D109</f>
        <v>1242</v>
      </c>
      <c r="E107">
        <f>'YE harvest'!E110</f>
        <v>168</v>
      </c>
      <c r="F107" s="38"/>
      <c r="G107" s="39"/>
      <c r="H107" s="13">
        <f t="shared" si="36"/>
        <v>0</v>
      </c>
      <c r="I107">
        <f t="shared" si="24"/>
        <v>0</v>
      </c>
      <c r="J107">
        <f t="shared" si="27"/>
        <v>0</v>
      </c>
      <c r="K107" s="6">
        <f t="shared" si="28"/>
        <v>0</v>
      </c>
      <c r="M107" s="2">
        <f>'rockfish harvests'!O109</f>
        <v>171.28362204385303</v>
      </c>
      <c r="N107">
        <f>'rockfish harvests'!P109</f>
        <v>21726.862182169472</v>
      </c>
      <c r="Q107" s="13" t="e">
        <f>M107*#REF!</f>
        <v>#REF!</v>
      </c>
      <c r="R107" s="14" t="e">
        <f>(M107^2)*#REF!+(#REF!^2)*N107-(#REF!*N107)</f>
        <v>#REF!</v>
      </c>
      <c r="S107" t="e">
        <f t="shared" si="29"/>
        <v>#REF!</v>
      </c>
      <c r="T107" s="6" t="e">
        <f t="shared" si="30"/>
        <v>#REF!</v>
      </c>
      <c r="V107" s="13" t="e">
        <f t="shared" si="25"/>
        <v>#REF!</v>
      </c>
      <c r="W107" t="e">
        <f t="shared" si="26"/>
        <v>#REF!</v>
      </c>
      <c r="X107" t="e">
        <f t="shared" si="31"/>
        <v>#REF!</v>
      </c>
      <c r="Y107" s="6" t="e">
        <f t="shared" si="32"/>
        <v>#REF!</v>
      </c>
    </row>
    <row r="108" spans="1:25" x14ac:dyDescent="0.3">
      <c r="A108" t="str">
        <f>'rockfish harvests'!A110</f>
        <v>SC</v>
      </c>
      <c r="B108">
        <f>'rockfish harvests'!B110</f>
        <v>2006</v>
      </c>
      <c r="C108" t="str">
        <f>'rockfish harvests'!C110</f>
        <v>EASTSIDE</v>
      </c>
      <c r="D108">
        <f>'rockfish harvests'!D110</f>
        <v>1516</v>
      </c>
      <c r="E108">
        <f>'YE harvest'!E111</f>
        <v>160</v>
      </c>
      <c r="H108" s="13" t="e">
        <f>#REF!</f>
        <v>#REF!</v>
      </c>
      <c r="I108">
        <f t="shared" si="24"/>
        <v>0</v>
      </c>
      <c r="J108">
        <f t="shared" si="27"/>
        <v>0</v>
      </c>
      <c r="K108" s="6">
        <f t="shared" si="28"/>
        <v>0</v>
      </c>
      <c r="M108" s="2">
        <f>'rockfish harvests'!O110</f>
        <v>209.07083012760154</v>
      </c>
      <c r="N108">
        <f>'rockfish harvests'!P110</f>
        <v>32370.709657002288</v>
      </c>
      <c r="Q108" s="13" t="e">
        <f>M108*#REF!</f>
        <v>#REF!</v>
      </c>
      <c r="R108" s="14" t="e">
        <f>(M108^2)*#REF!+(#REF!^2)*N108-(#REF!*N108)</f>
        <v>#REF!</v>
      </c>
      <c r="S108" t="e">
        <f t="shared" si="29"/>
        <v>#REF!</v>
      </c>
      <c r="T108" s="6" t="e">
        <f t="shared" si="30"/>
        <v>#REF!</v>
      </c>
      <c r="V108" s="13" t="e">
        <f t="shared" si="25"/>
        <v>#REF!</v>
      </c>
      <c r="W108" t="e">
        <f t="shared" si="26"/>
        <v>#REF!</v>
      </c>
      <c r="X108" t="e">
        <f t="shared" si="31"/>
        <v>#REF!</v>
      </c>
      <c r="Y108" s="6" t="e">
        <f t="shared" si="32"/>
        <v>#REF!</v>
      </c>
    </row>
    <row r="109" spans="1:25" x14ac:dyDescent="0.3">
      <c r="A109" t="str">
        <f>'rockfish harvests'!A111</f>
        <v>SC</v>
      </c>
      <c r="B109">
        <f>'rockfish harvests'!B111</f>
        <v>2007</v>
      </c>
      <c r="C109" t="str">
        <f>'rockfish harvests'!C111</f>
        <v>EASTSIDE</v>
      </c>
      <c r="D109">
        <f>'rockfish harvests'!D111</f>
        <v>3481</v>
      </c>
      <c r="E109">
        <f>'YE harvest'!E112</f>
        <v>171</v>
      </c>
      <c r="H109" s="13" t="e">
        <f>#REF!</f>
        <v>#REF!</v>
      </c>
      <c r="I109">
        <f t="shared" si="24"/>
        <v>0</v>
      </c>
      <c r="J109">
        <f t="shared" si="27"/>
        <v>0</v>
      </c>
      <c r="K109" s="6">
        <f t="shared" si="28"/>
        <v>0</v>
      </c>
      <c r="M109" s="2">
        <f>'rockfish harvests'!O111</f>
        <v>480.0630340858711</v>
      </c>
      <c r="N109">
        <f>'rockfish harvests'!P111</f>
        <v>170671.83757600674</v>
      </c>
      <c r="Q109" s="13" t="e">
        <f>M109*#REF!</f>
        <v>#REF!</v>
      </c>
      <c r="R109" s="14" t="e">
        <f>(M109^2)*#REF!+(#REF!^2)*N109-(#REF!*N109)</f>
        <v>#REF!</v>
      </c>
      <c r="S109" t="e">
        <f t="shared" si="29"/>
        <v>#REF!</v>
      </c>
      <c r="T109" s="6" t="e">
        <f t="shared" si="30"/>
        <v>#REF!</v>
      </c>
      <c r="V109" s="13" t="e">
        <f t="shared" si="25"/>
        <v>#REF!</v>
      </c>
      <c r="W109" t="e">
        <f t="shared" si="26"/>
        <v>#REF!</v>
      </c>
      <c r="X109" t="e">
        <f t="shared" si="31"/>
        <v>#REF!</v>
      </c>
      <c r="Y109" s="6" t="e">
        <f t="shared" si="32"/>
        <v>#REF!</v>
      </c>
    </row>
    <row r="110" spans="1:25" x14ac:dyDescent="0.3">
      <c r="A110" t="str">
        <f>'rockfish harvests'!A112</f>
        <v>SC</v>
      </c>
      <c r="B110">
        <f>'rockfish harvests'!B112</f>
        <v>2008</v>
      </c>
      <c r="C110" t="str">
        <f>'rockfish harvests'!C112</f>
        <v>EASTSIDE</v>
      </c>
      <c r="D110">
        <f>'rockfish harvests'!D112</f>
        <v>2311</v>
      </c>
      <c r="E110">
        <f>'YE harvest'!E113</f>
        <v>213</v>
      </c>
      <c r="H110" s="13" t="e">
        <f>#REF!</f>
        <v>#REF!</v>
      </c>
      <c r="I110">
        <f t="shared" si="24"/>
        <v>0</v>
      </c>
      <c r="J110">
        <f t="shared" si="27"/>
        <v>0</v>
      </c>
      <c r="K110" s="6">
        <f t="shared" si="28"/>
        <v>0</v>
      </c>
      <c r="M110" s="2">
        <f>'rockfish harvests'!O112</f>
        <v>318.70889737789366</v>
      </c>
      <c r="N110">
        <f>'rockfish harvests'!P112</f>
        <v>75223.529863537799</v>
      </c>
      <c r="Q110" s="13" t="e">
        <f>M110*#REF!</f>
        <v>#REF!</v>
      </c>
      <c r="R110" s="14" t="e">
        <f>(M110^2)*#REF!+(#REF!^2)*N110-(#REF!*N110)</f>
        <v>#REF!</v>
      </c>
      <c r="S110" t="e">
        <f t="shared" si="29"/>
        <v>#REF!</v>
      </c>
      <c r="T110" s="6" t="e">
        <f t="shared" si="30"/>
        <v>#REF!</v>
      </c>
      <c r="V110" s="13" t="e">
        <f t="shared" si="25"/>
        <v>#REF!</v>
      </c>
      <c r="W110" t="e">
        <f t="shared" si="26"/>
        <v>#REF!</v>
      </c>
      <c r="X110" t="e">
        <f t="shared" si="31"/>
        <v>#REF!</v>
      </c>
      <c r="Y110" s="6" t="e">
        <f t="shared" si="32"/>
        <v>#REF!</v>
      </c>
    </row>
    <row r="111" spans="1:25" x14ac:dyDescent="0.3">
      <c r="A111" t="str">
        <f>'rockfish harvests'!A113</f>
        <v>SC</v>
      </c>
      <c r="B111">
        <f>'rockfish harvests'!B113</f>
        <v>2009</v>
      </c>
      <c r="C111" t="str">
        <f>'rockfish harvests'!C113</f>
        <v>EASTSIDE</v>
      </c>
      <c r="D111">
        <f>'rockfish harvests'!D113</f>
        <v>2296</v>
      </c>
      <c r="E111">
        <f>'YE harvest'!E114</f>
        <v>49</v>
      </c>
      <c r="H111" s="13" t="e">
        <f>#REF!</f>
        <v>#REF!</v>
      </c>
      <c r="I111">
        <f t="shared" si="24"/>
        <v>0</v>
      </c>
      <c r="J111">
        <f t="shared" si="27"/>
        <v>0</v>
      </c>
      <c r="K111" s="6">
        <f t="shared" si="28"/>
        <v>0</v>
      </c>
      <c r="M111" s="2">
        <f>'rockfish harvests'!O113</f>
        <v>316.64025459958657</v>
      </c>
      <c r="N111">
        <f>'rockfish harvests'!P113</f>
        <v>74250.19273710491</v>
      </c>
      <c r="Q111" s="13" t="e">
        <f>M111*#REF!</f>
        <v>#REF!</v>
      </c>
      <c r="R111" s="14" t="e">
        <f>(M111^2)*#REF!+(#REF!^2)*N111-(#REF!*N111)</f>
        <v>#REF!</v>
      </c>
      <c r="S111" t="e">
        <f t="shared" si="29"/>
        <v>#REF!</v>
      </c>
      <c r="T111" s="6" t="e">
        <f t="shared" si="30"/>
        <v>#REF!</v>
      </c>
      <c r="V111" s="13" t="e">
        <f t="shared" si="25"/>
        <v>#REF!</v>
      </c>
      <c r="W111" t="e">
        <f t="shared" si="26"/>
        <v>#REF!</v>
      </c>
      <c r="X111" t="e">
        <f t="shared" si="31"/>
        <v>#REF!</v>
      </c>
      <c r="Y111" s="6" t="e">
        <f t="shared" si="32"/>
        <v>#REF!</v>
      </c>
    </row>
    <row r="112" spans="1:25" x14ac:dyDescent="0.3">
      <c r="A112" t="str">
        <f>'rockfish harvests'!A114</f>
        <v>SC</v>
      </c>
      <c r="B112">
        <f>'rockfish harvests'!B114</f>
        <v>2010</v>
      </c>
      <c r="C112" t="str">
        <f>'rockfish harvests'!C114</f>
        <v>EASTSIDE</v>
      </c>
      <c r="D112">
        <f>'rockfish harvests'!D114</f>
        <v>2555</v>
      </c>
      <c r="E112">
        <f>'YE harvest'!E115</f>
        <v>892</v>
      </c>
      <c r="H112" s="13" t="e">
        <f>#REF!</f>
        <v>#REF!</v>
      </c>
      <c r="I112">
        <f t="shared" si="24"/>
        <v>0</v>
      </c>
      <c r="J112">
        <f t="shared" si="27"/>
        <v>0</v>
      </c>
      <c r="K112" s="6">
        <f t="shared" si="28"/>
        <v>0</v>
      </c>
      <c r="M112" s="2">
        <f>'rockfish harvests'!O114</f>
        <v>352.35881990502776</v>
      </c>
      <c r="N112">
        <f>'rockfish harvests'!P114</f>
        <v>91946.589896274556</v>
      </c>
      <c r="Q112" s="13" t="e">
        <f>M112*#REF!</f>
        <v>#REF!</v>
      </c>
      <c r="R112" s="14" t="e">
        <f>(M112^2)*#REF!+(#REF!^2)*N112-(#REF!*N112)</f>
        <v>#REF!</v>
      </c>
      <c r="S112" t="e">
        <f t="shared" si="29"/>
        <v>#REF!</v>
      </c>
      <c r="T112" s="6" t="e">
        <f t="shared" si="30"/>
        <v>#REF!</v>
      </c>
      <c r="V112" s="13" t="e">
        <f t="shared" si="25"/>
        <v>#REF!</v>
      </c>
      <c r="W112" t="e">
        <f t="shared" si="26"/>
        <v>#REF!</v>
      </c>
      <c r="X112" t="e">
        <f t="shared" si="31"/>
        <v>#REF!</v>
      </c>
      <c r="Y112" s="6" t="e">
        <f t="shared" si="32"/>
        <v>#REF!</v>
      </c>
    </row>
    <row r="113" spans="1:25" x14ac:dyDescent="0.3">
      <c r="A113" t="str">
        <f>'rockfish harvests'!A115</f>
        <v>SC</v>
      </c>
      <c r="B113">
        <f>'rockfish harvests'!B115</f>
        <v>2011</v>
      </c>
      <c r="C113" t="str">
        <f>'rockfish harvests'!C115</f>
        <v>EASTSIDE</v>
      </c>
      <c r="D113">
        <f>'rockfish harvests'!D115</f>
        <v>1928</v>
      </c>
      <c r="E113">
        <f>'YE harvest'!E116</f>
        <v>75</v>
      </c>
      <c r="H113" s="13" t="e">
        <f>#REF!</f>
        <v>#REF!</v>
      </c>
      <c r="I113">
        <f t="shared" si="24"/>
        <v>0</v>
      </c>
      <c r="J113">
        <f t="shared" si="27"/>
        <v>0</v>
      </c>
      <c r="K113" s="6">
        <f t="shared" si="28"/>
        <v>0</v>
      </c>
      <c r="M113" s="2">
        <f>'rockfish harvests'!O115</f>
        <v>51.46120422098079</v>
      </c>
      <c r="N113">
        <f>'rockfish harvests'!P115</f>
        <v>1649.9620849615694</v>
      </c>
      <c r="Q113" s="13" t="e">
        <f>M113*#REF!</f>
        <v>#REF!</v>
      </c>
      <c r="R113" s="14" t="e">
        <f>(M113^2)*#REF!+(#REF!^2)*N113-(#REF!*N113)</f>
        <v>#REF!</v>
      </c>
      <c r="S113" t="e">
        <f t="shared" si="29"/>
        <v>#REF!</v>
      </c>
      <c r="T113" s="6" t="e">
        <f t="shared" si="30"/>
        <v>#REF!</v>
      </c>
      <c r="V113" s="13" t="e">
        <f t="shared" si="25"/>
        <v>#REF!</v>
      </c>
      <c r="W113" t="e">
        <f t="shared" si="26"/>
        <v>#REF!</v>
      </c>
      <c r="X113" t="e">
        <f t="shared" si="31"/>
        <v>#REF!</v>
      </c>
      <c r="Y113" s="6" t="e">
        <f t="shared" si="32"/>
        <v>#REF!</v>
      </c>
    </row>
    <row r="114" spans="1:25" x14ac:dyDescent="0.3">
      <c r="A114" t="str">
        <f>'rockfish harvests'!A116</f>
        <v>SC</v>
      </c>
      <c r="B114">
        <f>'rockfish harvests'!B116</f>
        <v>2012</v>
      </c>
      <c r="C114" t="str">
        <f>'rockfish harvests'!C116</f>
        <v>EASTSIDE</v>
      </c>
      <c r="D114">
        <f>'rockfish harvests'!D116</f>
        <v>3433</v>
      </c>
      <c r="E114">
        <f>'YE harvest'!E117</f>
        <v>223</v>
      </c>
      <c r="H114" s="13" t="e">
        <f>#REF!</f>
        <v>#REF!</v>
      </c>
      <c r="I114">
        <f t="shared" si="24"/>
        <v>0</v>
      </c>
      <c r="J114">
        <f t="shared" si="27"/>
        <v>0</v>
      </c>
      <c r="K114" s="6">
        <f t="shared" si="28"/>
        <v>0</v>
      </c>
      <c r="M114" s="2">
        <f>'rockfish harvests'!O116</f>
        <v>276.3989021043003</v>
      </c>
      <c r="N114">
        <f>'rockfish harvests'!P116</f>
        <v>25117.984568882985</v>
      </c>
      <c r="Q114" s="13" t="e">
        <f>M114*#REF!</f>
        <v>#REF!</v>
      </c>
      <c r="R114" s="14" t="e">
        <f>(M114^2)*#REF!+(#REF!^2)*N114-(#REF!*N114)</f>
        <v>#REF!</v>
      </c>
      <c r="S114" t="e">
        <f t="shared" si="29"/>
        <v>#REF!</v>
      </c>
      <c r="T114" s="6" t="e">
        <f t="shared" si="30"/>
        <v>#REF!</v>
      </c>
      <c r="V114" s="13" t="e">
        <f t="shared" si="25"/>
        <v>#REF!</v>
      </c>
      <c r="W114" t="e">
        <f t="shared" si="26"/>
        <v>#REF!</v>
      </c>
      <c r="X114" t="e">
        <f t="shared" si="31"/>
        <v>#REF!</v>
      </c>
      <c r="Y114" s="6" t="e">
        <f t="shared" si="32"/>
        <v>#REF!</v>
      </c>
    </row>
    <row r="115" spans="1:25" x14ac:dyDescent="0.3">
      <c r="A115" t="str">
        <f>'rockfish harvests'!A117</f>
        <v>SC</v>
      </c>
      <c r="B115">
        <f>'rockfish harvests'!B117</f>
        <v>2013</v>
      </c>
      <c r="C115" t="str">
        <f>'rockfish harvests'!C117</f>
        <v>EASTSIDE</v>
      </c>
      <c r="D115">
        <f>'rockfish harvests'!D117</f>
        <v>2207</v>
      </c>
      <c r="E115">
        <f>'YE harvest'!E118</f>
        <v>126</v>
      </c>
      <c r="H115" s="13" t="e">
        <f>#REF!</f>
        <v>#REF!</v>
      </c>
      <c r="I115">
        <f t="shared" si="24"/>
        <v>0</v>
      </c>
      <c r="J115">
        <f t="shared" si="27"/>
        <v>0</v>
      </c>
      <c r="K115" s="6">
        <f t="shared" si="28"/>
        <v>0</v>
      </c>
      <c r="M115" s="2">
        <f>'rockfish harvests'!O117</f>
        <v>351.77988614800779</v>
      </c>
      <c r="N115">
        <f>'rockfish harvests'!P117</f>
        <v>93936.264893907151</v>
      </c>
      <c r="Q115" s="13" t="e">
        <f>M115*#REF!</f>
        <v>#REF!</v>
      </c>
      <c r="R115" s="14" t="e">
        <f>(M115^2)*#REF!+(#REF!^2)*N115-(#REF!*N115)</f>
        <v>#REF!</v>
      </c>
      <c r="S115" t="e">
        <f t="shared" si="29"/>
        <v>#REF!</v>
      </c>
      <c r="T115" s="6" t="e">
        <f t="shared" si="30"/>
        <v>#REF!</v>
      </c>
      <c r="V115" s="13" t="e">
        <f t="shared" si="25"/>
        <v>#REF!</v>
      </c>
      <c r="W115" t="e">
        <f t="shared" si="26"/>
        <v>#REF!</v>
      </c>
      <c r="X115" t="e">
        <f t="shared" si="31"/>
        <v>#REF!</v>
      </c>
      <c r="Y115" s="6" t="e">
        <f t="shared" si="32"/>
        <v>#REF!</v>
      </c>
    </row>
    <row r="116" spans="1:25" x14ac:dyDescent="0.3">
      <c r="A116" t="str">
        <f>'rockfish harvests'!A118</f>
        <v>SC</v>
      </c>
      <c r="B116">
        <f>'rockfish harvests'!B118</f>
        <v>2014</v>
      </c>
      <c r="C116" t="str">
        <f>'rockfish harvests'!C118</f>
        <v>EASTSIDE</v>
      </c>
      <c r="D116">
        <f>'rockfish harvests'!D118</f>
        <v>3551</v>
      </c>
      <c r="E116">
        <f>'YE harvest'!E119</f>
        <v>166</v>
      </c>
      <c r="H116" s="13" t="e">
        <f>#REF!</f>
        <v>#REF!</v>
      </c>
      <c r="I116">
        <f t="shared" si="24"/>
        <v>0</v>
      </c>
      <c r="J116">
        <f t="shared" si="27"/>
        <v>0</v>
      </c>
      <c r="K116" s="6">
        <f t="shared" si="28"/>
        <v>0</v>
      </c>
      <c r="M116" s="2">
        <f>'rockfish harvests'!O118</f>
        <v>250.87949818421885</v>
      </c>
      <c r="N116">
        <f>'rockfish harvests'!P118</f>
        <v>23714.551436006946</v>
      </c>
      <c r="Q116" s="13" t="e">
        <f>M116*#REF!</f>
        <v>#REF!</v>
      </c>
      <c r="R116" s="14" t="e">
        <f>(M116^2)*#REF!+(#REF!^2)*N116-(#REF!*N116)</f>
        <v>#REF!</v>
      </c>
      <c r="S116" t="e">
        <f t="shared" si="29"/>
        <v>#REF!</v>
      </c>
      <c r="T116" s="6" t="e">
        <f t="shared" si="30"/>
        <v>#REF!</v>
      </c>
      <c r="V116" s="13" t="e">
        <f t="shared" si="25"/>
        <v>#REF!</v>
      </c>
      <c r="W116" t="e">
        <f t="shared" si="26"/>
        <v>#REF!</v>
      </c>
      <c r="X116" t="e">
        <f t="shared" si="31"/>
        <v>#REF!</v>
      </c>
      <c r="Y116" s="6" t="e">
        <f t="shared" si="32"/>
        <v>#REF!</v>
      </c>
    </row>
    <row r="117" spans="1:25" x14ac:dyDescent="0.3">
      <c r="A117" t="str">
        <f>'rockfish harvests'!A119</f>
        <v>SC</v>
      </c>
      <c r="B117">
        <f>'rockfish harvests'!B119</f>
        <v>2015</v>
      </c>
      <c r="C117" t="str">
        <f>'rockfish harvests'!C119</f>
        <v>EASTSIDE</v>
      </c>
      <c r="D117">
        <f>'rockfish harvests'!D119</f>
        <v>2787</v>
      </c>
      <c r="E117">
        <f>'YE harvest'!E120</f>
        <v>152</v>
      </c>
      <c r="H117" s="13" t="e">
        <f>#REF!</f>
        <v>#REF!</v>
      </c>
      <c r="I117">
        <f t="shared" si="24"/>
        <v>0</v>
      </c>
      <c r="J117">
        <f t="shared" si="27"/>
        <v>0</v>
      </c>
      <c r="K117" s="6">
        <f t="shared" si="28"/>
        <v>0</v>
      </c>
      <c r="M117" s="2">
        <f>'rockfish harvests'!O119</f>
        <v>932.19872110181996</v>
      </c>
      <c r="N117">
        <f>'rockfish harvests'!P119</f>
        <v>360398.18316320516</v>
      </c>
      <c r="Q117" s="13" t="e">
        <f>M117*#REF!</f>
        <v>#REF!</v>
      </c>
      <c r="R117" s="14" t="e">
        <f>(M117^2)*#REF!+(#REF!^2)*N117-(#REF!*N117)</f>
        <v>#REF!</v>
      </c>
      <c r="S117" t="e">
        <f t="shared" si="29"/>
        <v>#REF!</v>
      </c>
      <c r="T117" s="6" t="e">
        <f t="shared" si="30"/>
        <v>#REF!</v>
      </c>
      <c r="V117" s="13" t="e">
        <f t="shared" si="25"/>
        <v>#REF!</v>
      </c>
      <c r="W117" t="e">
        <f t="shared" si="26"/>
        <v>#REF!</v>
      </c>
      <c r="X117" t="e">
        <f t="shared" si="31"/>
        <v>#REF!</v>
      </c>
      <c r="Y117" s="6" t="e">
        <f t="shared" si="32"/>
        <v>#REF!</v>
      </c>
    </row>
    <row r="118" spans="1:25" x14ac:dyDescent="0.3">
      <c r="A118" t="str">
        <f>'rockfish harvests'!A120</f>
        <v>SC</v>
      </c>
      <c r="B118">
        <f>'rockfish harvests'!B120</f>
        <v>2016</v>
      </c>
      <c r="C118" t="str">
        <f>'rockfish harvests'!C120</f>
        <v>EASTSIDE</v>
      </c>
      <c r="D118">
        <f>'rockfish harvests'!D120</f>
        <v>3561</v>
      </c>
      <c r="E118">
        <f>'YE harvest'!E121</f>
        <v>169</v>
      </c>
      <c r="H118" s="13" t="e">
        <f>#REF!</f>
        <v>#REF!</v>
      </c>
      <c r="I118">
        <f t="shared" si="24"/>
        <v>0</v>
      </c>
      <c r="J118">
        <f t="shared" si="27"/>
        <v>0</v>
      </c>
      <c r="K118" s="6">
        <f t="shared" si="28"/>
        <v>0</v>
      </c>
      <c r="M118" s="2">
        <f>'rockfish harvests'!O120</f>
        <v>418.19068471337596</v>
      </c>
      <c r="N118">
        <f>'rockfish harvests'!P120</f>
        <v>86017.579810230731</v>
      </c>
      <c r="Q118" s="13" t="e">
        <f>M118*#REF!</f>
        <v>#REF!</v>
      </c>
      <c r="R118" s="14" t="e">
        <f>(M118^2)*#REF!+(#REF!^2)*N118-(#REF!*N118)</f>
        <v>#REF!</v>
      </c>
      <c r="S118" t="e">
        <f t="shared" si="29"/>
        <v>#REF!</v>
      </c>
      <c r="T118" s="6" t="e">
        <f t="shared" si="30"/>
        <v>#REF!</v>
      </c>
      <c r="V118" s="13" t="e">
        <f t="shared" si="25"/>
        <v>#REF!</v>
      </c>
      <c r="W118" t="e">
        <f t="shared" si="26"/>
        <v>#REF!</v>
      </c>
      <c r="X118" t="e">
        <f t="shared" si="31"/>
        <v>#REF!</v>
      </c>
      <c r="Y118" s="6" t="e">
        <f t="shared" si="32"/>
        <v>#REF!</v>
      </c>
    </row>
    <row r="119" spans="1:25" x14ac:dyDescent="0.3">
      <c r="A119" t="str">
        <f>'rockfish harvests'!A121</f>
        <v>SC</v>
      </c>
      <c r="B119">
        <f>'rockfish harvests'!B121</f>
        <v>2017</v>
      </c>
      <c r="C119" t="str">
        <f>'rockfish harvests'!C121</f>
        <v>EASTSIDE</v>
      </c>
      <c r="D119">
        <f>'rockfish harvests'!D121</f>
        <v>3933</v>
      </c>
      <c r="E119">
        <f>'YE harvest'!E122</f>
        <v>56</v>
      </c>
      <c r="H119" s="13" t="e">
        <f>#REF!</f>
        <v>#REF!</v>
      </c>
      <c r="I119">
        <f t="shared" si="24"/>
        <v>0</v>
      </c>
      <c r="J119">
        <f t="shared" si="27"/>
        <v>0</v>
      </c>
      <c r="K119" s="6">
        <f t="shared" si="28"/>
        <v>0</v>
      </c>
      <c r="M119" s="2">
        <f>'rockfish harvests'!O121</f>
        <v>1353.8031716417918</v>
      </c>
      <c r="N119">
        <f>'rockfish harvests'!P121</f>
        <v>628325.57356668822</v>
      </c>
      <c r="Q119" s="13" t="e">
        <f>M119*#REF!</f>
        <v>#REF!</v>
      </c>
      <c r="R119" s="14" t="e">
        <f>(M119^2)*#REF!+(#REF!^2)*N119-(#REF!*N119)</f>
        <v>#REF!</v>
      </c>
      <c r="S119" t="e">
        <f t="shared" si="29"/>
        <v>#REF!</v>
      </c>
      <c r="T119" s="6" t="e">
        <f t="shared" si="30"/>
        <v>#REF!</v>
      </c>
      <c r="V119" s="13" t="e">
        <f t="shared" si="25"/>
        <v>#REF!</v>
      </c>
      <c r="W119" t="e">
        <f t="shared" si="26"/>
        <v>#REF!</v>
      </c>
      <c r="X119" t="e">
        <f t="shared" si="31"/>
        <v>#REF!</v>
      </c>
      <c r="Y119" s="6" t="e">
        <f t="shared" si="32"/>
        <v>#REF!</v>
      </c>
    </row>
    <row r="120" spans="1:25" x14ac:dyDescent="0.3">
      <c r="A120" t="str">
        <f>'rockfish harvests'!A122</f>
        <v>SC</v>
      </c>
      <c r="B120">
        <f>'rockfish harvests'!B122</f>
        <v>2018</v>
      </c>
      <c r="C120" t="str">
        <f>'rockfish harvests'!C122</f>
        <v>EASTSIDE</v>
      </c>
      <c r="D120">
        <f>'rockfish harvests'!D122</f>
        <v>3914</v>
      </c>
      <c r="E120">
        <f>'YE harvest'!E123</f>
        <v>224</v>
      </c>
      <c r="H120" s="13" t="e">
        <f>#REF!</f>
        <v>#REF!</v>
      </c>
      <c r="I120">
        <f t="shared" si="24"/>
        <v>0</v>
      </c>
      <c r="J120">
        <f t="shared" si="27"/>
        <v>0</v>
      </c>
      <c r="K120" s="6">
        <f t="shared" si="28"/>
        <v>0</v>
      </c>
      <c r="M120" s="2">
        <f>'rockfish harvests'!O122</f>
        <v>302.2796271637817</v>
      </c>
      <c r="N120">
        <f>'rockfish harvests'!P122</f>
        <v>37596.448991886558</v>
      </c>
      <c r="Q120" s="13" t="e">
        <f>M120*#REF!</f>
        <v>#REF!</v>
      </c>
      <c r="R120" s="14" t="e">
        <f>(M120^2)*#REF!+(#REF!^2)*N120-(#REF!*N120)</f>
        <v>#REF!</v>
      </c>
      <c r="S120" t="e">
        <f t="shared" si="29"/>
        <v>#REF!</v>
      </c>
      <c r="T120" s="6" t="e">
        <f t="shared" si="30"/>
        <v>#REF!</v>
      </c>
      <c r="V120" s="13" t="e">
        <f t="shared" si="25"/>
        <v>#REF!</v>
      </c>
      <c r="W120" t="e">
        <f t="shared" si="26"/>
        <v>#REF!</v>
      </c>
      <c r="X120" t="e">
        <f t="shared" si="31"/>
        <v>#REF!</v>
      </c>
      <c r="Y120" s="6" t="e">
        <f t="shared" si="32"/>
        <v>#REF!</v>
      </c>
    </row>
    <row r="121" spans="1:25" x14ac:dyDescent="0.3">
      <c r="A121" t="str">
        <f>'rockfish harvests'!A123</f>
        <v>SC</v>
      </c>
      <c r="B121">
        <f>'rockfish harvests'!B123</f>
        <v>2019</v>
      </c>
      <c r="C121" t="str">
        <f>'rockfish harvests'!C123</f>
        <v>EASTSIDE</v>
      </c>
      <c r="D121">
        <f>'rockfish harvests'!D123</f>
        <v>5680</v>
      </c>
      <c r="E121">
        <f>'YE harvest'!E124</f>
        <v>116</v>
      </c>
      <c r="I121">
        <f t="shared" ref="I121:I122" si="37">(E121^2)*G121</f>
        <v>0</v>
      </c>
      <c r="J121">
        <f t="shared" ref="J121:J122" si="38">SQRT(I121)</f>
        <v>0</v>
      </c>
      <c r="K121" s="6">
        <f t="shared" ref="K121:K122" si="39">(1.96*J121)</f>
        <v>0</v>
      </c>
      <c r="M121" s="2">
        <f>'rockfish harvests'!O123</f>
        <v>1827.1545603495351</v>
      </c>
      <c r="N121">
        <f>'rockfish harvests'!P123</f>
        <v>1939226.0896531206</v>
      </c>
      <c r="R121" s="14"/>
      <c r="S121"/>
      <c r="T121" s="6"/>
      <c r="Y121" s="6"/>
    </row>
    <row r="122" spans="1:25" x14ac:dyDescent="0.3">
      <c r="A122" t="str">
        <f>'rockfish harvests'!A124</f>
        <v>SC</v>
      </c>
      <c r="B122">
        <f>'rockfish harvests'!B124</f>
        <v>2020</v>
      </c>
      <c r="C122" t="str">
        <f>'rockfish harvests'!C124</f>
        <v>EASTSIDE</v>
      </c>
      <c r="D122">
        <f>'rockfish harvests'!D124</f>
        <v>1507</v>
      </c>
      <c r="E122">
        <f>'YE harvest'!E125</f>
        <v>71</v>
      </c>
      <c r="I122">
        <f t="shared" si="37"/>
        <v>0</v>
      </c>
      <c r="J122">
        <f t="shared" si="38"/>
        <v>0</v>
      </c>
      <c r="K122" s="6">
        <f t="shared" si="39"/>
        <v>0</v>
      </c>
      <c r="M122" s="2">
        <f>'rockfish harvests'!O124</f>
        <v>285.07252075141969</v>
      </c>
      <c r="N122">
        <f>'rockfish harvests'!P124</f>
        <v>20342.54532916598</v>
      </c>
      <c r="R122" s="14"/>
      <c r="S122"/>
      <c r="T122" s="6"/>
      <c r="Y122" s="6"/>
    </row>
    <row r="123" spans="1:25" x14ac:dyDescent="0.3">
      <c r="A123" t="str">
        <f>'rockfish harvests'!A125</f>
        <v>SC</v>
      </c>
      <c r="B123">
        <f>'rockfish harvests'!B125</f>
        <v>2021</v>
      </c>
      <c r="C123" t="str">
        <f>'rockfish harvests'!C125</f>
        <v>EASTSIDE</v>
      </c>
      <c r="D123">
        <f>'rockfish harvests'!D125</f>
        <v>2885</v>
      </c>
      <c r="E123">
        <f>'YE harvest'!E126</f>
        <v>187</v>
      </c>
      <c r="K123" s="6"/>
      <c r="M123" s="2">
        <f>'rockfish harvests'!O125</f>
        <v>450.56951620479094</v>
      </c>
      <c r="N123">
        <f>'rockfish harvests'!P125</f>
        <v>34555.289276141099</v>
      </c>
      <c r="R123" s="14"/>
      <c r="S123"/>
      <c r="T123" s="6"/>
      <c r="Y123" s="6"/>
    </row>
    <row r="124" spans="1:25" x14ac:dyDescent="0.3">
      <c r="A124" t="str">
        <f>'rockfish harvests'!A127</f>
        <v>SC</v>
      </c>
      <c r="B124">
        <f>'rockfish harvests'!B127</f>
        <v>1998</v>
      </c>
      <c r="C124" t="str">
        <f>'rockfish harvests'!C127</f>
        <v>NG</v>
      </c>
      <c r="D124">
        <f>'rockfish harvests'!D127</f>
        <v>5169</v>
      </c>
      <c r="E124">
        <f>'YE harvest'!E128</f>
        <v>1242</v>
      </c>
      <c r="F124" s="32"/>
      <c r="G124" s="32"/>
      <c r="H124" s="13">
        <f t="shared" ref="H124:H131" si="40">E124*F124</f>
        <v>0</v>
      </c>
      <c r="I124">
        <f t="shared" si="24"/>
        <v>0</v>
      </c>
      <c r="J124">
        <f t="shared" si="27"/>
        <v>0</v>
      </c>
      <c r="K124" s="6">
        <f t="shared" si="28"/>
        <v>0</v>
      </c>
      <c r="M124" s="2">
        <f>'rockfish harvests'!O127</f>
        <v>2556.220955913016</v>
      </c>
      <c r="N124">
        <f>'rockfish harvests'!P127</f>
        <v>380846.86521831615</v>
      </c>
      <c r="Q124" s="13">
        <f t="shared" ref="Q124:Q196" si="41">M124*O124</f>
        <v>0</v>
      </c>
      <c r="R124" s="14">
        <f t="shared" ref="R124:R196" si="42">(M124^2)*P124+(O124^2)*N124-(P124*N124)</f>
        <v>0</v>
      </c>
      <c r="S124">
        <f t="shared" si="29"/>
        <v>0</v>
      </c>
      <c r="T124" s="6">
        <f t="shared" si="30"/>
        <v>0</v>
      </c>
      <c r="V124" s="13">
        <f t="shared" si="25"/>
        <v>0</v>
      </c>
      <c r="W124">
        <f t="shared" si="26"/>
        <v>0</v>
      </c>
      <c r="X124">
        <f t="shared" si="31"/>
        <v>0</v>
      </c>
      <c r="Y124" s="6">
        <f t="shared" si="32"/>
        <v>0</v>
      </c>
    </row>
    <row r="125" spans="1:25" x14ac:dyDescent="0.3">
      <c r="A125" t="str">
        <f>'rockfish harvests'!A128</f>
        <v>SC</v>
      </c>
      <c r="B125">
        <f>'rockfish harvests'!B128</f>
        <v>1999</v>
      </c>
      <c r="C125" t="str">
        <f>'rockfish harvests'!C128</f>
        <v>NG</v>
      </c>
      <c r="D125">
        <f>'rockfish harvests'!D128</f>
        <v>9276</v>
      </c>
      <c r="E125">
        <f>'YE harvest'!E129</f>
        <v>1138</v>
      </c>
      <c r="H125" s="13">
        <f t="shared" si="40"/>
        <v>0</v>
      </c>
      <c r="I125">
        <f t="shared" si="24"/>
        <v>0</v>
      </c>
      <c r="J125">
        <f t="shared" si="27"/>
        <v>0</v>
      </c>
      <c r="K125" s="6">
        <f t="shared" si="28"/>
        <v>0</v>
      </c>
      <c r="M125" s="2">
        <f>'rockfish harvests'!O128</f>
        <v>4587.2519998160442</v>
      </c>
      <c r="N125">
        <f>'rockfish harvests'!P128</f>
        <v>1226475.2843498222</v>
      </c>
      <c r="Q125" s="13">
        <f t="shared" si="41"/>
        <v>0</v>
      </c>
      <c r="R125" s="14">
        <f t="shared" si="42"/>
        <v>0</v>
      </c>
      <c r="S125">
        <f t="shared" si="29"/>
        <v>0</v>
      </c>
      <c r="T125" s="6">
        <f t="shared" si="30"/>
        <v>0</v>
      </c>
      <c r="V125" s="13">
        <f t="shared" si="25"/>
        <v>0</v>
      </c>
      <c r="W125">
        <f t="shared" si="26"/>
        <v>0</v>
      </c>
      <c r="X125">
        <f t="shared" si="31"/>
        <v>0</v>
      </c>
      <c r="Y125" s="6">
        <f t="shared" si="32"/>
        <v>0</v>
      </c>
    </row>
    <row r="126" spans="1:25" x14ac:dyDescent="0.3">
      <c r="A126" t="str">
        <f>'rockfish harvests'!A129</f>
        <v>SC</v>
      </c>
      <c r="B126">
        <f>'rockfish harvests'!B129</f>
        <v>2000</v>
      </c>
      <c r="C126" t="str">
        <f>'rockfish harvests'!C129</f>
        <v>NG</v>
      </c>
      <c r="D126">
        <f>'rockfish harvests'!D129</f>
        <v>13107</v>
      </c>
      <c r="E126">
        <f>'YE harvest'!E130</f>
        <v>2404</v>
      </c>
      <c r="H126" s="13">
        <f t="shared" si="40"/>
        <v>0</v>
      </c>
      <c r="I126">
        <f t="shared" si="24"/>
        <v>0</v>
      </c>
      <c r="J126">
        <f t="shared" si="27"/>
        <v>0</v>
      </c>
      <c r="K126" s="6">
        <f t="shared" si="28"/>
        <v>0</v>
      </c>
      <c r="M126" s="2">
        <f>'rockfish harvests'!O129</f>
        <v>6481.7930100893609</v>
      </c>
      <c r="N126">
        <f>'rockfish harvests'!P129</f>
        <v>2448747.0158551079</v>
      </c>
      <c r="Q126" s="13">
        <f t="shared" si="41"/>
        <v>0</v>
      </c>
      <c r="R126" s="14">
        <f t="shared" si="42"/>
        <v>0</v>
      </c>
      <c r="S126">
        <f t="shared" si="29"/>
        <v>0</v>
      </c>
      <c r="T126" s="6">
        <f t="shared" si="30"/>
        <v>0</v>
      </c>
      <c r="V126" s="13">
        <f t="shared" si="25"/>
        <v>0</v>
      </c>
      <c r="W126">
        <f t="shared" si="26"/>
        <v>0</v>
      </c>
      <c r="X126">
        <f t="shared" si="31"/>
        <v>0</v>
      </c>
      <c r="Y126" s="6">
        <f t="shared" si="32"/>
        <v>0</v>
      </c>
    </row>
    <row r="127" spans="1:25" x14ac:dyDescent="0.3">
      <c r="A127" t="str">
        <f>'rockfish harvests'!A130</f>
        <v>SC</v>
      </c>
      <c r="B127">
        <f>'rockfish harvests'!B130</f>
        <v>2001</v>
      </c>
      <c r="C127" t="str">
        <f>'rockfish harvests'!C130</f>
        <v>NG</v>
      </c>
      <c r="D127">
        <f>'rockfish harvests'!D130</f>
        <v>20907</v>
      </c>
      <c r="E127">
        <f>'YE harvest'!E131</f>
        <v>2450</v>
      </c>
      <c r="H127" s="13">
        <f t="shared" si="40"/>
        <v>0</v>
      </c>
      <c r="I127">
        <f t="shared" si="24"/>
        <v>0</v>
      </c>
      <c r="J127">
        <f t="shared" si="27"/>
        <v>0</v>
      </c>
      <c r="K127" s="6">
        <f t="shared" si="28"/>
        <v>0</v>
      </c>
      <c r="M127" s="2">
        <f>'rockfish harvests'!O130</f>
        <v>10339.120047450848</v>
      </c>
      <c r="N127">
        <f>'rockfish harvests'!P130</f>
        <v>6230469.2850139625</v>
      </c>
      <c r="Q127" s="13">
        <f t="shared" si="41"/>
        <v>0</v>
      </c>
      <c r="R127" s="14">
        <f t="shared" si="42"/>
        <v>0</v>
      </c>
      <c r="S127">
        <f t="shared" si="29"/>
        <v>0</v>
      </c>
      <c r="T127" s="6">
        <f t="shared" si="30"/>
        <v>0</v>
      </c>
      <c r="V127" s="13">
        <f t="shared" si="25"/>
        <v>0</v>
      </c>
      <c r="W127">
        <f t="shared" si="26"/>
        <v>0</v>
      </c>
      <c r="X127">
        <f t="shared" si="31"/>
        <v>0</v>
      </c>
      <c r="Y127" s="6">
        <f t="shared" si="32"/>
        <v>0</v>
      </c>
    </row>
    <row r="128" spans="1:25" x14ac:dyDescent="0.3">
      <c r="A128" t="str">
        <f>'rockfish harvests'!A131</f>
        <v>SC</v>
      </c>
      <c r="B128">
        <f>'rockfish harvests'!B131</f>
        <v>2002</v>
      </c>
      <c r="C128" t="str">
        <f>'rockfish harvests'!C131</f>
        <v>NG</v>
      </c>
      <c r="D128">
        <f>'rockfish harvests'!D131</f>
        <v>17318</v>
      </c>
      <c r="E128">
        <f>'YE harvest'!E132</f>
        <v>2230</v>
      </c>
      <c r="H128" s="13">
        <f t="shared" si="40"/>
        <v>0</v>
      </c>
      <c r="I128">
        <f t="shared" si="24"/>
        <v>0</v>
      </c>
      <c r="J128">
        <f t="shared" si="27"/>
        <v>0</v>
      </c>
      <c r="K128" s="6">
        <f t="shared" si="28"/>
        <v>0</v>
      </c>
      <c r="M128" s="2">
        <f>'rockfish harvests'!O131</f>
        <v>8564.2550811572073</v>
      </c>
      <c r="N128">
        <f>'rockfish harvests'!P131</f>
        <v>4274967.2451758217</v>
      </c>
      <c r="Q128" s="13">
        <f t="shared" si="41"/>
        <v>0</v>
      </c>
      <c r="R128" s="14">
        <f t="shared" si="42"/>
        <v>0</v>
      </c>
      <c r="S128">
        <f t="shared" si="29"/>
        <v>0</v>
      </c>
      <c r="T128" s="6">
        <f t="shared" si="30"/>
        <v>0</v>
      </c>
      <c r="V128" s="13">
        <f t="shared" si="25"/>
        <v>0</v>
      </c>
      <c r="W128">
        <f t="shared" si="26"/>
        <v>0</v>
      </c>
      <c r="X128">
        <f t="shared" si="31"/>
        <v>0</v>
      </c>
      <c r="Y128" s="6">
        <f t="shared" si="32"/>
        <v>0</v>
      </c>
    </row>
    <row r="129" spans="1:25" x14ac:dyDescent="0.3">
      <c r="A129" t="str">
        <f>'rockfish harvests'!A132</f>
        <v>SC</v>
      </c>
      <c r="B129">
        <f>'rockfish harvests'!B132</f>
        <v>2003</v>
      </c>
      <c r="C129" t="str">
        <f>'rockfish harvests'!C132</f>
        <v>NG</v>
      </c>
      <c r="D129">
        <f>'rockfish harvests'!D132</f>
        <v>17020</v>
      </c>
      <c r="E129">
        <f>'YE harvest'!E133</f>
        <v>3447</v>
      </c>
      <c r="H129" s="13">
        <f t="shared" si="40"/>
        <v>0</v>
      </c>
      <c r="I129">
        <f t="shared" si="24"/>
        <v>0</v>
      </c>
      <c r="J129">
        <f t="shared" si="27"/>
        <v>0</v>
      </c>
      <c r="K129" s="6">
        <f t="shared" si="28"/>
        <v>0</v>
      </c>
      <c r="M129" s="2">
        <f>'rockfish harvests'!O132</f>
        <v>8416.8854071657042</v>
      </c>
      <c r="N129">
        <f>'rockfish harvests'!P132</f>
        <v>4129109.8070434225</v>
      </c>
      <c r="Q129" s="13">
        <f t="shared" si="41"/>
        <v>0</v>
      </c>
      <c r="R129" s="14">
        <f t="shared" si="42"/>
        <v>0</v>
      </c>
      <c r="S129">
        <f t="shared" si="29"/>
        <v>0</v>
      </c>
      <c r="T129" s="6">
        <f t="shared" si="30"/>
        <v>0</v>
      </c>
      <c r="V129" s="13">
        <f t="shared" si="25"/>
        <v>0</v>
      </c>
      <c r="W129">
        <f t="shared" si="26"/>
        <v>0</v>
      </c>
      <c r="X129">
        <f t="shared" si="31"/>
        <v>0</v>
      </c>
      <c r="Y129" s="6">
        <f t="shared" si="32"/>
        <v>0</v>
      </c>
    </row>
    <row r="130" spans="1:25" x14ac:dyDescent="0.3">
      <c r="A130" t="str">
        <f>'rockfish harvests'!A133</f>
        <v>SC</v>
      </c>
      <c r="B130">
        <f>'rockfish harvests'!B133</f>
        <v>2004</v>
      </c>
      <c r="C130" t="str">
        <f>'rockfish harvests'!C133</f>
        <v>NG</v>
      </c>
      <c r="D130">
        <f>'rockfish harvests'!D133</f>
        <v>19434</v>
      </c>
      <c r="E130">
        <f>'YE harvest'!E134</f>
        <v>3475</v>
      </c>
      <c r="H130" s="13">
        <f t="shared" si="40"/>
        <v>0</v>
      </c>
      <c r="I130">
        <f t="shared" si="24"/>
        <v>0</v>
      </c>
      <c r="J130">
        <f t="shared" si="27"/>
        <v>0</v>
      </c>
      <c r="K130" s="6">
        <f t="shared" si="28"/>
        <v>0</v>
      </c>
      <c r="M130" s="2">
        <f>'rockfish harvests'!O133</f>
        <v>9610.6786723183504</v>
      </c>
      <c r="N130">
        <f>'rockfish harvests'!P133</f>
        <v>5383462.8158731172</v>
      </c>
      <c r="Q130" s="13">
        <f t="shared" si="41"/>
        <v>0</v>
      </c>
      <c r="R130" s="14">
        <f t="shared" si="42"/>
        <v>0</v>
      </c>
      <c r="S130">
        <f t="shared" si="29"/>
        <v>0</v>
      </c>
      <c r="T130" s="6">
        <f t="shared" si="30"/>
        <v>0</v>
      </c>
      <c r="V130" s="13">
        <f t="shared" si="25"/>
        <v>0</v>
      </c>
      <c r="W130">
        <f t="shared" si="26"/>
        <v>0</v>
      </c>
      <c r="X130">
        <f t="shared" si="31"/>
        <v>0</v>
      </c>
      <c r="Y130" s="6">
        <f t="shared" si="32"/>
        <v>0</v>
      </c>
    </row>
    <row r="131" spans="1:25" x14ac:dyDescent="0.3">
      <c r="A131" t="str">
        <f>'rockfish harvests'!A134</f>
        <v>SC</v>
      </c>
      <c r="B131">
        <f>'rockfish harvests'!B134</f>
        <v>2005</v>
      </c>
      <c r="C131" t="str">
        <f>'rockfish harvests'!C134</f>
        <v>NG</v>
      </c>
      <c r="D131">
        <f>'rockfish harvests'!D134</f>
        <v>22792</v>
      </c>
      <c r="E131">
        <f>'YE harvest'!E135</f>
        <v>4171</v>
      </c>
      <c r="H131" s="13">
        <f t="shared" si="40"/>
        <v>0</v>
      </c>
      <c r="I131">
        <f t="shared" si="24"/>
        <v>0</v>
      </c>
      <c r="J131">
        <f t="shared" si="27"/>
        <v>0</v>
      </c>
      <c r="K131" s="6">
        <f t="shared" si="28"/>
        <v>0</v>
      </c>
      <c r="M131" s="2">
        <f>'rockfish harvests'!O134</f>
        <v>11271.307414813207</v>
      </c>
      <c r="N131">
        <f>'rockfish harvests'!P134</f>
        <v>7404610.0706118569</v>
      </c>
      <c r="Q131" s="13">
        <f t="shared" si="41"/>
        <v>0</v>
      </c>
      <c r="R131" s="14">
        <f t="shared" si="42"/>
        <v>0</v>
      </c>
      <c r="S131">
        <f t="shared" si="29"/>
        <v>0</v>
      </c>
      <c r="T131" s="6">
        <f t="shared" si="30"/>
        <v>0</v>
      </c>
      <c r="V131" s="13">
        <f t="shared" si="25"/>
        <v>0</v>
      </c>
      <c r="W131">
        <f t="shared" si="26"/>
        <v>0</v>
      </c>
      <c r="X131">
        <f t="shared" si="31"/>
        <v>0</v>
      </c>
      <c r="Y131" s="6">
        <f t="shared" si="32"/>
        <v>0</v>
      </c>
    </row>
    <row r="132" spans="1:25" x14ac:dyDescent="0.3">
      <c r="A132" t="str">
        <f>'rockfish harvests'!A135</f>
        <v>SC</v>
      </c>
      <c r="B132">
        <f>'rockfish harvests'!B135</f>
        <v>2006</v>
      </c>
      <c r="C132" t="str">
        <f>'rockfish harvests'!C135</f>
        <v>NG</v>
      </c>
      <c r="D132">
        <f>'rockfish harvests'!D135</f>
        <v>19998</v>
      </c>
      <c r="E132">
        <f>'YE harvest'!E136</f>
        <v>4131</v>
      </c>
      <c r="H132" s="13" t="e">
        <f>#REF!</f>
        <v>#REF!</v>
      </c>
      <c r="I132">
        <f t="shared" si="24"/>
        <v>0</v>
      </c>
      <c r="J132">
        <f t="shared" si="27"/>
        <v>0</v>
      </c>
      <c r="K132" s="6">
        <f t="shared" si="28"/>
        <v>0</v>
      </c>
      <c r="M132" s="2">
        <f>'rockfish harvests'!O135</f>
        <v>9889.5930888660259</v>
      </c>
      <c r="N132">
        <f>'rockfish harvests'!P135</f>
        <v>5700467.1719220383</v>
      </c>
      <c r="Q132" s="13">
        <f t="shared" si="41"/>
        <v>0</v>
      </c>
      <c r="R132" s="14">
        <f t="shared" si="42"/>
        <v>0</v>
      </c>
      <c r="S132">
        <f t="shared" si="29"/>
        <v>0</v>
      </c>
      <c r="T132" s="6">
        <f t="shared" si="30"/>
        <v>0</v>
      </c>
      <c r="V132" s="13" t="e">
        <f t="shared" si="25"/>
        <v>#REF!</v>
      </c>
      <c r="W132">
        <f t="shared" si="26"/>
        <v>0</v>
      </c>
      <c r="X132">
        <f t="shared" si="31"/>
        <v>0</v>
      </c>
      <c r="Y132" s="6">
        <f t="shared" si="32"/>
        <v>0</v>
      </c>
    </row>
    <row r="133" spans="1:25" x14ac:dyDescent="0.3">
      <c r="A133" t="str">
        <f>'rockfish harvests'!A136</f>
        <v>SC</v>
      </c>
      <c r="B133">
        <f>'rockfish harvests'!B136</f>
        <v>2007</v>
      </c>
      <c r="C133" t="str">
        <f>'rockfish harvests'!C136</f>
        <v>NG</v>
      </c>
      <c r="D133">
        <f>'rockfish harvests'!D136</f>
        <v>23861</v>
      </c>
      <c r="E133">
        <f>'YE harvest'!E137</f>
        <v>4118</v>
      </c>
      <c r="H133" s="13" t="e">
        <f>#REF!</f>
        <v>#REF!</v>
      </c>
      <c r="I133">
        <f t="shared" si="24"/>
        <v>0</v>
      </c>
      <c r="J133">
        <f t="shared" si="27"/>
        <v>0</v>
      </c>
      <c r="K133" s="6">
        <f t="shared" si="28"/>
        <v>0</v>
      </c>
      <c r="M133" s="2">
        <f>'rockfish harvests'!O136</f>
        <v>11799.959030574668</v>
      </c>
      <c r="N133">
        <f>'rockfish harvests'!P136</f>
        <v>8115487.2982604261</v>
      </c>
      <c r="Q133" s="13">
        <f t="shared" si="41"/>
        <v>0</v>
      </c>
      <c r="R133" s="14">
        <f t="shared" si="42"/>
        <v>0</v>
      </c>
      <c r="S133">
        <f t="shared" si="29"/>
        <v>0</v>
      </c>
      <c r="T133" s="6">
        <f t="shared" si="30"/>
        <v>0</v>
      </c>
      <c r="V133" s="13" t="e">
        <f t="shared" si="25"/>
        <v>#REF!</v>
      </c>
      <c r="W133">
        <f t="shared" si="26"/>
        <v>0</v>
      </c>
      <c r="X133">
        <f t="shared" si="31"/>
        <v>0</v>
      </c>
      <c r="Y133" s="6">
        <f t="shared" si="32"/>
        <v>0</v>
      </c>
    </row>
    <row r="134" spans="1:25" x14ac:dyDescent="0.3">
      <c r="A134" t="str">
        <f>'rockfish harvests'!A137</f>
        <v>SC</v>
      </c>
      <c r="B134">
        <f>'rockfish harvests'!B137</f>
        <v>2008</v>
      </c>
      <c r="C134" t="str">
        <f>'rockfish harvests'!C137</f>
        <v>NG</v>
      </c>
      <c r="D134">
        <f>'rockfish harvests'!D137</f>
        <v>25596</v>
      </c>
      <c r="E134">
        <f>'YE harvest'!E138</f>
        <v>4729</v>
      </c>
      <c r="H134" s="13" t="e">
        <f>#REF!</f>
        <v>#REF!</v>
      </c>
      <c r="I134">
        <f t="shared" si="24"/>
        <v>0</v>
      </c>
      <c r="J134">
        <f t="shared" si="27"/>
        <v>0</v>
      </c>
      <c r="K134" s="6">
        <f t="shared" si="28"/>
        <v>0</v>
      </c>
      <c r="M134" s="2">
        <f>'rockfish harvests'!O137</f>
        <v>12657.967031833927</v>
      </c>
      <c r="N134">
        <f>'rockfish harvests'!P137</f>
        <v>9338594.6288435515</v>
      </c>
      <c r="Q134" s="13">
        <f t="shared" si="41"/>
        <v>0</v>
      </c>
      <c r="R134" s="14">
        <f t="shared" si="42"/>
        <v>0</v>
      </c>
      <c r="S134">
        <f t="shared" si="29"/>
        <v>0</v>
      </c>
      <c r="T134" s="6">
        <f t="shared" si="30"/>
        <v>0</v>
      </c>
      <c r="V134" s="13" t="e">
        <f t="shared" si="25"/>
        <v>#REF!</v>
      </c>
      <c r="W134">
        <f t="shared" si="26"/>
        <v>0</v>
      </c>
      <c r="X134">
        <f t="shared" si="31"/>
        <v>0</v>
      </c>
      <c r="Y134" s="6">
        <f t="shared" si="32"/>
        <v>0</v>
      </c>
    </row>
    <row r="135" spans="1:25" x14ac:dyDescent="0.3">
      <c r="A135" t="str">
        <f>'rockfish harvests'!A138</f>
        <v>SC</v>
      </c>
      <c r="B135">
        <f>'rockfish harvests'!B138</f>
        <v>2009</v>
      </c>
      <c r="C135" t="str">
        <f>'rockfish harvests'!C138</f>
        <v>NG</v>
      </c>
      <c r="D135">
        <f>'rockfish harvests'!D138</f>
        <v>21909</v>
      </c>
      <c r="E135">
        <f>'YE harvest'!E139</f>
        <v>3321</v>
      </c>
      <c r="H135" s="13" t="e">
        <f>#REF!</f>
        <v>#REF!</v>
      </c>
      <c r="I135">
        <f t="shared" si="24"/>
        <v>0</v>
      </c>
      <c r="J135">
        <f t="shared" si="27"/>
        <v>0</v>
      </c>
      <c r="K135" s="6">
        <f t="shared" si="28"/>
        <v>0</v>
      </c>
      <c r="M135" s="2">
        <f>'rockfish harvests'!O138</f>
        <v>10834.638213019593</v>
      </c>
      <c r="N135">
        <f>'rockfish harvests'!P138</f>
        <v>6841989.9451254793</v>
      </c>
      <c r="Q135" s="13">
        <f t="shared" si="41"/>
        <v>0</v>
      </c>
      <c r="R135" s="14">
        <f t="shared" si="42"/>
        <v>0</v>
      </c>
      <c r="S135">
        <f t="shared" si="29"/>
        <v>0</v>
      </c>
      <c r="T135" s="6">
        <f t="shared" si="30"/>
        <v>0</v>
      </c>
      <c r="V135" s="13" t="e">
        <f t="shared" si="25"/>
        <v>#REF!</v>
      </c>
      <c r="W135">
        <f t="shared" si="26"/>
        <v>0</v>
      </c>
      <c r="X135">
        <f t="shared" si="31"/>
        <v>0</v>
      </c>
      <c r="Y135" s="6">
        <f t="shared" si="32"/>
        <v>0</v>
      </c>
    </row>
    <row r="136" spans="1:25" x14ac:dyDescent="0.3">
      <c r="A136" t="str">
        <f>'rockfish harvests'!A139</f>
        <v>SC</v>
      </c>
      <c r="B136">
        <f>'rockfish harvests'!B139</f>
        <v>2010</v>
      </c>
      <c r="C136" t="str">
        <f>'rockfish harvests'!C139</f>
        <v>NG</v>
      </c>
      <c r="D136">
        <f>'rockfish harvests'!D139</f>
        <v>27027</v>
      </c>
      <c r="E136">
        <f>'YE harvest'!E140</f>
        <v>6189</v>
      </c>
      <c r="H136" s="13" t="e">
        <f>#REF!</f>
        <v>#REF!</v>
      </c>
      <c r="I136">
        <f t="shared" si="24"/>
        <v>0</v>
      </c>
      <c r="J136">
        <f t="shared" si="27"/>
        <v>0</v>
      </c>
      <c r="K136" s="6">
        <f t="shared" si="28"/>
        <v>0</v>
      </c>
      <c r="M136" s="2">
        <f>'rockfish harvests'!O139</f>
        <v>13365.638184457552</v>
      </c>
      <c r="N136">
        <f>'rockfish harvests'!P139</f>
        <v>10411972.30311189</v>
      </c>
      <c r="Q136" s="13">
        <f t="shared" si="41"/>
        <v>0</v>
      </c>
      <c r="R136" s="14">
        <f t="shared" si="42"/>
        <v>0</v>
      </c>
      <c r="S136">
        <f t="shared" si="29"/>
        <v>0</v>
      </c>
      <c r="T136" s="6">
        <f t="shared" si="30"/>
        <v>0</v>
      </c>
      <c r="V136" s="13" t="e">
        <f t="shared" si="25"/>
        <v>#REF!</v>
      </c>
      <c r="W136">
        <f t="shared" si="26"/>
        <v>0</v>
      </c>
      <c r="X136">
        <f t="shared" si="31"/>
        <v>0</v>
      </c>
      <c r="Y136" s="6">
        <f t="shared" si="32"/>
        <v>0</v>
      </c>
    </row>
    <row r="137" spans="1:25" x14ac:dyDescent="0.3">
      <c r="A137" t="str">
        <f>'rockfish harvests'!A140</f>
        <v>SC</v>
      </c>
      <c r="B137">
        <f>'rockfish harvests'!B140</f>
        <v>2011</v>
      </c>
      <c r="C137" t="str">
        <f>'rockfish harvests'!C140</f>
        <v>NG</v>
      </c>
      <c r="D137">
        <f>'rockfish harvests'!D140</f>
        <v>30322</v>
      </c>
      <c r="E137">
        <f>'YE harvest'!E141</f>
        <v>5609</v>
      </c>
      <c r="H137" s="13" t="e">
        <f>#REF!</f>
        <v>#REF!</v>
      </c>
      <c r="I137">
        <f t="shared" si="24"/>
        <v>0</v>
      </c>
      <c r="J137">
        <f t="shared" si="27"/>
        <v>0</v>
      </c>
      <c r="K137" s="6">
        <f t="shared" si="28"/>
        <v>0</v>
      </c>
      <c r="M137" s="2">
        <f>'rockfish harvests'!O140</f>
        <v>21882.405010282295</v>
      </c>
      <c r="N137">
        <f>'rockfish harvests'!P140</f>
        <v>8183614.275682712</v>
      </c>
      <c r="Q137" s="13">
        <f t="shared" si="41"/>
        <v>0</v>
      </c>
      <c r="R137" s="14">
        <f t="shared" si="42"/>
        <v>0</v>
      </c>
      <c r="S137">
        <f t="shared" si="29"/>
        <v>0</v>
      </c>
      <c r="T137" s="6">
        <f t="shared" si="30"/>
        <v>0</v>
      </c>
      <c r="V137" s="13" t="e">
        <f t="shared" si="25"/>
        <v>#REF!</v>
      </c>
      <c r="W137">
        <f t="shared" si="26"/>
        <v>0</v>
      </c>
      <c r="X137">
        <f t="shared" si="31"/>
        <v>0</v>
      </c>
      <c r="Y137" s="6">
        <f t="shared" si="32"/>
        <v>0</v>
      </c>
    </row>
    <row r="138" spans="1:25" x14ac:dyDescent="0.3">
      <c r="A138" t="str">
        <f>'rockfish harvests'!A141</f>
        <v>SC</v>
      </c>
      <c r="B138">
        <f>'rockfish harvests'!B141</f>
        <v>2012</v>
      </c>
      <c r="C138" t="str">
        <f>'rockfish harvests'!C141</f>
        <v>NG</v>
      </c>
      <c r="D138">
        <f>'rockfish harvests'!D141</f>
        <v>27771</v>
      </c>
      <c r="E138">
        <f>'YE harvest'!E142</f>
        <v>5715</v>
      </c>
      <c r="H138" s="13" t="e">
        <f>#REF!</f>
        <v>#REF!</v>
      </c>
      <c r="I138">
        <f t="shared" si="24"/>
        <v>0</v>
      </c>
      <c r="J138">
        <f t="shared" si="27"/>
        <v>0</v>
      </c>
      <c r="K138" s="6">
        <f t="shared" si="28"/>
        <v>0</v>
      </c>
      <c r="M138" s="2">
        <f>'rockfish harvests'!O141</f>
        <v>13248.802237331009</v>
      </c>
      <c r="N138">
        <f>'rockfish harvests'!P141</f>
        <v>2524598.6215632036</v>
      </c>
      <c r="Q138" s="13">
        <f t="shared" si="41"/>
        <v>0</v>
      </c>
      <c r="R138" s="14">
        <f t="shared" si="42"/>
        <v>0</v>
      </c>
      <c r="S138">
        <f t="shared" si="29"/>
        <v>0</v>
      </c>
      <c r="T138" s="6">
        <f t="shared" si="30"/>
        <v>0</v>
      </c>
      <c r="V138" s="13" t="e">
        <f t="shared" si="25"/>
        <v>#REF!</v>
      </c>
      <c r="W138">
        <f t="shared" si="26"/>
        <v>0</v>
      </c>
      <c r="X138">
        <f t="shared" si="31"/>
        <v>0</v>
      </c>
      <c r="Y138" s="6">
        <f t="shared" si="32"/>
        <v>0</v>
      </c>
    </row>
    <row r="139" spans="1:25" x14ac:dyDescent="0.3">
      <c r="A139" t="str">
        <f>'rockfish harvests'!A142</f>
        <v>SC</v>
      </c>
      <c r="B139">
        <f>'rockfish harvests'!B142</f>
        <v>2013</v>
      </c>
      <c r="C139" t="str">
        <f>'rockfish harvests'!C142</f>
        <v>NG</v>
      </c>
      <c r="D139">
        <f>'rockfish harvests'!D142</f>
        <v>30558</v>
      </c>
      <c r="E139">
        <f>'YE harvest'!E143</f>
        <v>5301</v>
      </c>
      <c r="H139" s="13" t="e">
        <f>#REF!</f>
        <v>#REF!</v>
      </c>
      <c r="I139">
        <f t="shared" si="24"/>
        <v>0</v>
      </c>
      <c r="J139">
        <f t="shared" si="27"/>
        <v>0</v>
      </c>
      <c r="K139" s="6">
        <f t="shared" si="28"/>
        <v>0</v>
      </c>
      <c r="M139" s="2">
        <f>'rockfish harvests'!O142</f>
        <v>17157.239835728957</v>
      </c>
      <c r="N139">
        <f>'rockfish harvests'!P142</f>
        <v>3987660.0085104108</v>
      </c>
      <c r="Q139" s="13">
        <f t="shared" si="41"/>
        <v>0</v>
      </c>
      <c r="R139" s="14">
        <f t="shared" si="42"/>
        <v>0</v>
      </c>
      <c r="S139">
        <f t="shared" si="29"/>
        <v>0</v>
      </c>
      <c r="T139" s="6">
        <f t="shared" si="30"/>
        <v>0</v>
      </c>
      <c r="V139" s="13" t="e">
        <f t="shared" si="25"/>
        <v>#REF!</v>
      </c>
      <c r="W139">
        <f t="shared" si="26"/>
        <v>0</v>
      </c>
      <c r="X139">
        <f t="shared" si="31"/>
        <v>0</v>
      </c>
      <c r="Y139" s="6">
        <f t="shared" si="32"/>
        <v>0</v>
      </c>
    </row>
    <row r="140" spans="1:25" x14ac:dyDescent="0.3">
      <c r="A140" t="str">
        <f>'rockfish harvests'!A143</f>
        <v>SC</v>
      </c>
      <c r="B140">
        <f>'rockfish harvests'!B143</f>
        <v>2014</v>
      </c>
      <c r="C140" t="str">
        <f>'rockfish harvests'!C143</f>
        <v>NG</v>
      </c>
      <c r="D140">
        <f>'rockfish harvests'!D143</f>
        <v>37025</v>
      </c>
      <c r="E140">
        <f>'YE harvest'!E144</f>
        <v>5089</v>
      </c>
      <c r="H140" s="13" t="e">
        <f>#REF!</f>
        <v>#REF!</v>
      </c>
      <c r="I140">
        <f t="shared" si="24"/>
        <v>0</v>
      </c>
      <c r="J140">
        <f t="shared" si="27"/>
        <v>0</v>
      </c>
      <c r="K140" s="6">
        <f t="shared" si="28"/>
        <v>0</v>
      </c>
      <c r="M140" s="2">
        <f>'rockfish harvests'!O143</f>
        <v>21744.197040285006</v>
      </c>
      <c r="N140">
        <f>'rockfish harvests'!P143</f>
        <v>6732768.2681420343</v>
      </c>
      <c r="Q140" s="13">
        <f t="shared" si="41"/>
        <v>0</v>
      </c>
      <c r="R140" s="14">
        <f t="shared" si="42"/>
        <v>0</v>
      </c>
      <c r="S140">
        <f t="shared" si="29"/>
        <v>0</v>
      </c>
      <c r="T140" s="6">
        <f t="shared" si="30"/>
        <v>0</v>
      </c>
      <c r="V140" s="13" t="e">
        <f t="shared" si="25"/>
        <v>#REF!</v>
      </c>
      <c r="W140">
        <f t="shared" si="26"/>
        <v>0</v>
      </c>
      <c r="X140">
        <f t="shared" si="31"/>
        <v>0</v>
      </c>
      <c r="Y140" s="6">
        <f t="shared" si="32"/>
        <v>0</v>
      </c>
    </row>
    <row r="141" spans="1:25" x14ac:dyDescent="0.3">
      <c r="A141" t="str">
        <f>'rockfish harvests'!A144</f>
        <v>SC</v>
      </c>
      <c r="B141">
        <f>'rockfish harvests'!B144</f>
        <v>2015</v>
      </c>
      <c r="C141" t="str">
        <f>'rockfish harvests'!C144</f>
        <v>NG</v>
      </c>
      <c r="D141">
        <f>'rockfish harvests'!D144</f>
        <v>45883</v>
      </c>
      <c r="E141">
        <f>'YE harvest'!E145</f>
        <v>6139</v>
      </c>
      <c r="H141" s="13" t="e">
        <f>#REF!</f>
        <v>#REF!</v>
      </c>
      <c r="I141">
        <f t="shared" si="24"/>
        <v>0</v>
      </c>
      <c r="J141">
        <f t="shared" si="27"/>
        <v>0</v>
      </c>
      <c r="K141" s="6">
        <f t="shared" si="28"/>
        <v>0</v>
      </c>
      <c r="M141" s="2">
        <f>'rockfish harvests'!O144</f>
        <v>24091.13981323161</v>
      </c>
      <c r="N141">
        <f>'rockfish harvests'!P144</f>
        <v>7216831.4803412473</v>
      </c>
      <c r="Q141" s="13">
        <f t="shared" si="41"/>
        <v>0</v>
      </c>
      <c r="R141" s="14">
        <f t="shared" si="42"/>
        <v>0</v>
      </c>
      <c r="S141">
        <f t="shared" si="29"/>
        <v>0</v>
      </c>
      <c r="T141" s="6">
        <f t="shared" si="30"/>
        <v>0</v>
      </c>
      <c r="V141" s="13" t="e">
        <f t="shared" si="25"/>
        <v>#REF!</v>
      </c>
      <c r="W141">
        <f t="shared" si="26"/>
        <v>0</v>
      </c>
      <c r="X141">
        <f t="shared" si="31"/>
        <v>0</v>
      </c>
      <c r="Y141" s="6">
        <f t="shared" si="32"/>
        <v>0</v>
      </c>
    </row>
    <row r="142" spans="1:25" x14ac:dyDescent="0.3">
      <c r="A142" t="str">
        <f>'rockfish harvests'!A145</f>
        <v>SC</v>
      </c>
      <c r="B142">
        <f>'rockfish harvests'!B145</f>
        <v>2016</v>
      </c>
      <c r="C142" t="str">
        <f>'rockfish harvests'!C145</f>
        <v>NG</v>
      </c>
      <c r="D142">
        <f>'rockfish harvests'!D145</f>
        <v>56991</v>
      </c>
      <c r="E142">
        <f>'YE harvest'!E146</f>
        <v>7838</v>
      </c>
      <c r="H142" s="13" t="e">
        <f>#REF!</f>
        <v>#REF!</v>
      </c>
      <c r="I142">
        <f t="shared" si="24"/>
        <v>0</v>
      </c>
      <c r="J142">
        <f t="shared" si="27"/>
        <v>0</v>
      </c>
      <c r="K142" s="6">
        <f t="shared" si="28"/>
        <v>0</v>
      </c>
      <c r="M142" s="2">
        <f>'rockfish harvests'!O145</f>
        <v>21657.041703490948</v>
      </c>
      <c r="N142">
        <f>'rockfish harvests'!P145</f>
        <v>6461271.9983784193</v>
      </c>
      <c r="Q142" s="13">
        <f t="shared" si="41"/>
        <v>0</v>
      </c>
      <c r="R142" s="14">
        <f t="shared" si="42"/>
        <v>0</v>
      </c>
      <c r="S142">
        <f t="shared" si="29"/>
        <v>0</v>
      </c>
      <c r="T142" s="6">
        <f t="shared" si="30"/>
        <v>0</v>
      </c>
      <c r="V142" s="13" t="e">
        <f t="shared" si="25"/>
        <v>#REF!</v>
      </c>
      <c r="W142">
        <f t="shared" si="26"/>
        <v>0</v>
      </c>
      <c r="X142">
        <f t="shared" si="31"/>
        <v>0</v>
      </c>
      <c r="Y142" s="6">
        <f t="shared" si="32"/>
        <v>0</v>
      </c>
    </row>
    <row r="143" spans="1:25" x14ac:dyDescent="0.3">
      <c r="A143" t="str">
        <f>'rockfish harvests'!A146</f>
        <v>SC</v>
      </c>
      <c r="B143">
        <f>'rockfish harvests'!B146</f>
        <v>2017</v>
      </c>
      <c r="C143" t="str">
        <f>'rockfish harvests'!C146</f>
        <v>NG</v>
      </c>
      <c r="D143">
        <f>'rockfish harvests'!D146</f>
        <v>38626</v>
      </c>
      <c r="E143">
        <f>'YE harvest'!E147</f>
        <v>6291</v>
      </c>
      <c r="H143" s="13" t="e">
        <f>#REF!</f>
        <v>#REF!</v>
      </c>
      <c r="I143">
        <f t="shared" si="24"/>
        <v>0</v>
      </c>
      <c r="J143">
        <f t="shared" si="27"/>
        <v>0</v>
      </c>
      <c r="K143" s="6">
        <f t="shared" si="28"/>
        <v>0</v>
      </c>
      <c r="M143" s="2">
        <f>'rockfish harvests'!O146</f>
        <v>15237.511532831981</v>
      </c>
      <c r="N143">
        <f>'rockfish harvests'!P146</f>
        <v>3824430.6766507281</v>
      </c>
      <c r="Q143" s="13">
        <f t="shared" si="41"/>
        <v>0</v>
      </c>
      <c r="R143" s="14">
        <f t="shared" si="42"/>
        <v>0</v>
      </c>
      <c r="S143">
        <f t="shared" si="29"/>
        <v>0</v>
      </c>
      <c r="T143" s="6">
        <f t="shared" si="30"/>
        <v>0</v>
      </c>
      <c r="V143" s="13" t="e">
        <f t="shared" si="25"/>
        <v>#REF!</v>
      </c>
      <c r="W143">
        <f t="shared" si="26"/>
        <v>0</v>
      </c>
      <c r="X143">
        <f t="shared" si="31"/>
        <v>0</v>
      </c>
      <c r="Y143" s="6">
        <f t="shared" si="32"/>
        <v>0</v>
      </c>
    </row>
    <row r="144" spans="1:25" x14ac:dyDescent="0.3">
      <c r="A144" t="str">
        <f>'rockfish harvests'!A147</f>
        <v>SC</v>
      </c>
      <c r="B144">
        <f>'rockfish harvests'!B147</f>
        <v>2018</v>
      </c>
      <c r="C144" t="str">
        <f>'rockfish harvests'!C147</f>
        <v>NG</v>
      </c>
      <c r="D144">
        <f>'rockfish harvests'!D147</f>
        <v>50115</v>
      </c>
      <c r="E144">
        <f>'YE harvest'!E148</f>
        <v>8269</v>
      </c>
      <c r="H144" s="13" t="e">
        <f>#REF!</f>
        <v>#REF!</v>
      </c>
      <c r="I144">
        <f t="shared" si="24"/>
        <v>0</v>
      </c>
      <c r="J144">
        <f t="shared" si="27"/>
        <v>0</v>
      </c>
      <c r="K144" s="6">
        <f t="shared" si="28"/>
        <v>0</v>
      </c>
      <c r="M144" s="2">
        <f>'rockfish harvests'!O147</f>
        <v>18807.337515014005</v>
      </c>
      <c r="N144">
        <f>'rockfish harvests'!P147</f>
        <v>5909265.1225642972</v>
      </c>
      <c r="Q144" s="13">
        <f t="shared" si="41"/>
        <v>0</v>
      </c>
      <c r="R144" s="14">
        <f t="shared" si="42"/>
        <v>0</v>
      </c>
      <c r="S144">
        <f t="shared" si="29"/>
        <v>0</v>
      </c>
      <c r="T144" s="6">
        <f t="shared" si="30"/>
        <v>0</v>
      </c>
      <c r="V144" s="13" t="e">
        <f t="shared" si="25"/>
        <v>#REF!</v>
      </c>
      <c r="W144">
        <f t="shared" si="26"/>
        <v>0</v>
      </c>
      <c r="X144">
        <f t="shared" si="31"/>
        <v>0</v>
      </c>
      <c r="Y144" s="6">
        <f t="shared" si="32"/>
        <v>0</v>
      </c>
    </row>
    <row r="145" spans="1:25" x14ac:dyDescent="0.3">
      <c r="A145" t="str">
        <f>'rockfish harvests'!A148</f>
        <v>SC</v>
      </c>
      <c r="B145">
        <f>'rockfish harvests'!B148</f>
        <v>2019</v>
      </c>
      <c r="C145" t="str">
        <f>'rockfish harvests'!C148</f>
        <v>NG</v>
      </c>
      <c r="D145">
        <f>'rockfish harvests'!D148</f>
        <v>64565</v>
      </c>
      <c r="E145">
        <f>'YE harvest'!E149</f>
        <v>9526</v>
      </c>
      <c r="I145">
        <f t="shared" ref="I145:I146" si="43">(E145^2)*G145</f>
        <v>0</v>
      </c>
      <c r="J145">
        <f t="shared" ref="J145:J146" si="44">SQRT(I145)</f>
        <v>0</v>
      </c>
      <c r="K145" s="6">
        <f t="shared" ref="K145:K146" si="45">(1.96*J145)</f>
        <v>0</v>
      </c>
      <c r="M145" s="2">
        <f>'rockfish harvests'!O148</f>
        <v>30264.472570734768</v>
      </c>
      <c r="N145">
        <f>'rockfish harvests'!P148</f>
        <v>14426596.252648354</v>
      </c>
      <c r="R145" s="14"/>
      <c r="S145"/>
      <c r="T145" s="6"/>
      <c r="Y145" s="6"/>
    </row>
    <row r="146" spans="1:25" x14ac:dyDescent="0.3">
      <c r="A146" t="str">
        <f>'rockfish harvests'!A149</f>
        <v>SC</v>
      </c>
      <c r="B146">
        <f>'rockfish harvests'!B149</f>
        <v>2020</v>
      </c>
      <c r="C146" t="str">
        <f>'rockfish harvests'!C149</f>
        <v>NG</v>
      </c>
      <c r="D146">
        <f>'rockfish harvests'!D149</f>
        <v>43363</v>
      </c>
      <c r="E146">
        <f>'YE harvest'!E150</f>
        <v>6211</v>
      </c>
      <c r="I146">
        <f t="shared" si="43"/>
        <v>0</v>
      </c>
      <c r="J146">
        <f t="shared" si="44"/>
        <v>0</v>
      </c>
      <c r="K146" s="6">
        <f t="shared" si="45"/>
        <v>0</v>
      </c>
      <c r="M146" s="2">
        <f>'rockfish harvests'!O149</f>
        <v>14406.767557261875</v>
      </c>
      <c r="N146">
        <f>'rockfish harvests'!P149</f>
        <v>3787465.8304927479</v>
      </c>
      <c r="R146" s="14"/>
      <c r="S146"/>
      <c r="T146" s="6"/>
      <c r="Y146" s="6"/>
    </row>
    <row r="147" spans="1:25" x14ac:dyDescent="0.3">
      <c r="A147" t="str">
        <f>'rockfish harvests'!A150</f>
        <v>SC</v>
      </c>
      <c r="B147">
        <f>'rockfish harvests'!B150</f>
        <v>2021</v>
      </c>
      <c r="C147" t="str">
        <f>'rockfish harvests'!C150</f>
        <v>NG</v>
      </c>
      <c r="D147">
        <f>'rockfish harvests'!D150</f>
        <v>83097</v>
      </c>
      <c r="E147">
        <f>'YE harvest'!E151</f>
        <v>9825</v>
      </c>
      <c r="K147" s="6"/>
      <c r="M147" s="2">
        <f>'rockfish harvests'!O150</f>
        <v>24593.025482509038</v>
      </c>
      <c r="N147">
        <f>'rockfish harvests'!P150</f>
        <v>11012636.577756885</v>
      </c>
      <c r="R147" s="14"/>
      <c r="S147"/>
      <c r="T147" s="6"/>
      <c r="Y147" s="6"/>
    </row>
    <row r="148" spans="1:25" x14ac:dyDescent="0.3">
      <c r="A148" t="str">
        <f>'rockfish harvests'!A152</f>
        <v>SC</v>
      </c>
      <c r="B148">
        <f>'rockfish harvests'!B152</f>
        <v>1998</v>
      </c>
      <c r="C148" t="str">
        <f>'rockfish harvests'!C152</f>
        <v>NORTHEAS</v>
      </c>
      <c r="D148">
        <f>'rockfish harvests'!D152</f>
        <v>1488</v>
      </c>
      <c r="E148">
        <f>'YE harvest'!E153</f>
        <v>511</v>
      </c>
      <c r="F148" s="38"/>
      <c r="G148" s="39"/>
      <c r="H148" s="13">
        <f t="shared" ref="H148:H155" si="46">E148*F148</f>
        <v>0</v>
      </c>
      <c r="I148">
        <f t="shared" si="24"/>
        <v>0</v>
      </c>
      <c r="J148">
        <f t="shared" si="27"/>
        <v>0</v>
      </c>
      <c r="K148" s="6">
        <f t="shared" si="28"/>
        <v>0</v>
      </c>
      <c r="M148" s="2">
        <f>'rockfish harvests'!O152</f>
        <v>1158.751507803267</v>
      </c>
      <c r="N148">
        <f>'rockfish harvests'!P152</f>
        <v>130721.74657888399</v>
      </c>
      <c r="Q148" s="13">
        <f t="shared" si="41"/>
        <v>0</v>
      </c>
      <c r="R148" s="14">
        <f t="shared" si="42"/>
        <v>0</v>
      </c>
      <c r="S148">
        <f t="shared" si="29"/>
        <v>0</v>
      </c>
      <c r="T148" s="6">
        <f t="shared" si="30"/>
        <v>0</v>
      </c>
      <c r="V148" s="13">
        <f t="shared" si="25"/>
        <v>0</v>
      </c>
      <c r="W148">
        <f t="shared" si="26"/>
        <v>0</v>
      </c>
      <c r="X148">
        <f t="shared" si="31"/>
        <v>0</v>
      </c>
      <c r="Y148" s="6">
        <f t="shared" si="32"/>
        <v>0</v>
      </c>
    </row>
    <row r="149" spans="1:25" x14ac:dyDescent="0.3">
      <c r="A149" t="str">
        <f>'rockfish harvests'!A153</f>
        <v>SC</v>
      </c>
      <c r="B149">
        <f>'rockfish harvests'!B153</f>
        <v>1999</v>
      </c>
      <c r="C149" t="str">
        <f>'rockfish harvests'!C153</f>
        <v>NORTHEAS</v>
      </c>
      <c r="D149">
        <f>'rockfish harvests'!D153</f>
        <v>1866</v>
      </c>
      <c r="E149">
        <f>'YE harvest'!E154</f>
        <v>177</v>
      </c>
      <c r="F149" s="38"/>
      <c r="G149" s="39"/>
      <c r="H149" s="13">
        <f t="shared" si="46"/>
        <v>0</v>
      </c>
      <c r="I149">
        <f t="shared" si="24"/>
        <v>0</v>
      </c>
      <c r="J149">
        <f t="shared" si="27"/>
        <v>0</v>
      </c>
      <c r="K149" s="6">
        <f t="shared" si="28"/>
        <v>0</v>
      </c>
      <c r="M149" s="2">
        <f>'rockfish harvests'!O153</f>
        <v>1453.1117698661938</v>
      </c>
      <c r="N149">
        <f>'rockfish harvests'!P153</f>
        <v>205572.61399024838</v>
      </c>
      <c r="Q149" s="13">
        <f t="shared" si="41"/>
        <v>0</v>
      </c>
      <c r="R149" s="14">
        <f t="shared" si="42"/>
        <v>0</v>
      </c>
      <c r="S149">
        <f t="shared" si="29"/>
        <v>0</v>
      </c>
      <c r="T149" s="6">
        <f t="shared" si="30"/>
        <v>0</v>
      </c>
      <c r="V149" s="13">
        <f t="shared" si="25"/>
        <v>0</v>
      </c>
      <c r="W149">
        <f t="shared" si="26"/>
        <v>0</v>
      </c>
      <c r="X149">
        <f t="shared" si="31"/>
        <v>0</v>
      </c>
      <c r="Y149" s="6">
        <f t="shared" si="32"/>
        <v>0</v>
      </c>
    </row>
    <row r="150" spans="1:25" x14ac:dyDescent="0.3">
      <c r="A150" t="str">
        <f>'rockfish harvests'!A154</f>
        <v>SC</v>
      </c>
      <c r="B150">
        <f>'rockfish harvests'!B154</f>
        <v>2000</v>
      </c>
      <c r="C150" t="str">
        <f>'rockfish harvests'!C154</f>
        <v>NORTHEAS</v>
      </c>
      <c r="D150">
        <f>'rockfish harvests'!D154</f>
        <v>2115</v>
      </c>
      <c r="E150">
        <f>'YE harvest'!E155</f>
        <v>250</v>
      </c>
      <c r="F150" s="38"/>
      <c r="G150" s="39"/>
      <c r="H150" s="13">
        <f t="shared" si="46"/>
        <v>0</v>
      </c>
      <c r="I150">
        <f t="shared" ref="I150:I222" si="47">(E150^2)*G150</f>
        <v>0</v>
      </c>
      <c r="J150">
        <f t="shared" si="27"/>
        <v>0</v>
      </c>
      <c r="K150" s="6">
        <f t="shared" si="28"/>
        <v>0</v>
      </c>
      <c r="M150" s="2">
        <f>'rockfish harvests'!O154</f>
        <v>1647.0157520187568</v>
      </c>
      <c r="N150">
        <f>'rockfish harvests'!P154</f>
        <v>264096.54694560438</v>
      </c>
      <c r="Q150" s="13">
        <f t="shared" si="41"/>
        <v>0</v>
      </c>
      <c r="R150" s="14">
        <f t="shared" si="42"/>
        <v>0</v>
      </c>
      <c r="S150">
        <f t="shared" si="29"/>
        <v>0</v>
      </c>
      <c r="T150" s="6">
        <f t="shared" si="30"/>
        <v>0</v>
      </c>
      <c r="V150" s="13">
        <f t="shared" ref="V150:V222" si="48">Q150+H150</f>
        <v>0</v>
      </c>
      <c r="W150">
        <f t="shared" ref="W150:W222" si="49">R150+I150</f>
        <v>0</v>
      </c>
      <c r="X150">
        <f t="shared" si="31"/>
        <v>0</v>
      </c>
      <c r="Y150" s="6">
        <f t="shared" si="32"/>
        <v>0</v>
      </c>
    </row>
    <row r="151" spans="1:25" x14ac:dyDescent="0.3">
      <c r="A151" t="str">
        <f>'rockfish harvests'!A155</f>
        <v>SC</v>
      </c>
      <c r="B151">
        <f>'rockfish harvests'!B155</f>
        <v>2001</v>
      </c>
      <c r="C151" t="str">
        <f>'rockfish harvests'!C155</f>
        <v>NORTHEAS</v>
      </c>
      <c r="D151">
        <f>'rockfish harvests'!D155</f>
        <v>2081</v>
      </c>
      <c r="E151">
        <f>'YE harvest'!E156</f>
        <v>227</v>
      </c>
      <c r="F151" s="38"/>
      <c r="G151" s="39"/>
      <c r="H151" s="13">
        <f t="shared" si="46"/>
        <v>0</v>
      </c>
      <c r="I151">
        <f t="shared" si="47"/>
        <v>0</v>
      </c>
      <c r="J151">
        <f t="shared" ref="J151:J223" si="50">SQRT(I151)</f>
        <v>0</v>
      </c>
      <c r="K151" s="6">
        <f t="shared" ref="K151:K223" si="51">(1.96*J151)</f>
        <v>0</v>
      </c>
      <c r="M151" s="2">
        <f>'rockfish harvests'!O155</f>
        <v>1620.5389030501337</v>
      </c>
      <c r="N151">
        <f>'rockfish harvests'!P155</f>
        <v>255673.74912670467</v>
      </c>
      <c r="Q151" s="13">
        <f t="shared" si="41"/>
        <v>0</v>
      </c>
      <c r="R151" s="14">
        <f t="shared" si="42"/>
        <v>0</v>
      </c>
      <c r="S151">
        <f t="shared" ref="S151:S223" si="52">SQRT(R151)</f>
        <v>0</v>
      </c>
      <c r="T151" s="6">
        <f t="shared" ref="T151:T223" si="53">(1.96*S151)</f>
        <v>0</v>
      </c>
      <c r="V151" s="13">
        <f t="shared" si="48"/>
        <v>0</v>
      </c>
      <c r="W151">
        <f t="shared" si="49"/>
        <v>0</v>
      </c>
      <c r="X151">
        <f t="shared" ref="X151:X223" si="54">SQRT(W151)</f>
        <v>0</v>
      </c>
      <c r="Y151" s="6">
        <f t="shared" ref="Y151:Y223" si="55">(1.96*X151)</f>
        <v>0</v>
      </c>
    </row>
    <row r="152" spans="1:25" x14ac:dyDescent="0.3">
      <c r="A152" t="str">
        <f>'rockfish harvests'!A156</f>
        <v>SC</v>
      </c>
      <c r="B152">
        <f>'rockfish harvests'!B156</f>
        <v>2002</v>
      </c>
      <c r="C152" t="str">
        <f>'rockfish harvests'!C156</f>
        <v>NORTHEAS</v>
      </c>
      <c r="D152">
        <f>'rockfish harvests'!D156</f>
        <v>2262</v>
      </c>
      <c r="E152">
        <f>'YE harvest'!E157</f>
        <v>210</v>
      </c>
      <c r="F152" s="38"/>
      <c r="G152" s="39"/>
      <c r="H152" s="13">
        <f t="shared" si="46"/>
        <v>0</v>
      </c>
      <c r="I152">
        <f t="shared" si="47"/>
        <v>0</v>
      </c>
      <c r="J152">
        <f t="shared" si="50"/>
        <v>0</v>
      </c>
      <c r="K152" s="6">
        <f t="shared" si="51"/>
        <v>0</v>
      </c>
      <c r="M152" s="2">
        <f>'rockfish harvests'!O156</f>
        <v>1761.4891872654503</v>
      </c>
      <c r="N152">
        <f>'rockfish harvests'!P156</f>
        <v>302083.62252065231</v>
      </c>
      <c r="Q152" s="13">
        <f t="shared" si="41"/>
        <v>0</v>
      </c>
      <c r="R152" s="14">
        <f t="shared" si="42"/>
        <v>0</v>
      </c>
      <c r="S152">
        <f t="shared" si="52"/>
        <v>0</v>
      </c>
      <c r="T152" s="6">
        <f t="shared" si="53"/>
        <v>0</v>
      </c>
      <c r="V152" s="13">
        <f t="shared" si="48"/>
        <v>0</v>
      </c>
      <c r="W152">
        <f t="shared" si="49"/>
        <v>0</v>
      </c>
      <c r="X152">
        <f t="shared" si="54"/>
        <v>0</v>
      </c>
      <c r="Y152" s="6">
        <f t="shared" si="55"/>
        <v>0</v>
      </c>
    </row>
    <row r="153" spans="1:25" x14ac:dyDescent="0.3">
      <c r="A153" t="str">
        <f>'rockfish harvests'!A157</f>
        <v>SC</v>
      </c>
      <c r="B153">
        <f>'rockfish harvests'!B157</f>
        <v>2003</v>
      </c>
      <c r="C153" t="str">
        <f>'rockfish harvests'!C157</f>
        <v>NORTHEAS</v>
      </c>
      <c r="D153">
        <f>'rockfish harvests'!D157</f>
        <v>2743</v>
      </c>
      <c r="E153">
        <f>'YE harvest'!E158</f>
        <v>266</v>
      </c>
      <c r="F153" s="38"/>
      <c r="G153" s="39"/>
      <c r="H153" s="13">
        <f t="shared" si="46"/>
        <v>0</v>
      </c>
      <c r="I153">
        <f t="shared" si="47"/>
        <v>0</v>
      </c>
      <c r="J153">
        <f t="shared" si="50"/>
        <v>0</v>
      </c>
      <c r="K153" s="6">
        <f t="shared" si="51"/>
        <v>0</v>
      </c>
      <c r="M153" s="2">
        <f>'rockfish harvests'!O157</f>
        <v>2136.0587270862643</v>
      </c>
      <c r="N153">
        <f>'rockfish harvests'!P157</f>
        <v>444215.38374428463</v>
      </c>
      <c r="Q153" s="13">
        <f t="shared" si="41"/>
        <v>0</v>
      </c>
      <c r="R153" s="14">
        <f t="shared" si="42"/>
        <v>0</v>
      </c>
      <c r="S153">
        <f t="shared" si="52"/>
        <v>0</v>
      </c>
      <c r="T153" s="6">
        <f t="shared" si="53"/>
        <v>0</v>
      </c>
      <c r="V153" s="13">
        <f t="shared" si="48"/>
        <v>0</v>
      </c>
      <c r="W153">
        <f t="shared" si="49"/>
        <v>0</v>
      </c>
      <c r="X153">
        <f t="shared" si="54"/>
        <v>0</v>
      </c>
      <c r="Y153" s="6">
        <f t="shared" si="55"/>
        <v>0</v>
      </c>
    </row>
    <row r="154" spans="1:25" x14ac:dyDescent="0.3">
      <c r="A154" t="str">
        <f>'rockfish harvests'!A158</f>
        <v>SC</v>
      </c>
      <c r="B154">
        <f>'rockfish harvests'!B158</f>
        <v>2004</v>
      </c>
      <c r="C154" t="str">
        <f>'rockfish harvests'!C158</f>
        <v>NORTHEAS</v>
      </c>
      <c r="D154">
        <f>'rockfish harvests'!D158</f>
        <v>3291</v>
      </c>
      <c r="E154">
        <f>'YE harvest'!E159</f>
        <v>223</v>
      </c>
      <c r="F154" s="38"/>
      <c r="G154" s="39"/>
      <c r="H154" s="13">
        <f t="shared" si="46"/>
        <v>0</v>
      </c>
      <c r="I154">
        <f t="shared" si="47"/>
        <v>0</v>
      </c>
      <c r="J154">
        <f t="shared" si="50"/>
        <v>0</v>
      </c>
      <c r="K154" s="6">
        <f t="shared" si="51"/>
        <v>0</v>
      </c>
      <c r="M154" s="2">
        <f>'rockfish harvests'!O158</f>
        <v>2562.8032339923066</v>
      </c>
      <c r="N154">
        <f>'rockfish harvests'!P158</f>
        <v>639436.97291537211</v>
      </c>
      <c r="Q154" s="13">
        <f t="shared" si="41"/>
        <v>0</v>
      </c>
      <c r="R154" s="14">
        <f t="shared" si="42"/>
        <v>0</v>
      </c>
      <c r="S154">
        <f t="shared" si="52"/>
        <v>0</v>
      </c>
      <c r="T154" s="6">
        <f t="shared" si="53"/>
        <v>0</v>
      </c>
      <c r="V154" s="13">
        <f t="shared" si="48"/>
        <v>0</v>
      </c>
      <c r="W154">
        <f t="shared" si="49"/>
        <v>0</v>
      </c>
      <c r="X154">
        <f t="shared" si="54"/>
        <v>0</v>
      </c>
      <c r="Y154" s="6">
        <f t="shared" si="55"/>
        <v>0</v>
      </c>
    </row>
    <row r="155" spans="1:25" x14ac:dyDescent="0.3">
      <c r="A155" t="str">
        <f>'rockfish harvests'!A159</f>
        <v>SC</v>
      </c>
      <c r="B155">
        <f>'rockfish harvests'!B159</f>
        <v>2005</v>
      </c>
      <c r="C155" t="str">
        <f>'rockfish harvests'!C159</f>
        <v>NORTHEAS</v>
      </c>
      <c r="D155">
        <f>'rockfish harvests'!D159</f>
        <v>4641</v>
      </c>
      <c r="E155">
        <f>'YE harvest'!E160</f>
        <v>316</v>
      </c>
      <c r="F155" s="38"/>
      <c r="G155" s="39"/>
      <c r="H155" s="13">
        <f t="shared" si="46"/>
        <v>0</v>
      </c>
      <c r="I155">
        <f t="shared" si="47"/>
        <v>0</v>
      </c>
      <c r="J155">
        <f t="shared" si="50"/>
        <v>0</v>
      </c>
      <c r="K155" s="6">
        <f t="shared" si="51"/>
        <v>0</v>
      </c>
      <c r="M155" s="2">
        <f>'rockfish harvests'!O159</f>
        <v>3614.0898842170445</v>
      </c>
      <c r="N155">
        <f>'rockfish harvests'!P159</f>
        <v>1271642.7403433286</v>
      </c>
      <c r="Q155" s="13">
        <f t="shared" si="41"/>
        <v>0</v>
      </c>
      <c r="R155" s="14">
        <f t="shared" si="42"/>
        <v>0</v>
      </c>
      <c r="S155">
        <f t="shared" si="52"/>
        <v>0</v>
      </c>
      <c r="T155" s="6">
        <f t="shared" si="53"/>
        <v>0</v>
      </c>
      <c r="V155" s="13">
        <f t="shared" si="48"/>
        <v>0</v>
      </c>
      <c r="W155">
        <f t="shared" si="49"/>
        <v>0</v>
      </c>
      <c r="X155">
        <f t="shared" si="54"/>
        <v>0</v>
      </c>
      <c r="Y155" s="6">
        <f t="shared" si="55"/>
        <v>0</v>
      </c>
    </row>
    <row r="156" spans="1:25" x14ac:dyDescent="0.3">
      <c r="A156" t="str">
        <f>'rockfish harvests'!A160</f>
        <v>SC</v>
      </c>
      <c r="B156">
        <f>'rockfish harvests'!B160</f>
        <v>2006</v>
      </c>
      <c r="C156" t="str">
        <f>'rockfish harvests'!C160</f>
        <v>NORTHEAS</v>
      </c>
      <c r="D156">
        <f>'rockfish harvests'!D160</f>
        <v>3693</v>
      </c>
      <c r="E156">
        <f>'YE harvest'!E161</f>
        <v>174</v>
      </c>
      <c r="H156" s="13" t="e">
        <f>#REF!</f>
        <v>#REF!</v>
      </c>
      <c r="I156">
        <f t="shared" si="47"/>
        <v>0</v>
      </c>
      <c r="J156">
        <f t="shared" si="50"/>
        <v>0</v>
      </c>
      <c r="K156" s="6">
        <f t="shared" si="51"/>
        <v>0</v>
      </c>
      <c r="M156" s="2">
        <f>'rockfish harvests'!O160</f>
        <v>2875.8530365036731</v>
      </c>
      <c r="N156">
        <f>'rockfish harvests'!P160</f>
        <v>805194.11996587296</v>
      </c>
      <c r="Q156" s="13">
        <f t="shared" si="41"/>
        <v>0</v>
      </c>
      <c r="R156" s="14">
        <f t="shared" si="42"/>
        <v>0</v>
      </c>
      <c r="S156">
        <f t="shared" si="52"/>
        <v>0</v>
      </c>
      <c r="T156" s="6">
        <f t="shared" si="53"/>
        <v>0</v>
      </c>
      <c r="V156" s="13" t="e">
        <f t="shared" si="48"/>
        <v>#REF!</v>
      </c>
      <c r="W156">
        <f t="shared" si="49"/>
        <v>0</v>
      </c>
      <c r="X156">
        <f t="shared" si="54"/>
        <v>0</v>
      </c>
      <c r="Y156" s="6">
        <f t="shared" si="55"/>
        <v>0</v>
      </c>
    </row>
    <row r="157" spans="1:25" x14ac:dyDescent="0.3">
      <c r="A157" t="str">
        <f>'rockfish harvests'!A161</f>
        <v>SC</v>
      </c>
      <c r="B157">
        <f>'rockfish harvests'!B161</f>
        <v>2007</v>
      </c>
      <c r="C157" t="str">
        <f>'rockfish harvests'!C161</f>
        <v>NORTHEAS</v>
      </c>
      <c r="D157">
        <f>'rockfish harvests'!D161</f>
        <v>5080</v>
      </c>
      <c r="E157">
        <f>'YE harvest'!E162</f>
        <v>428</v>
      </c>
      <c r="H157" s="13" t="e">
        <f>#REF!</f>
        <v>#REF!</v>
      </c>
      <c r="I157">
        <f t="shared" si="47"/>
        <v>0</v>
      </c>
      <c r="J157">
        <f t="shared" si="50"/>
        <v>0</v>
      </c>
      <c r="K157" s="6">
        <f t="shared" si="51"/>
        <v>0</v>
      </c>
      <c r="M157" s="2">
        <f>'rockfish harvests'!O161</f>
        <v>3955.9527282530889</v>
      </c>
      <c r="N157">
        <f>'rockfish harvests'!P161</f>
        <v>1523594.5272363999</v>
      </c>
      <c r="Q157" s="13">
        <f t="shared" si="41"/>
        <v>0</v>
      </c>
      <c r="R157" s="14">
        <f t="shared" si="42"/>
        <v>0</v>
      </c>
      <c r="S157">
        <f t="shared" si="52"/>
        <v>0</v>
      </c>
      <c r="T157" s="6">
        <f t="shared" si="53"/>
        <v>0</v>
      </c>
      <c r="V157" s="13" t="e">
        <f t="shared" si="48"/>
        <v>#REF!</v>
      </c>
      <c r="W157">
        <f t="shared" si="49"/>
        <v>0</v>
      </c>
      <c r="X157">
        <f t="shared" si="54"/>
        <v>0</v>
      </c>
      <c r="Y157" s="6">
        <f t="shared" si="55"/>
        <v>0</v>
      </c>
    </row>
    <row r="158" spans="1:25" x14ac:dyDescent="0.3">
      <c r="A158" t="str">
        <f>'rockfish harvests'!A162</f>
        <v>SC</v>
      </c>
      <c r="B158">
        <f>'rockfish harvests'!B162</f>
        <v>2008</v>
      </c>
      <c r="C158" t="str">
        <f>'rockfish harvests'!C162</f>
        <v>NORTHEAS</v>
      </c>
      <c r="D158">
        <f>'rockfish harvests'!D162</f>
        <v>6260</v>
      </c>
      <c r="E158">
        <f>'YE harvest'!E163</f>
        <v>407</v>
      </c>
      <c r="H158" s="13" t="e">
        <f>#REF!</f>
        <v>#REF!</v>
      </c>
      <c r="I158">
        <f t="shared" si="47"/>
        <v>0</v>
      </c>
      <c r="J158">
        <f t="shared" si="50"/>
        <v>0</v>
      </c>
      <c r="K158" s="6">
        <f t="shared" si="51"/>
        <v>0</v>
      </c>
      <c r="M158" s="2">
        <f>'rockfish harvests'!O162</f>
        <v>4874.8551336347118</v>
      </c>
      <c r="N158">
        <f>'rockfish harvests'!P162</f>
        <v>2313612.6269270084</v>
      </c>
      <c r="Q158" s="13">
        <f t="shared" si="41"/>
        <v>0</v>
      </c>
      <c r="R158" s="14">
        <f t="shared" si="42"/>
        <v>0</v>
      </c>
      <c r="S158">
        <f t="shared" si="52"/>
        <v>0</v>
      </c>
      <c r="T158" s="6">
        <f t="shared" si="53"/>
        <v>0</v>
      </c>
      <c r="V158" s="13" t="e">
        <f t="shared" si="48"/>
        <v>#REF!</v>
      </c>
      <c r="W158">
        <f t="shared" si="49"/>
        <v>0</v>
      </c>
      <c r="X158">
        <f t="shared" si="54"/>
        <v>0</v>
      </c>
      <c r="Y158" s="6">
        <f t="shared" si="55"/>
        <v>0</v>
      </c>
    </row>
    <row r="159" spans="1:25" x14ac:dyDescent="0.3">
      <c r="A159" t="str">
        <f>'rockfish harvests'!A163</f>
        <v>SC</v>
      </c>
      <c r="B159">
        <f>'rockfish harvests'!B163</f>
        <v>2009</v>
      </c>
      <c r="C159" t="str">
        <f>'rockfish harvests'!C163</f>
        <v>NORTHEAS</v>
      </c>
      <c r="D159">
        <f>'rockfish harvests'!D163</f>
        <v>6369</v>
      </c>
      <c r="E159">
        <f>'YE harvest'!E164</f>
        <v>282</v>
      </c>
      <c r="H159" s="13" t="e">
        <f>#REF!</f>
        <v>#REF!</v>
      </c>
      <c r="I159">
        <f t="shared" si="47"/>
        <v>0</v>
      </c>
      <c r="J159">
        <f t="shared" si="50"/>
        <v>0</v>
      </c>
      <c r="K159" s="6">
        <f t="shared" si="51"/>
        <v>0</v>
      </c>
      <c r="M159" s="2">
        <f>'rockfish harvests'!O163</f>
        <v>4959.7367965047106</v>
      </c>
      <c r="N159">
        <f>'rockfish harvests'!P163</f>
        <v>2394883.9707024693</v>
      </c>
      <c r="Q159" s="13">
        <f t="shared" si="41"/>
        <v>0</v>
      </c>
      <c r="R159" s="14">
        <f t="shared" si="42"/>
        <v>0</v>
      </c>
      <c r="S159">
        <f t="shared" si="52"/>
        <v>0</v>
      </c>
      <c r="T159" s="6">
        <f t="shared" si="53"/>
        <v>0</v>
      </c>
      <c r="V159" s="13" t="e">
        <f t="shared" si="48"/>
        <v>#REF!</v>
      </c>
      <c r="W159">
        <f t="shared" si="49"/>
        <v>0</v>
      </c>
      <c r="X159">
        <f t="shared" si="54"/>
        <v>0</v>
      </c>
      <c r="Y159" s="6">
        <f t="shared" si="55"/>
        <v>0</v>
      </c>
    </row>
    <row r="160" spans="1:25" x14ac:dyDescent="0.3">
      <c r="A160" t="str">
        <f>'rockfish harvests'!A164</f>
        <v>SC</v>
      </c>
      <c r="B160">
        <f>'rockfish harvests'!B164</f>
        <v>2010</v>
      </c>
      <c r="C160" t="str">
        <f>'rockfish harvests'!C164</f>
        <v>NORTHEAS</v>
      </c>
      <c r="D160">
        <f>'rockfish harvests'!D164</f>
        <v>8141</v>
      </c>
      <c r="E160">
        <f>'YE harvest'!E165</f>
        <v>1433</v>
      </c>
      <c r="H160" s="13" t="e">
        <f>#REF!</f>
        <v>#REF!</v>
      </c>
      <c r="I160">
        <f t="shared" si="47"/>
        <v>0</v>
      </c>
      <c r="J160">
        <f t="shared" si="50"/>
        <v>0</v>
      </c>
      <c r="K160" s="6">
        <f t="shared" si="51"/>
        <v>0</v>
      </c>
      <c r="M160" s="2">
        <f>'rockfish harvests'!O164</f>
        <v>6339.6478662811805</v>
      </c>
      <c r="N160">
        <f>'rockfish harvests'!P164</f>
        <v>3912888.6469779164</v>
      </c>
      <c r="O160" s="21"/>
      <c r="P160" s="21"/>
      <c r="Q160" s="13">
        <f t="shared" si="41"/>
        <v>0</v>
      </c>
      <c r="R160" s="14">
        <f t="shared" si="42"/>
        <v>0</v>
      </c>
      <c r="S160">
        <f t="shared" si="52"/>
        <v>0</v>
      </c>
      <c r="T160" s="6">
        <f t="shared" si="53"/>
        <v>0</v>
      </c>
      <c r="V160" s="13" t="e">
        <f t="shared" si="48"/>
        <v>#REF!</v>
      </c>
      <c r="W160">
        <f t="shared" si="49"/>
        <v>0</v>
      </c>
      <c r="X160">
        <f t="shared" si="54"/>
        <v>0</v>
      </c>
      <c r="Y160" s="6">
        <f t="shared" si="55"/>
        <v>0</v>
      </c>
    </row>
    <row r="161" spans="1:25" x14ac:dyDescent="0.3">
      <c r="A161" t="str">
        <f>'rockfish harvests'!A165</f>
        <v>SC</v>
      </c>
      <c r="B161">
        <f>'rockfish harvests'!B165</f>
        <v>2011</v>
      </c>
      <c r="C161" t="str">
        <f>'rockfish harvests'!C165</f>
        <v>NORTHEAS</v>
      </c>
      <c r="D161">
        <f>'rockfish harvests'!D165</f>
        <v>6904</v>
      </c>
      <c r="E161">
        <f>'YE harvest'!E166</f>
        <v>293</v>
      </c>
      <c r="H161" s="13" t="e">
        <f>#REF!</f>
        <v>#REF!</v>
      </c>
      <c r="I161">
        <f t="shared" si="47"/>
        <v>0</v>
      </c>
      <c r="J161">
        <f t="shared" si="50"/>
        <v>0</v>
      </c>
      <c r="K161" s="6">
        <f t="shared" si="51"/>
        <v>0</v>
      </c>
      <c r="M161" s="2">
        <f>'rockfish harvests'!O165</f>
        <v>6000.5227354099534</v>
      </c>
      <c r="N161">
        <f>'rockfish harvests'!P165</f>
        <v>2122890.1028359062</v>
      </c>
      <c r="Q161" s="13">
        <f t="shared" si="41"/>
        <v>0</v>
      </c>
      <c r="R161" s="14">
        <f t="shared" si="42"/>
        <v>0</v>
      </c>
      <c r="S161">
        <f t="shared" si="52"/>
        <v>0</v>
      </c>
      <c r="T161" s="6">
        <f t="shared" si="53"/>
        <v>0</v>
      </c>
      <c r="V161" s="13" t="e">
        <f t="shared" si="48"/>
        <v>#REF!</v>
      </c>
      <c r="W161">
        <f t="shared" si="49"/>
        <v>0</v>
      </c>
      <c r="X161">
        <f t="shared" si="54"/>
        <v>0</v>
      </c>
      <c r="Y161" s="6">
        <f t="shared" si="55"/>
        <v>0</v>
      </c>
    </row>
    <row r="162" spans="1:25" x14ac:dyDescent="0.3">
      <c r="A162" t="str">
        <f>'rockfish harvests'!A166</f>
        <v>SC</v>
      </c>
      <c r="B162">
        <f>'rockfish harvests'!B166</f>
        <v>2012</v>
      </c>
      <c r="C162" t="str">
        <f>'rockfish harvests'!C166</f>
        <v>NORTHEAS</v>
      </c>
      <c r="D162">
        <f>'rockfish harvests'!D166</f>
        <v>6813</v>
      </c>
      <c r="E162">
        <f>'YE harvest'!E167</f>
        <v>556</v>
      </c>
      <c r="H162" s="13" t="e">
        <f>#REF!</f>
        <v>#REF!</v>
      </c>
      <c r="I162">
        <f t="shared" si="47"/>
        <v>0</v>
      </c>
      <c r="J162">
        <f t="shared" si="50"/>
        <v>0</v>
      </c>
      <c r="K162" s="6">
        <f t="shared" si="51"/>
        <v>0</v>
      </c>
      <c r="M162" s="2">
        <f>'rockfish harvests'!O166</f>
        <v>4938.4793337446008</v>
      </c>
      <c r="N162">
        <f>'rockfish harvests'!P166</f>
        <v>2023168.1052428612</v>
      </c>
      <c r="Q162" s="13">
        <f t="shared" si="41"/>
        <v>0</v>
      </c>
      <c r="R162" s="14">
        <f t="shared" si="42"/>
        <v>0</v>
      </c>
      <c r="S162">
        <f t="shared" si="52"/>
        <v>0</v>
      </c>
      <c r="T162" s="6">
        <f t="shared" si="53"/>
        <v>0</v>
      </c>
      <c r="V162" s="13" t="e">
        <f t="shared" si="48"/>
        <v>#REF!</v>
      </c>
      <c r="W162">
        <f t="shared" si="49"/>
        <v>0</v>
      </c>
      <c r="X162">
        <f t="shared" si="54"/>
        <v>0</v>
      </c>
      <c r="Y162" s="6">
        <f t="shared" si="55"/>
        <v>0</v>
      </c>
    </row>
    <row r="163" spans="1:25" x14ac:dyDescent="0.3">
      <c r="A163" t="str">
        <f>'rockfish harvests'!A167</f>
        <v>SC</v>
      </c>
      <c r="B163">
        <f>'rockfish harvests'!B167</f>
        <v>2013</v>
      </c>
      <c r="C163" t="str">
        <f>'rockfish harvests'!C167</f>
        <v>NORTHEAS</v>
      </c>
      <c r="D163">
        <f>'rockfish harvests'!D167</f>
        <v>9965</v>
      </c>
      <c r="E163">
        <f>'YE harvest'!E168</f>
        <v>638</v>
      </c>
      <c r="H163" s="13" t="e">
        <f>#REF!</f>
        <v>#REF!</v>
      </c>
      <c r="I163">
        <f t="shared" si="47"/>
        <v>0</v>
      </c>
      <c r="J163">
        <f t="shared" si="50"/>
        <v>0</v>
      </c>
      <c r="K163" s="6">
        <f t="shared" si="51"/>
        <v>0</v>
      </c>
      <c r="M163" s="2">
        <f>'rockfish harvests'!O167</f>
        <v>8625.830039525692</v>
      </c>
      <c r="N163">
        <f>'rockfish harvests'!P167</f>
        <v>4761147.9363994701</v>
      </c>
      <c r="Q163" s="13">
        <f t="shared" si="41"/>
        <v>0</v>
      </c>
      <c r="R163" s="14">
        <f t="shared" si="42"/>
        <v>0</v>
      </c>
      <c r="S163">
        <f t="shared" si="52"/>
        <v>0</v>
      </c>
      <c r="T163" s="6">
        <f t="shared" si="53"/>
        <v>0</v>
      </c>
      <c r="V163" s="13" t="e">
        <f t="shared" si="48"/>
        <v>#REF!</v>
      </c>
      <c r="W163">
        <f t="shared" si="49"/>
        <v>0</v>
      </c>
      <c r="X163">
        <f t="shared" si="54"/>
        <v>0</v>
      </c>
      <c r="Y163" s="6">
        <f t="shared" si="55"/>
        <v>0</v>
      </c>
    </row>
    <row r="164" spans="1:25" x14ac:dyDescent="0.3">
      <c r="A164" t="str">
        <f>'rockfish harvests'!A168</f>
        <v>SC</v>
      </c>
      <c r="B164">
        <f>'rockfish harvests'!B168</f>
        <v>2014</v>
      </c>
      <c r="C164" t="str">
        <f>'rockfish harvests'!C168</f>
        <v>NORTHEAS</v>
      </c>
      <c r="D164">
        <f>'rockfish harvests'!D168</f>
        <v>11896</v>
      </c>
      <c r="E164">
        <f>'YE harvest'!E169</f>
        <v>1536</v>
      </c>
      <c r="H164" s="13" t="e">
        <f>#REF!</f>
        <v>#REF!</v>
      </c>
      <c r="I164">
        <f t="shared" si="47"/>
        <v>0</v>
      </c>
      <c r="J164">
        <f t="shared" si="50"/>
        <v>0</v>
      </c>
      <c r="K164" s="6">
        <f t="shared" si="51"/>
        <v>0</v>
      </c>
      <c r="M164" s="2">
        <f>'rockfish harvests'!O168</f>
        <v>5411.0074000986679</v>
      </c>
      <c r="N164">
        <f>'rockfish harvests'!P168</f>
        <v>1633143.8585763292</v>
      </c>
      <c r="Q164" s="13">
        <f t="shared" si="41"/>
        <v>0</v>
      </c>
      <c r="R164" s="14">
        <f t="shared" si="42"/>
        <v>0</v>
      </c>
      <c r="S164">
        <f t="shared" si="52"/>
        <v>0</v>
      </c>
      <c r="T164" s="6">
        <f t="shared" si="53"/>
        <v>0</v>
      </c>
      <c r="V164" s="13" t="e">
        <f t="shared" si="48"/>
        <v>#REF!</v>
      </c>
      <c r="W164">
        <f t="shared" si="49"/>
        <v>0</v>
      </c>
      <c r="X164">
        <f t="shared" si="54"/>
        <v>0</v>
      </c>
      <c r="Y164" s="6">
        <f t="shared" si="55"/>
        <v>0</v>
      </c>
    </row>
    <row r="165" spans="1:25" x14ac:dyDescent="0.3">
      <c r="A165" t="str">
        <f>'rockfish harvests'!A169</f>
        <v>SC</v>
      </c>
      <c r="B165">
        <f>'rockfish harvests'!B169</f>
        <v>2015</v>
      </c>
      <c r="C165" t="str">
        <f>'rockfish harvests'!C169</f>
        <v>NORTHEAS</v>
      </c>
      <c r="D165">
        <f>'rockfish harvests'!D169</f>
        <v>12377</v>
      </c>
      <c r="E165">
        <f>'YE harvest'!E170</f>
        <v>578</v>
      </c>
      <c r="H165" s="13" t="e">
        <f>#REF!</f>
        <v>#REF!</v>
      </c>
      <c r="I165">
        <f t="shared" si="47"/>
        <v>0</v>
      </c>
      <c r="J165">
        <f t="shared" si="50"/>
        <v>0</v>
      </c>
      <c r="K165" s="6">
        <f t="shared" si="51"/>
        <v>0</v>
      </c>
      <c r="M165" s="2">
        <f>'rockfish harvests'!O169</f>
        <v>10776.477406902814</v>
      </c>
      <c r="N165">
        <f>'rockfish harvests'!P169</f>
        <v>10110394.020791385</v>
      </c>
      <c r="Q165" s="13">
        <f t="shared" si="41"/>
        <v>0</v>
      </c>
      <c r="R165" s="14">
        <f t="shared" si="42"/>
        <v>0</v>
      </c>
      <c r="S165">
        <f t="shared" si="52"/>
        <v>0</v>
      </c>
      <c r="T165" s="6">
        <f t="shared" si="53"/>
        <v>0</v>
      </c>
      <c r="V165" s="13" t="e">
        <f t="shared" si="48"/>
        <v>#REF!</v>
      </c>
      <c r="W165">
        <f t="shared" si="49"/>
        <v>0</v>
      </c>
      <c r="X165">
        <f t="shared" si="54"/>
        <v>0</v>
      </c>
      <c r="Y165" s="6">
        <f t="shared" si="55"/>
        <v>0</v>
      </c>
    </row>
    <row r="166" spans="1:25" x14ac:dyDescent="0.3">
      <c r="A166" t="str">
        <f>'rockfish harvests'!A170</f>
        <v>SC</v>
      </c>
      <c r="B166">
        <f>'rockfish harvests'!B170</f>
        <v>2016</v>
      </c>
      <c r="C166" t="str">
        <f>'rockfish harvests'!C170</f>
        <v>NORTHEAS</v>
      </c>
      <c r="D166">
        <f>'rockfish harvests'!D170</f>
        <v>13580</v>
      </c>
      <c r="E166">
        <f>'YE harvest'!E171</f>
        <v>719</v>
      </c>
      <c r="H166" s="13" t="e">
        <f>#REF!</f>
        <v>#REF!</v>
      </c>
      <c r="I166">
        <f t="shared" si="47"/>
        <v>0</v>
      </c>
      <c r="J166">
        <f t="shared" si="50"/>
        <v>0</v>
      </c>
      <c r="K166" s="6">
        <f t="shared" si="51"/>
        <v>0</v>
      </c>
      <c r="M166" s="2">
        <f>'rockfish harvests'!O170</f>
        <v>14147.366319691999</v>
      </c>
      <c r="N166">
        <f>'rockfish harvests'!P170</f>
        <v>22590691.391820997</v>
      </c>
      <c r="Q166" s="13">
        <f t="shared" si="41"/>
        <v>0</v>
      </c>
      <c r="R166" s="14">
        <f t="shared" si="42"/>
        <v>0</v>
      </c>
      <c r="S166">
        <f t="shared" si="52"/>
        <v>0</v>
      </c>
      <c r="T166" s="6">
        <f t="shared" si="53"/>
        <v>0</v>
      </c>
      <c r="V166" s="13" t="e">
        <f t="shared" si="48"/>
        <v>#REF!</v>
      </c>
      <c r="W166">
        <f t="shared" si="49"/>
        <v>0</v>
      </c>
      <c r="X166">
        <f t="shared" si="54"/>
        <v>0</v>
      </c>
      <c r="Y166" s="6">
        <f t="shared" si="55"/>
        <v>0</v>
      </c>
    </row>
    <row r="167" spans="1:25" x14ac:dyDescent="0.3">
      <c r="A167" t="str">
        <f>'rockfish harvests'!A171</f>
        <v>SC</v>
      </c>
      <c r="B167">
        <f>'rockfish harvests'!B171</f>
        <v>2017</v>
      </c>
      <c r="C167" t="str">
        <f>'rockfish harvests'!C171</f>
        <v>NORTHEAS</v>
      </c>
      <c r="D167">
        <f>'rockfish harvests'!D171</f>
        <v>6719</v>
      </c>
      <c r="E167">
        <f>'YE harvest'!E172</f>
        <v>241</v>
      </c>
      <c r="H167" s="13" t="e">
        <f>#REF!</f>
        <v>#REF!</v>
      </c>
      <c r="I167">
        <f t="shared" si="47"/>
        <v>0</v>
      </c>
      <c r="J167">
        <f t="shared" si="50"/>
        <v>0</v>
      </c>
      <c r="K167" s="6">
        <f t="shared" si="51"/>
        <v>0</v>
      </c>
      <c r="M167" s="2">
        <f>'rockfish harvests'!O171</f>
        <v>3758.2825709322533</v>
      </c>
      <c r="N167">
        <f>'rockfish harvests'!P171</f>
        <v>1035822.3149322054</v>
      </c>
      <c r="Q167" s="13">
        <f t="shared" si="41"/>
        <v>0</v>
      </c>
      <c r="R167" s="14">
        <f t="shared" si="42"/>
        <v>0</v>
      </c>
      <c r="S167">
        <f t="shared" si="52"/>
        <v>0</v>
      </c>
      <c r="T167" s="6">
        <f t="shared" si="53"/>
        <v>0</v>
      </c>
      <c r="V167" s="13" t="e">
        <f t="shared" si="48"/>
        <v>#REF!</v>
      </c>
      <c r="W167">
        <f t="shared" si="49"/>
        <v>0</v>
      </c>
      <c r="X167">
        <f t="shared" si="54"/>
        <v>0</v>
      </c>
      <c r="Y167" s="6">
        <f t="shared" si="55"/>
        <v>0</v>
      </c>
    </row>
    <row r="168" spans="1:25" x14ac:dyDescent="0.3">
      <c r="A168" t="str">
        <f>'rockfish harvests'!A172</f>
        <v>SC</v>
      </c>
      <c r="B168">
        <f>'rockfish harvests'!B172</f>
        <v>2018</v>
      </c>
      <c r="C168" t="str">
        <f>'rockfish harvests'!C172</f>
        <v>NORTHEAS</v>
      </c>
      <c r="D168">
        <f>'rockfish harvests'!D172</f>
        <v>8479</v>
      </c>
      <c r="E168">
        <f>'YE harvest'!E173</f>
        <v>316</v>
      </c>
      <c r="H168" s="13" t="e">
        <f>#REF!</f>
        <v>#REF!</v>
      </c>
      <c r="I168">
        <f t="shared" si="47"/>
        <v>0</v>
      </c>
      <c r="J168">
        <f t="shared" si="50"/>
        <v>0</v>
      </c>
      <c r="K168" s="6">
        <f t="shared" si="51"/>
        <v>0</v>
      </c>
      <c r="M168" s="2">
        <f>'rockfish harvests'!O172</f>
        <v>8690.7789084181313</v>
      </c>
      <c r="N168">
        <f>'rockfish harvests'!P172</f>
        <v>6090869.3085533688</v>
      </c>
      <c r="Q168" s="13">
        <f t="shared" si="41"/>
        <v>0</v>
      </c>
      <c r="R168" s="14">
        <f t="shared" si="42"/>
        <v>0</v>
      </c>
      <c r="S168">
        <f t="shared" si="52"/>
        <v>0</v>
      </c>
      <c r="T168" s="6">
        <f t="shared" si="53"/>
        <v>0</v>
      </c>
      <c r="V168" s="13" t="e">
        <f t="shared" si="48"/>
        <v>#REF!</v>
      </c>
      <c r="W168">
        <f t="shared" si="49"/>
        <v>0</v>
      </c>
      <c r="X168">
        <f t="shared" si="54"/>
        <v>0</v>
      </c>
      <c r="Y168" s="6">
        <f t="shared" si="55"/>
        <v>0</v>
      </c>
    </row>
    <row r="169" spans="1:25" x14ac:dyDescent="0.3">
      <c r="A169" t="str">
        <f>'rockfish harvests'!A173</f>
        <v>SC</v>
      </c>
      <c r="B169">
        <f>'rockfish harvests'!B173</f>
        <v>2019</v>
      </c>
      <c r="C169" t="str">
        <f>'rockfish harvests'!C173</f>
        <v>NORTHEAS</v>
      </c>
      <c r="D169">
        <f>'rockfish harvests'!D173</f>
        <v>9881</v>
      </c>
      <c r="E169">
        <f>'YE harvest'!E174</f>
        <v>435</v>
      </c>
      <c r="I169">
        <f t="shared" ref="I169:I170" si="56">(E169^2)*G169</f>
        <v>0</v>
      </c>
      <c r="J169">
        <f t="shared" ref="J169:J170" si="57">SQRT(I169)</f>
        <v>0</v>
      </c>
      <c r="K169" s="6">
        <f t="shared" ref="K169:K170" si="58">(1.96*J169)</f>
        <v>0</v>
      </c>
      <c r="M169" s="2">
        <f>'rockfish harvests'!O173</f>
        <v>10303.660072182862</v>
      </c>
      <c r="N169">
        <f>'rockfish harvests'!P173</f>
        <v>5030013.8598571327</v>
      </c>
      <c r="R169" s="14"/>
      <c r="S169"/>
      <c r="T169" s="6"/>
      <c r="Y169" s="6"/>
    </row>
    <row r="170" spans="1:25" x14ac:dyDescent="0.3">
      <c r="A170" t="str">
        <f>'rockfish harvests'!A174</f>
        <v>SC</v>
      </c>
      <c r="B170">
        <f>'rockfish harvests'!B174</f>
        <v>2020</v>
      </c>
      <c r="C170" t="str">
        <f>'rockfish harvests'!C174</f>
        <v>NORTHEAS</v>
      </c>
      <c r="D170">
        <f>'rockfish harvests'!D174</f>
        <v>4479</v>
      </c>
      <c r="E170">
        <f>'YE harvest'!E175</f>
        <v>296</v>
      </c>
      <c r="I170">
        <f t="shared" si="56"/>
        <v>0</v>
      </c>
      <c r="J170">
        <f t="shared" si="57"/>
        <v>0</v>
      </c>
      <c r="K170" s="6">
        <f t="shared" si="58"/>
        <v>0</v>
      </c>
      <c r="M170" s="2">
        <f>'rockfish harvests'!O174</f>
        <v>5425.9695845697333</v>
      </c>
      <c r="N170">
        <f>'rockfish harvests'!P174</f>
        <v>2642689.7102351333</v>
      </c>
      <c r="R170" s="14"/>
      <c r="S170"/>
      <c r="T170" s="6"/>
      <c r="Y170" s="6"/>
    </row>
    <row r="171" spans="1:25" x14ac:dyDescent="0.3">
      <c r="A171" t="str">
        <f>'rockfish harvests'!A175</f>
        <v>SC</v>
      </c>
      <c r="B171">
        <f>'rockfish harvests'!B175</f>
        <v>2021</v>
      </c>
      <c r="C171" t="str">
        <f>'rockfish harvests'!C175</f>
        <v>NORTHEAS</v>
      </c>
      <c r="D171">
        <f>'rockfish harvests'!D175</f>
        <v>9680</v>
      </c>
      <c r="E171">
        <f>'YE harvest'!E176</f>
        <v>701</v>
      </c>
      <c r="K171" s="6"/>
      <c r="M171" s="2">
        <f>'rockfish harvests'!O175</f>
        <v>6922.7471252241812</v>
      </c>
      <c r="N171">
        <f>'rockfish harvests'!P175</f>
        <v>2666714.9901529583</v>
      </c>
      <c r="R171" s="14"/>
      <c r="S171"/>
      <c r="T171" s="6"/>
      <c r="Y171" s="6"/>
    </row>
    <row r="172" spans="1:25" x14ac:dyDescent="0.3">
      <c r="A172" t="str">
        <f>'rockfish harvests'!A177</f>
        <v>SC</v>
      </c>
      <c r="B172">
        <f>'rockfish harvests'!B177</f>
        <v>1998</v>
      </c>
      <c r="C172" t="str">
        <f>'rockfish harvests'!C177</f>
        <v>PWSI</v>
      </c>
      <c r="D172">
        <f>'rockfish harvests'!D177</f>
        <v>3821</v>
      </c>
      <c r="E172">
        <f>'YE harvest'!E178</f>
        <v>1723</v>
      </c>
      <c r="H172" s="13">
        <f t="shared" ref="H172:H179" si="59">E172*F172</f>
        <v>0</v>
      </c>
      <c r="I172">
        <f t="shared" si="47"/>
        <v>0</v>
      </c>
      <c r="J172">
        <f t="shared" si="50"/>
        <v>0</v>
      </c>
      <c r="K172" s="6">
        <f t="shared" si="51"/>
        <v>0</v>
      </c>
      <c r="M172" s="2">
        <f>'rockfish harvests'!O177</f>
        <v>9768.3550806147941</v>
      </c>
      <c r="N172">
        <f>'rockfish harvests'!P177</f>
        <v>8755809.3695013113</v>
      </c>
      <c r="O172" s="32"/>
      <c r="P172" s="32"/>
      <c r="Q172" s="13">
        <f t="shared" si="41"/>
        <v>0</v>
      </c>
      <c r="R172" s="14">
        <f t="shared" si="42"/>
        <v>0</v>
      </c>
      <c r="S172">
        <f t="shared" si="52"/>
        <v>0</v>
      </c>
      <c r="T172" s="6">
        <f t="shared" si="53"/>
        <v>0</v>
      </c>
      <c r="V172" s="13">
        <f t="shared" si="48"/>
        <v>0</v>
      </c>
      <c r="W172">
        <f t="shared" si="49"/>
        <v>0</v>
      </c>
      <c r="X172">
        <f t="shared" si="54"/>
        <v>0</v>
      </c>
      <c r="Y172" s="6">
        <f t="shared" si="55"/>
        <v>0</v>
      </c>
    </row>
    <row r="173" spans="1:25" x14ac:dyDescent="0.3">
      <c r="A173" t="str">
        <f>'rockfish harvests'!A178</f>
        <v>SC</v>
      </c>
      <c r="B173">
        <f>'rockfish harvests'!B178</f>
        <v>1999</v>
      </c>
      <c r="C173" t="str">
        <f>'rockfish harvests'!C178</f>
        <v>PWSI</v>
      </c>
      <c r="D173">
        <f>'rockfish harvests'!D178</f>
        <v>4514</v>
      </c>
      <c r="E173">
        <f>'YE harvest'!E179</f>
        <v>1905</v>
      </c>
      <c r="H173" s="13">
        <f t="shared" si="59"/>
        <v>0</v>
      </c>
      <c r="I173">
        <f t="shared" si="47"/>
        <v>0</v>
      </c>
      <c r="J173">
        <f t="shared" si="50"/>
        <v>0</v>
      </c>
      <c r="K173" s="6">
        <f t="shared" si="51"/>
        <v>0</v>
      </c>
      <c r="M173" s="2">
        <f>'rockfish harvests'!O178</f>
        <v>11540.003882202349</v>
      </c>
      <c r="N173">
        <f>'rockfish harvests'!P178</f>
        <v>12219834.714956973</v>
      </c>
      <c r="Q173" s="13">
        <f t="shared" si="41"/>
        <v>0</v>
      </c>
      <c r="R173" s="14">
        <f t="shared" si="42"/>
        <v>0</v>
      </c>
      <c r="S173">
        <f t="shared" si="52"/>
        <v>0</v>
      </c>
      <c r="T173" s="6">
        <f t="shared" si="53"/>
        <v>0</v>
      </c>
      <c r="V173" s="13">
        <f t="shared" si="48"/>
        <v>0</v>
      </c>
      <c r="W173">
        <f t="shared" si="49"/>
        <v>0</v>
      </c>
      <c r="X173">
        <f t="shared" si="54"/>
        <v>0</v>
      </c>
      <c r="Y173" s="6">
        <f t="shared" si="55"/>
        <v>0</v>
      </c>
    </row>
    <row r="174" spans="1:25" x14ac:dyDescent="0.3">
      <c r="A174" t="str">
        <f>'rockfish harvests'!A179</f>
        <v>SC</v>
      </c>
      <c r="B174">
        <f>'rockfish harvests'!B179</f>
        <v>2000</v>
      </c>
      <c r="C174" t="str">
        <f>'rockfish harvests'!C179</f>
        <v>PWSI</v>
      </c>
      <c r="D174">
        <f>'rockfish harvests'!D179</f>
        <v>6011</v>
      </c>
      <c r="E174">
        <f>'YE harvest'!E180</f>
        <v>2620</v>
      </c>
      <c r="H174" s="13">
        <f t="shared" si="59"/>
        <v>0</v>
      </c>
      <c r="I174">
        <f t="shared" si="47"/>
        <v>0</v>
      </c>
      <c r="J174">
        <f t="shared" si="50"/>
        <v>0</v>
      </c>
      <c r="K174" s="6">
        <f t="shared" si="51"/>
        <v>0</v>
      </c>
      <c r="M174" s="2">
        <f>'rockfish harvests'!O179</f>
        <v>15367.072072644733</v>
      </c>
      <c r="N174">
        <f>'rockfish harvests'!P179</f>
        <v>21668840.765019432</v>
      </c>
      <c r="Q174" s="13">
        <f t="shared" si="41"/>
        <v>0</v>
      </c>
      <c r="R174" s="14">
        <f t="shared" si="42"/>
        <v>0</v>
      </c>
      <c r="S174">
        <f t="shared" si="52"/>
        <v>0</v>
      </c>
      <c r="T174" s="6">
        <f t="shared" si="53"/>
        <v>0</v>
      </c>
      <c r="V174" s="13">
        <f t="shared" si="48"/>
        <v>0</v>
      </c>
      <c r="W174">
        <f t="shared" si="49"/>
        <v>0</v>
      </c>
      <c r="X174">
        <f t="shared" si="54"/>
        <v>0</v>
      </c>
      <c r="Y174" s="6">
        <f t="shared" si="55"/>
        <v>0</v>
      </c>
    </row>
    <row r="175" spans="1:25" x14ac:dyDescent="0.3">
      <c r="A175" t="str">
        <f>'rockfish harvests'!A180</f>
        <v>SC</v>
      </c>
      <c r="B175">
        <f>'rockfish harvests'!B180</f>
        <v>2001</v>
      </c>
      <c r="C175" t="str">
        <f>'rockfish harvests'!C180</f>
        <v>PWSI</v>
      </c>
      <c r="D175">
        <f>'rockfish harvests'!D180</f>
        <v>7036</v>
      </c>
      <c r="E175">
        <f>'YE harvest'!E181</f>
        <v>2827</v>
      </c>
      <c r="H175" s="13">
        <f t="shared" si="59"/>
        <v>0</v>
      </c>
      <c r="I175">
        <f t="shared" si="47"/>
        <v>0</v>
      </c>
      <c r="J175">
        <f t="shared" si="50"/>
        <v>0</v>
      </c>
      <c r="K175" s="6">
        <f t="shared" si="51"/>
        <v>0</v>
      </c>
      <c r="M175" s="2">
        <f>'rockfish harvests'!O180</f>
        <v>17987.476144256918</v>
      </c>
      <c r="N175">
        <f>'rockfish harvests'!P180</f>
        <v>29688884.747428846</v>
      </c>
      <c r="Q175" s="13">
        <f t="shared" si="41"/>
        <v>0</v>
      </c>
      <c r="R175" s="14">
        <f t="shared" si="42"/>
        <v>0</v>
      </c>
      <c r="S175">
        <f t="shared" si="52"/>
        <v>0</v>
      </c>
      <c r="T175" s="6">
        <f t="shared" si="53"/>
        <v>0</v>
      </c>
      <c r="V175" s="13">
        <f t="shared" si="48"/>
        <v>0</v>
      </c>
      <c r="W175">
        <f t="shared" si="49"/>
        <v>0</v>
      </c>
      <c r="X175">
        <f t="shared" si="54"/>
        <v>0</v>
      </c>
      <c r="Y175" s="6">
        <f t="shared" si="55"/>
        <v>0</v>
      </c>
    </row>
    <row r="176" spans="1:25" x14ac:dyDescent="0.3">
      <c r="A176" t="str">
        <f>'rockfish harvests'!A181</f>
        <v>SC</v>
      </c>
      <c r="B176">
        <f>'rockfish harvests'!B181</f>
        <v>2002</v>
      </c>
      <c r="C176" t="str">
        <f>'rockfish harvests'!C181</f>
        <v>PWSI</v>
      </c>
      <c r="D176">
        <f>'rockfish harvests'!D181</f>
        <v>7398</v>
      </c>
      <c r="E176">
        <f>'YE harvest'!E182</f>
        <v>2518</v>
      </c>
      <c r="H176" s="13">
        <f t="shared" si="59"/>
        <v>0</v>
      </c>
      <c r="I176">
        <f t="shared" si="47"/>
        <v>0</v>
      </c>
      <c r="J176">
        <f t="shared" si="50"/>
        <v>0</v>
      </c>
      <c r="K176" s="6">
        <f t="shared" si="51"/>
        <v>0</v>
      </c>
      <c r="M176" s="2">
        <f>'rockfish harvests'!O181</f>
        <v>18912.926167597027</v>
      </c>
      <c r="N176">
        <f>'rockfish harvests'!P181</f>
        <v>32822440.987651471</v>
      </c>
      <c r="Q176" s="13">
        <f t="shared" si="41"/>
        <v>0</v>
      </c>
      <c r="R176" s="14">
        <f t="shared" si="42"/>
        <v>0</v>
      </c>
      <c r="S176">
        <f t="shared" si="52"/>
        <v>0</v>
      </c>
      <c r="T176" s="6">
        <f t="shared" si="53"/>
        <v>0</v>
      </c>
      <c r="V176" s="13">
        <f t="shared" si="48"/>
        <v>0</v>
      </c>
      <c r="W176">
        <f t="shared" si="49"/>
        <v>0</v>
      </c>
      <c r="X176">
        <f t="shared" si="54"/>
        <v>0</v>
      </c>
      <c r="Y176" s="6">
        <f t="shared" si="55"/>
        <v>0</v>
      </c>
    </row>
    <row r="177" spans="1:25" x14ac:dyDescent="0.3">
      <c r="A177" t="str">
        <f>'rockfish harvests'!A182</f>
        <v>SC</v>
      </c>
      <c r="B177">
        <f>'rockfish harvests'!B182</f>
        <v>2003</v>
      </c>
      <c r="C177" t="str">
        <f>'rockfish harvests'!C182</f>
        <v>PWSI</v>
      </c>
      <c r="D177">
        <f>'rockfish harvests'!D182</f>
        <v>11932</v>
      </c>
      <c r="E177">
        <f>'YE harvest'!E183</f>
        <v>3187</v>
      </c>
      <c r="H177" s="13">
        <f t="shared" si="59"/>
        <v>0</v>
      </c>
      <c r="I177">
        <f t="shared" si="47"/>
        <v>0</v>
      </c>
      <c r="J177">
        <f t="shared" si="50"/>
        <v>0</v>
      </c>
      <c r="K177" s="6">
        <f t="shared" si="51"/>
        <v>0</v>
      </c>
      <c r="M177" s="2">
        <f>'rockfish harvests'!O182</f>
        <v>30504.059885343027</v>
      </c>
      <c r="N177">
        <f>'rockfish harvests'!P182</f>
        <v>85382469.486194402</v>
      </c>
      <c r="Q177" s="13">
        <f t="shared" si="41"/>
        <v>0</v>
      </c>
      <c r="R177" s="14">
        <f t="shared" si="42"/>
        <v>0</v>
      </c>
      <c r="S177">
        <f t="shared" si="52"/>
        <v>0</v>
      </c>
      <c r="T177" s="6">
        <f t="shared" si="53"/>
        <v>0</v>
      </c>
      <c r="V177" s="13">
        <f t="shared" si="48"/>
        <v>0</v>
      </c>
      <c r="W177">
        <f t="shared" si="49"/>
        <v>0</v>
      </c>
      <c r="X177">
        <f t="shared" si="54"/>
        <v>0</v>
      </c>
      <c r="Y177" s="6">
        <f t="shared" si="55"/>
        <v>0</v>
      </c>
    </row>
    <row r="178" spans="1:25" x14ac:dyDescent="0.3">
      <c r="A178" t="str">
        <f>'rockfish harvests'!A183</f>
        <v>SC</v>
      </c>
      <c r="B178">
        <f>'rockfish harvests'!B183</f>
        <v>2004</v>
      </c>
      <c r="C178" t="str">
        <f>'rockfish harvests'!C183</f>
        <v>PWSI</v>
      </c>
      <c r="D178">
        <f>'rockfish harvests'!D183</f>
        <v>10310</v>
      </c>
      <c r="E178">
        <f>'YE harvest'!E184</f>
        <v>2872</v>
      </c>
      <c r="H178" s="13">
        <f t="shared" si="59"/>
        <v>0</v>
      </c>
      <c r="I178">
        <f t="shared" si="47"/>
        <v>0</v>
      </c>
      <c r="J178">
        <f t="shared" si="50"/>
        <v>0</v>
      </c>
      <c r="K178" s="6">
        <f t="shared" si="51"/>
        <v>0</v>
      </c>
      <c r="M178" s="2">
        <f>'rockfish harvests'!O183</f>
        <v>26357.430222752817</v>
      </c>
      <c r="N178">
        <f>'rockfish harvests'!P183</f>
        <v>63746970.869564563</v>
      </c>
      <c r="Q178" s="13">
        <f t="shared" si="41"/>
        <v>0</v>
      </c>
      <c r="R178" s="14">
        <f t="shared" si="42"/>
        <v>0</v>
      </c>
      <c r="S178">
        <f t="shared" si="52"/>
        <v>0</v>
      </c>
      <c r="T178" s="6">
        <f t="shared" si="53"/>
        <v>0</v>
      </c>
      <c r="V178" s="13">
        <f t="shared" si="48"/>
        <v>0</v>
      </c>
      <c r="W178">
        <f t="shared" si="49"/>
        <v>0</v>
      </c>
      <c r="X178">
        <f t="shared" si="54"/>
        <v>0</v>
      </c>
      <c r="Y178" s="6">
        <f t="shared" si="55"/>
        <v>0</v>
      </c>
    </row>
    <row r="179" spans="1:25" x14ac:dyDescent="0.3">
      <c r="A179" t="str">
        <f>'rockfish harvests'!A184</f>
        <v>SC</v>
      </c>
      <c r="B179">
        <f>'rockfish harvests'!B184</f>
        <v>2005</v>
      </c>
      <c r="C179" t="str">
        <f>'rockfish harvests'!C184</f>
        <v>PWSI</v>
      </c>
      <c r="D179">
        <f>'rockfish harvests'!D184</f>
        <v>10930</v>
      </c>
      <c r="E179">
        <f>'YE harvest'!E185</f>
        <v>2754</v>
      </c>
      <c r="H179" s="13">
        <f t="shared" si="59"/>
        <v>0</v>
      </c>
      <c r="I179">
        <f t="shared" si="47"/>
        <v>0</v>
      </c>
      <c r="J179">
        <f t="shared" si="50"/>
        <v>0</v>
      </c>
      <c r="K179" s="6">
        <f t="shared" si="51"/>
        <v>0</v>
      </c>
      <c r="M179" s="2">
        <f>'rockfish harvests'!O184</f>
        <v>27942.455124606044</v>
      </c>
      <c r="N179">
        <f>'rockfish harvests'!P184</f>
        <v>71644448.857817397</v>
      </c>
      <c r="Q179" s="13">
        <f t="shared" si="41"/>
        <v>0</v>
      </c>
      <c r="R179" s="14">
        <f t="shared" si="42"/>
        <v>0</v>
      </c>
      <c r="S179">
        <f t="shared" si="52"/>
        <v>0</v>
      </c>
      <c r="T179" s="6">
        <f t="shared" si="53"/>
        <v>0</v>
      </c>
      <c r="V179" s="13">
        <f t="shared" si="48"/>
        <v>0</v>
      </c>
      <c r="W179">
        <f t="shared" si="49"/>
        <v>0</v>
      </c>
      <c r="X179">
        <f t="shared" si="54"/>
        <v>0</v>
      </c>
      <c r="Y179" s="6">
        <f t="shared" si="55"/>
        <v>0</v>
      </c>
    </row>
    <row r="180" spans="1:25" x14ac:dyDescent="0.3">
      <c r="A180" t="str">
        <f>'rockfish harvests'!A185</f>
        <v>SC</v>
      </c>
      <c r="B180">
        <f>'rockfish harvests'!B185</f>
        <v>2006</v>
      </c>
      <c r="C180" t="str">
        <f>'rockfish harvests'!C185</f>
        <v>PWSI</v>
      </c>
      <c r="D180">
        <f>'rockfish harvests'!D185</f>
        <v>7578</v>
      </c>
      <c r="E180">
        <f>'YE harvest'!E186</f>
        <v>2985</v>
      </c>
      <c r="H180" s="13" t="e">
        <f>#REF!</f>
        <v>#REF!</v>
      </c>
      <c r="I180">
        <f t="shared" si="47"/>
        <v>0</v>
      </c>
      <c r="J180">
        <f t="shared" si="50"/>
        <v>0</v>
      </c>
      <c r="K180" s="6">
        <f t="shared" si="51"/>
        <v>0</v>
      </c>
      <c r="M180" s="2">
        <f>'rockfish harvests'!O185</f>
        <v>19373.094687489898</v>
      </c>
      <c r="N180">
        <f>'rockfish harvests'!P185</f>
        <v>34439070.708155498</v>
      </c>
      <c r="Q180" s="13">
        <f t="shared" si="41"/>
        <v>0</v>
      </c>
      <c r="R180" s="14">
        <f t="shared" si="42"/>
        <v>0</v>
      </c>
      <c r="S180">
        <f t="shared" si="52"/>
        <v>0</v>
      </c>
      <c r="T180" s="6">
        <f t="shared" si="53"/>
        <v>0</v>
      </c>
      <c r="V180" s="13" t="e">
        <f t="shared" si="48"/>
        <v>#REF!</v>
      </c>
      <c r="W180">
        <f t="shared" si="49"/>
        <v>0</v>
      </c>
      <c r="X180">
        <f t="shared" si="54"/>
        <v>0</v>
      </c>
      <c r="Y180" s="6">
        <f t="shared" si="55"/>
        <v>0</v>
      </c>
    </row>
    <row r="181" spans="1:25" x14ac:dyDescent="0.3">
      <c r="A181" t="str">
        <f>'rockfish harvests'!A186</f>
        <v>SC</v>
      </c>
      <c r="B181">
        <f>'rockfish harvests'!B186</f>
        <v>2007</v>
      </c>
      <c r="C181" t="str">
        <f>'rockfish harvests'!C186</f>
        <v>PWSI</v>
      </c>
      <c r="D181">
        <f>'rockfish harvests'!D186</f>
        <v>12404</v>
      </c>
      <c r="E181">
        <f>'YE harvest'!E187</f>
        <v>3115</v>
      </c>
      <c r="H181" s="13" t="e">
        <f>#REF!</f>
        <v>#REF!</v>
      </c>
      <c r="I181">
        <f t="shared" si="47"/>
        <v>0</v>
      </c>
      <c r="J181">
        <f t="shared" si="50"/>
        <v>0</v>
      </c>
      <c r="K181" s="6">
        <f t="shared" si="51"/>
        <v>0</v>
      </c>
      <c r="M181" s="2">
        <f>'rockfish harvests'!O186</f>
        <v>31710.724004173229</v>
      </c>
      <c r="N181">
        <f>'rockfish harvests'!P186</f>
        <v>92271108.350786552</v>
      </c>
      <c r="Q181" s="13">
        <f t="shared" si="41"/>
        <v>0</v>
      </c>
      <c r="R181" s="14">
        <f t="shared" si="42"/>
        <v>0</v>
      </c>
      <c r="S181">
        <f t="shared" si="52"/>
        <v>0</v>
      </c>
      <c r="T181" s="6">
        <f t="shared" si="53"/>
        <v>0</v>
      </c>
      <c r="V181" s="13" t="e">
        <f t="shared" si="48"/>
        <v>#REF!</v>
      </c>
      <c r="W181">
        <f t="shared" si="49"/>
        <v>0</v>
      </c>
      <c r="X181">
        <f t="shared" si="54"/>
        <v>0</v>
      </c>
      <c r="Y181" s="6">
        <f t="shared" si="55"/>
        <v>0</v>
      </c>
    </row>
    <row r="182" spans="1:25" x14ac:dyDescent="0.3">
      <c r="A182" t="str">
        <f>'rockfish harvests'!A187</f>
        <v>SC</v>
      </c>
      <c r="B182">
        <f>'rockfish harvests'!B187</f>
        <v>2008</v>
      </c>
      <c r="C182" t="str">
        <f>'rockfish harvests'!C187</f>
        <v>PWSI</v>
      </c>
      <c r="D182">
        <f>'rockfish harvests'!D187</f>
        <v>9522</v>
      </c>
      <c r="E182">
        <f>'YE harvest'!E188</f>
        <v>2623</v>
      </c>
      <c r="H182" s="13" t="e">
        <f>#REF!</f>
        <v>#REF!</v>
      </c>
      <c r="I182">
        <f t="shared" si="47"/>
        <v>0</v>
      </c>
      <c r="J182">
        <f t="shared" si="50"/>
        <v>0</v>
      </c>
      <c r="K182" s="6">
        <f t="shared" si="51"/>
        <v>0</v>
      </c>
      <c r="M182" s="2">
        <f>'rockfish harvests'!O187</f>
        <v>24342.914702332913</v>
      </c>
      <c r="N182">
        <f>'rockfish harvests'!P187</f>
        <v>54374913.17494791</v>
      </c>
      <c r="Q182" s="13">
        <f t="shared" si="41"/>
        <v>0</v>
      </c>
      <c r="R182" s="14">
        <f t="shared" si="42"/>
        <v>0</v>
      </c>
      <c r="S182">
        <f t="shared" si="52"/>
        <v>0</v>
      </c>
      <c r="T182" s="6">
        <f t="shared" si="53"/>
        <v>0</v>
      </c>
      <c r="V182" s="13" t="e">
        <f t="shared" si="48"/>
        <v>#REF!</v>
      </c>
      <c r="W182">
        <f t="shared" si="49"/>
        <v>0</v>
      </c>
      <c r="X182">
        <f t="shared" si="54"/>
        <v>0</v>
      </c>
      <c r="Y182" s="6">
        <f t="shared" si="55"/>
        <v>0</v>
      </c>
    </row>
    <row r="183" spans="1:25" x14ac:dyDescent="0.3">
      <c r="A183" t="str">
        <f>'rockfish harvests'!A188</f>
        <v>SC</v>
      </c>
      <c r="B183">
        <f>'rockfish harvests'!B188</f>
        <v>2009</v>
      </c>
      <c r="C183" t="str">
        <f>'rockfish harvests'!C188</f>
        <v>PWSI</v>
      </c>
      <c r="D183">
        <f>'rockfish harvests'!D188</f>
        <v>8197</v>
      </c>
      <c r="E183">
        <f>'YE harvest'!E189</f>
        <v>2224</v>
      </c>
      <c r="H183" s="13" t="e">
        <f>#REF!</f>
        <v>#REF!</v>
      </c>
      <c r="I183">
        <f t="shared" si="47"/>
        <v>0</v>
      </c>
      <c r="J183">
        <f t="shared" si="50"/>
        <v>0</v>
      </c>
      <c r="K183" s="6">
        <f t="shared" si="51"/>
        <v>0</v>
      </c>
      <c r="M183" s="2">
        <f>'rockfish harvests'!O188</f>
        <v>20955.563097565941</v>
      </c>
      <c r="N183">
        <f>'rockfish harvests'!P188</f>
        <v>40295086.4991799</v>
      </c>
      <c r="Q183" s="13">
        <f t="shared" si="41"/>
        <v>0</v>
      </c>
      <c r="R183" s="14">
        <f t="shared" si="42"/>
        <v>0</v>
      </c>
      <c r="S183">
        <f t="shared" si="52"/>
        <v>0</v>
      </c>
      <c r="T183" s="6">
        <f t="shared" si="53"/>
        <v>0</v>
      </c>
      <c r="V183" s="13" t="e">
        <f t="shared" si="48"/>
        <v>#REF!</v>
      </c>
      <c r="W183">
        <f t="shared" si="49"/>
        <v>0</v>
      </c>
      <c r="X183">
        <f t="shared" si="54"/>
        <v>0</v>
      </c>
      <c r="Y183" s="6">
        <f t="shared" si="55"/>
        <v>0</v>
      </c>
    </row>
    <row r="184" spans="1:25" x14ac:dyDescent="0.3">
      <c r="A184" t="str">
        <f>'rockfish harvests'!A189</f>
        <v>SC</v>
      </c>
      <c r="B184">
        <f>'rockfish harvests'!B189</f>
        <v>2010</v>
      </c>
      <c r="C184" t="str">
        <f>'rockfish harvests'!C189</f>
        <v>PWSI</v>
      </c>
      <c r="D184">
        <f>'rockfish harvests'!D189</f>
        <v>11909</v>
      </c>
      <c r="E184">
        <f>'YE harvest'!E190</f>
        <v>3828</v>
      </c>
      <c r="H184" s="13" t="e">
        <f>#REF!</f>
        <v>#REF!</v>
      </c>
      <c r="I184">
        <f t="shared" si="47"/>
        <v>0</v>
      </c>
      <c r="J184">
        <f t="shared" si="50"/>
        <v>0</v>
      </c>
      <c r="K184" s="6">
        <f t="shared" si="51"/>
        <v>0</v>
      </c>
      <c r="M184" s="2">
        <f>'rockfish harvests'!O189</f>
        <v>30445.260574467829</v>
      </c>
      <c r="N184">
        <f>'rockfish harvests'!P189</f>
        <v>85053622.000279784</v>
      </c>
      <c r="Q184" s="13">
        <f t="shared" si="41"/>
        <v>0</v>
      </c>
      <c r="R184" s="14">
        <f t="shared" si="42"/>
        <v>0</v>
      </c>
      <c r="S184">
        <f t="shared" si="52"/>
        <v>0</v>
      </c>
      <c r="T184" s="6">
        <f t="shared" si="53"/>
        <v>0</v>
      </c>
      <c r="V184" s="13" t="e">
        <f t="shared" si="48"/>
        <v>#REF!</v>
      </c>
      <c r="W184">
        <f t="shared" si="49"/>
        <v>0</v>
      </c>
      <c r="X184">
        <f t="shared" si="54"/>
        <v>0</v>
      </c>
      <c r="Y184" s="6">
        <f t="shared" si="55"/>
        <v>0</v>
      </c>
    </row>
    <row r="185" spans="1:25" x14ac:dyDescent="0.3">
      <c r="A185" t="str">
        <f>'rockfish harvests'!A190</f>
        <v>SC</v>
      </c>
      <c r="B185">
        <f>'rockfish harvests'!B190</f>
        <v>2011</v>
      </c>
      <c r="C185" t="str">
        <f>'rockfish harvests'!C190</f>
        <v>PWSI</v>
      </c>
      <c r="D185">
        <f>'rockfish harvests'!D190</f>
        <v>11367</v>
      </c>
      <c r="E185">
        <f>'YE harvest'!E191</f>
        <v>3175</v>
      </c>
      <c r="H185" s="13" t="e">
        <f>#REF!</f>
        <v>#REF!</v>
      </c>
      <c r="I185">
        <f t="shared" si="47"/>
        <v>0</v>
      </c>
      <c r="J185">
        <f t="shared" si="50"/>
        <v>0</v>
      </c>
      <c r="K185" s="6">
        <f t="shared" si="51"/>
        <v>0</v>
      </c>
      <c r="M185" s="2">
        <f>'rockfish harvests'!O190</f>
        <v>58599.987281399051</v>
      </c>
      <c r="N185">
        <f>'rockfish harvests'!P190</f>
        <v>100066036.13433234</v>
      </c>
      <c r="Q185" s="13">
        <f t="shared" si="41"/>
        <v>0</v>
      </c>
      <c r="R185" s="14">
        <f t="shared" si="42"/>
        <v>0</v>
      </c>
      <c r="S185">
        <f t="shared" si="52"/>
        <v>0</v>
      </c>
      <c r="T185" s="6">
        <f t="shared" si="53"/>
        <v>0</v>
      </c>
      <c r="V185" s="13" t="e">
        <f t="shared" si="48"/>
        <v>#REF!</v>
      </c>
      <c r="W185">
        <f t="shared" si="49"/>
        <v>0</v>
      </c>
      <c r="X185">
        <f t="shared" si="54"/>
        <v>0</v>
      </c>
      <c r="Y185" s="6">
        <f t="shared" si="55"/>
        <v>0</v>
      </c>
    </row>
    <row r="186" spans="1:25" x14ac:dyDescent="0.3">
      <c r="A186" t="str">
        <f>'rockfish harvests'!A191</f>
        <v>SC</v>
      </c>
      <c r="B186">
        <f>'rockfish harvests'!B191</f>
        <v>2012</v>
      </c>
      <c r="C186" t="str">
        <f>'rockfish harvests'!C191</f>
        <v>PWSI</v>
      </c>
      <c r="D186">
        <f>'rockfish harvests'!D191</f>
        <v>13580</v>
      </c>
      <c r="E186">
        <f>'YE harvest'!E192</f>
        <v>4267</v>
      </c>
      <c r="H186" s="13" t="e">
        <f>#REF!</f>
        <v>#REF!</v>
      </c>
      <c r="I186">
        <f t="shared" si="47"/>
        <v>0</v>
      </c>
      <c r="J186">
        <f t="shared" si="50"/>
        <v>0</v>
      </c>
      <c r="K186" s="6">
        <f t="shared" si="51"/>
        <v>0</v>
      </c>
      <c r="M186" s="2">
        <f>'rockfish harvests'!O191</f>
        <v>31117.154090427939</v>
      </c>
      <c r="N186">
        <f>'rockfish harvests'!P191</f>
        <v>29413124.019685954</v>
      </c>
      <c r="Q186" s="13">
        <f t="shared" si="41"/>
        <v>0</v>
      </c>
      <c r="R186" s="14">
        <f t="shared" si="42"/>
        <v>0</v>
      </c>
      <c r="S186">
        <f t="shared" si="52"/>
        <v>0</v>
      </c>
      <c r="T186" s="6">
        <f t="shared" si="53"/>
        <v>0</v>
      </c>
      <c r="V186" s="13" t="e">
        <f t="shared" si="48"/>
        <v>#REF!</v>
      </c>
      <c r="W186">
        <f t="shared" si="49"/>
        <v>0</v>
      </c>
      <c r="X186">
        <f t="shared" si="54"/>
        <v>0</v>
      </c>
      <c r="Y186" s="6">
        <f t="shared" si="55"/>
        <v>0</v>
      </c>
    </row>
    <row r="187" spans="1:25" x14ac:dyDescent="0.3">
      <c r="A187" t="str">
        <f>'rockfish harvests'!A192</f>
        <v>SC</v>
      </c>
      <c r="B187">
        <f>'rockfish harvests'!B192</f>
        <v>2013</v>
      </c>
      <c r="C187" t="str">
        <f>'rockfish harvests'!C192</f>
        <v>PWSI</v>
      </c>
      <c r="D187">
        <f>'rockfish harvests'!D192</f>
        <v>14209</v>
      </c>
      <c r="E187">
        <f>'YE harvest'!E193</f>
        <v>3334</v>
      </c>
      <c r="H187" s="13" t="e">
        <f>#REF!</f>
        <v>#REF!</v>
      </c>
      <c r="I187">
        <f t="shared" si="47"/>
        <v>0</v>
      </c>
      <c r="J187">
        <f t="shared" si="50"/>
        <v>0</v>
      </c>
      <c r="K187" s="6">
        <f t="shared" si="51"/>
        <v>0</v>
      </c>
      <c r="M187" s="2">
        <f>'rockfish harvests'!O192</f>
        <v>46247.943133398883</v>
      </c>
      <c r="N187">
        <f>'rockfish harvests'!P192</f>
        <v>49601334.787597425</v>
      </c>
      <c r="Q187" s="13">
        <f t="shared" si="41"/>
        <v>0</v>
      </c>
      <c r="R187" s="14">
        <f t="shared" si="42"/>
        <v>0</v>
      </c>
      <c r="S187">
        <f t="shared" si="52"/>
        <v>0</v>
      </c>
      <c r="T187" s="6">
        <f t="shared" si="53"/>
        <v>0</v>
      </c>
      <c r="V187" s="13" t="e">
        <f t="shared" si="48"/>
        <v>#REF!</v>
      </c>
      <c r="W187">
        <f t="shared" si="49"/>
        <v>0</v>
      </c>
      <c r="X187">
        <f t="shared" si="54"/>
        <v>0</v>
      </c>
      <c r="Y187" s="6">
        <f t="shared" si="55"/>
        <v>0</v>
      </c>
    </row>
    <row r="188" spans="1:25" x14ac:dyDescent="0.3">
      <c r="A188" t="str">
        <f>'rockfish harvests'!A193</f>
        <v>SC</v>
      </c>
      <c r="B188">
        <f>'rockfish harvests'!B193</f>
        <v>2014</v>
      </c>
      <c r="C188" t="str">
        <f>'rockfish harvests'!C193</f>
        <v>PWSI</v>
      </c>
      <c r="D188">
        <f>'rockfish harvests'!D193</f>
        <v>14913</v>
      </c>
      <c r="E188">
        <f>'YE harvest'!E194</f>
        <v>4184</v>
      </c>
      <c r="H188" s="13" t="e">
        <f>#REF!</f>
        <v>#REF!</v>
      </c>
      <c r="I188">
        <f t="shared" si="47"/>
        <v>0</v>
      </c>
      <c r="J188">
        <f t="shared" si="50"/>
        <v>0</v>
      </c>
      <c r="K188" s="6">
        <f t="shared" si="51"/>
        <v>0</v>
      </c>
      <c r="M188" s="2">
        <f>'rockfish harvests'!O193</f>
        <v>37953.469599823133</v>
      </c>
      <c r="N188">
        <f>'rockfish harvests'!P193</f>
        <v>47097436.38695576</v>
      </c>
      <c r="Q188" s="13">
        <f t="shared" si="41"/>
        <v>0</v>
      </c>
      <c r="R188" s="14">
        <f t="shared" si="42"/>
        <v>0</v>
      </c>
      <c r="S188">
        <f t="shared" si="52"/>
        <v>0</v>
      </c>
      <c r="T188" s="6">
        <f t="shared" si="53"/>
        <v>0</v>
      </c>
      <c r="V188" s="13" t="e">
        <f t="shared" si="48"/>
        <v>#REF!</v>
      </c>
      <c r="W188">
        <f t="shared" si="49"/>
        <v>0</v>
      </c>
      <c r="X188">
        <f t="shared" si="54"/>
        <v>0</v>
      </c>
      <c r="Y188" s="6">
        <f t="shared" si="55"/>
        <v>0</v>
      </c>
    </row>
    <row r="189" spans="1:25" x14ac:dyDescent="0.3">
      <c r="A189" t="str">
        <f>'rockfish harvests'!A194</f>
        <v>SC</v>
      </c>
      <c r="B189">
        <f>'rockfish harvests'!B194</f>
        <v>2015</v>
      </c>
      <c r="C189" t="str">
        <f>'rockfish harvests'!C194</f>
        <v>PWSI</v>
      </c>
      <c r="D189">
        <f>'rockfish harvests'!D194</f>
        <v>20073</v>
      </c>
      <c r="E189">
        <f>'YE harvest'!E195</f>
        <v>5220</v>
      </c>
      <c r="H189" s="13" t="e">
        <f>#REF!</f>
        <v>#REF!</v>
      </c>
      <c r="I189">
        <f t="shared" si="47"/>
        <v>0</v>
      </c>
      <c r="J189">
        <f t="shared" si="50"/>
        <v>0</v>
      </c>
      <c r="K189" s="6">
        <f t="shared" si="51"/>
        <v>0</v>
      </c>
      <c r="M189" s="2">
        <f>'rockfish harvests'!O194</f>
        <v>52130.446754112942</v>
      </c>
      <c r="N189">
        <f>'rockfish harvests'!P194</f>
        <v>59819505.590102598</v>
      </c>
      <c r="Q189" s="13">
        <f t="shared" si="41"/>
        <v>0</v>
      </c>
      <c r="R189" s="14">
        <f t="shared" si="42"/>
        <v>0</v>
      </c>
      <c r="S189">
        <f t="shared" si="52"/>
        <v>0</v>
      </c>
      <c r="T189" s="6">
        <f t="shared" si="53"/>
        <v>0</v>
      </c>
      <c r="V189" s="13" t="e">
        <f t="shared" si="48"/>
        <v>#REF!</v>
      </c>
      <c r="W189">
        <f t="shared" si="49"/>
        <v>0</v>
      </c>
      <c r="X189">
        <f t="shared" si="54"/>
        <v>0</v>
      </c>
      <c r="Y189" s="6">
        <f t="shared" si="55"/>
        <v>0</v>
      </c>
    </row>
    <row r="190" spans="1:25" x14ac:dyDescent="0.3">
      <c r="A190" t="str">
        <f>'rockfish harvests'!A195</f>
        <v>SC</v>
      </c>
      <c r="B190">
        <f>'rockfish harvests'!B195</f>
        <v>2016</v>
      </c>
      <c r="C190" t="str">
        <f>'rockfish harvests'!C195</f>
        <v>PWSI</v>
      </c>
      <c r="D190">
        <f>'rockfish harvests'!D195</f>
        <v>28893</v>
      </c>
      <c r="E190">
        <f>'YE harvest'!E196</f>
        <v>6695</v>
      </c>
      <c r="H190" s="13" t="e">
        <f>#REF!</f>
        <v>#REF!</v>
      </c>
      <c r="I190">
        <f t="shared" si="47"/>
        <v>0</v>
      </c>
      <c r="J190">
        <f t="shared" si="50"/>
        <v>0</v>
      </c>
      <c r="K190" s="6">
        <f t="shared" si="51"/>
        <v>0</v>
      </c>
      <c r="M190" s="2">
        <f>'rockfish harvests'!O195</f>
        <v>64825.548631333717</v>
      </c>
      <c r="N190">
        <f>'rockfish harvests'!P195</f>
        <v>114245520.83381788</v>
      </c>
      <c r="Q190" s="13">
        <f t="shared" si="41"/>
        <v>0</v>
      </c>
      <c r="R190" s="14">
        <f t="shared" si="42"/>
        <v>0</v>
      </c>
      <c r="S190">
        <f t="shared" si="52"/>
        <v>0</v>
      </c>
      <c r="T190" s="6">
        <f t="shared" si="53"/>
        <v>0</v>
      </c>
      <c r="V190" s="13" t="e">
        <f t="shared" si="48"/>
        <v>#REF!</v>
      </c>
      <c r="W190">
        <f t="shared" si="49"/>
        <v>0</v>
      </c>
      <c r="X190">
        <f t="shared" si="54"/>
        <v>0</v>
      </c>
      <c r="Y190" s="6">
        <f t="shared" si="55"/>
        <v>0</v>
      </c>
    </row>
    <row r="191" spans="1:25" x14ac:dyDescent="0.3">
      <c r="A191" t="str">
        <f>'rockfish harvests'!A196</f>
        <v>SC</v>
      </c>
      <c r="B191">
        <f>'rockfish harvests'!B196</f>
        <v>2017</v>
      </c>
      <c r="C191" t="str">
        <f>'rockfish harvests'!C196</f>
        <v>PWSI</v>
      </c>
      <c r="D191">
        <f>'rockfish harvests'!D196</f>
        <v>16300</v>
      </c>
      <c r="E191">
        <f>'YE harvest'!E197</f>
        <v>4734</v>
      </c>
      <c r="H191" s="13" t="e">
        <f>#REF!</f>
        <v>#REF!</v>
      </c>
      <c r="I191">
        <f t="shared" si="47"/>
        <v>0</v>
      </c>
      <c r="J191">
        <f t="shared" si="50"/>
        <v>0</v>
      </c>
      <c r="K191" s="6">
        <f t="shared" si="51"/>
        <v>0</v>
      </c>
      <c r="M191" s="2">
        <f>'rockfish harvests'!O196</f>
        <v>33515.774784613517</v>
      </c>
      <c r="N191">
        <f>'rockfish harvests'!P196</f>
        <v>29331655.3806163</v>
      </c>
      <c r="Q191" s="13">
        <f t="shared" si="41"/>
        <v>0</v>
      </c>
      <c r="R191" s="14">
        <f t="shared" si="42"/>
        <v>0</v>
      </c>
      <c r="S191">
        <f t="shared" si="52"/>
        <v>0</v>
      </c>
      <c r="T191" s="6">
        <f t="shared" si="53"/>
        <v>0</v>
      </c>
      <c r="V191" s="13" t="e">
        <f t="shared" si="48"/>
        <v>#REF!</v>
      </c>
      <c r="W191">
        <f t="shared" si="49"/>
        <v>0</v>
      </c>
      <c r="X191">
        <f t="shared" si="54"/>
        <v>0</v>
      </c>
      <c r="Y191" s="6">
        <f t="shared" si="55"/>
        <v>0</v>
      </c>
    </row>
    <row r="192" spans="1:25" x14ac:dyDescent="0.3">
      <c r="A192" t="str">
        <f>'rockfish harvests'!A197</f>
        <v>SC</v>
      </c>
      <c r="B192">
        <f>'rockfish harvests'!B197</f>
        <v>2018</v>
      </c>
      <c r="C192" t="str">
        <f>'rockfish harvests'!C197</f>
        <v>PWSI</v>
      </c>
      <c r="D192">
        <f>'rockfish harvests'!D197</f>
        <v>12107</v>
      </c>
      <c r="E192">
        <f>'YE harvest'!E198</f>
        <v>3366</v>
      </c>
      <c r="H192" s="13" t="e">
        <f>#REF!</f>
        <v>#REF!</v>
      </c>
      <c r="I192">
        <f t="shared" si="47"/>
        <v>0</v>
      </c>
      <c r="J192">
        <f t="shared" si="50"/>
        <v>0</v>
      </c>
      <c r="K192" s="6">
        <f t="shared" si="51"/>
        <v>0</v>
      </c>
      <c r="M192" s="2">
        <f>'rockfish harvests'!O197</f>
        <v>22239.009039310491</v>
      </c>
      <c r="N192">
        <f>'rockfish harvests'!P197</f>
        <v>18423976.825865198</v>
      </c>
      <c r="Q192" s="13">
        <f t="shared" si="41"/>
        <v>0</v>
      </c>
      <c r="R192" s="14">
        <f t="shared" si="42"/>
        <v>0</v>
      </c>
      <c r="S192">
        <f t="shared" si="52"/>
        <v>0</v>
      </c>
      <c r="T192" s="6">
        <f t="shared" si="53"/>
        <v>0</v>
      </c>
      <c r="V192" s="13" t="e">
        <f t="shared" si="48"/>
        <v>#REF!</v>
      </c>
      <c r="W192">
        <f t="shared" si="49"/>
        <v>0</v>
      </c>
      <c r="X192">
        <f t="shared" si="54"/>
        <v>0</v>
      </c>
      <c r="Y192" s="6">
        <f t="shared" si="55"/>
        <v>0</v>
      </c>
    </row>
    <row r="193" spans="1:25" x14ac:dyDescent="0.3">
      <c r="A193" t="str">
        <f>'rockfish harvests'!A198</f>
        <v>SC</v>
      </c>
      <c r="B193">
        <f>'rockfish harvests'!B198</f>
        <v>2019</v>
      </c>
      <c r="C193" t="str">
        <f>'rockfish harvests'!C198</f>
        <v>PWSI</v>
      </c>
      <c r="D193">
        <f>'rockfish harvests'!D198</f>
        <v>15083</v>
      </c>
      <c r="E193">
        <f>'YE harvest'!E199</f>
        <v>3663</v>
      </c>
      <c r="I193">
        <f t="shared" ref="I193:I194" si="60">(E193^2)*G193</f>
        <v>0</v>
      </c>
      <c r="J193">
        <f t="shared" ref="J193:J194" si="61">SQRT(I193)</f>
        <v>0</v>
      </c>
      <c r="K193" s="6">
        <f t="shared" ref="K193:K194" si="62">(1.96*J193)</f>
        <v>0</v>
      </c>
      <c r="M193" s="2">
        <f>'rockfish harvests'!O198</f>
        <v>32001.722103820983</v>
      </c>
      <c r="N193">
        <f>'rockfish harvests'!P198</f>
        <v>26016565.548853625</v>
      </c>
      <c r="R193" s="14"/>
      <c r="S193"/>
      <c r="T193" s="6"/>
      <c r="Y193" s="6"/>
    </row>
    <row r="194" spans="1:25" x14ac:dyDescent="0.3">
      <c r="A194" t="str">
        <f>'rockfish harvests'!A199</f>
        <v>SC</v>
      </c>
      <c r="B194">
        <f>'rockfish harvests'!B199</f>
        <v>2020</v>
      </c>
      <c r="C194" t="str">
        <f>'rockfish harvests'!C199</f>
        <v>PWSI</v>
      </c>
      <c r="D194">
        <f>'rockfish harvests'!D199</f>
        <v>9001</v>
      </c>
      <c r="E194">
        <f>'YE harvest'!E200</f>
        <v>2287</v>
      </c>
      <c r="I194">
        <f t="shared" si="60"/>
        <v>0</v>
      </c>
      <c r="J194">
        <f t="shared" si="61"/>
        <v>0</v>
      </c>
      <c r="K194" s="6">
        <f t="shared" si="62"/>
        <v>0</v>
      </c>
      <c r="M194" s="2">
        <f>'rockfish harvests'!O199</f>
        <v>18605.884326200114</v>
      </c>
      <c r="N194">
        <f>'rockfish harvests'!P199</f>
        <v>9865637.9851696268</v>
      </c>
      <c r="R194" s="14"/>
      <c r="S194"/>
      <c r="T194" s="6"/>
      <c r="Y194" s="6"/>
    </row>
    <row r="195" spans="1:25" x14ac:dyDescent="0.3">
      <c r="A195" t="str">
        <f>'rockfish harvests'!A200</f>
        <v>SC</v>
      </c>
      <c r="B195">
        <f>'rockfish harvests'!B200</f>
        <v>2021</v>
      </c>
      <c r="C195" t="str">
        <f>'rockfish harvests'!C200</f>
        <v>PWSI</v>
      </c>
      <c r="D195">
        <f>'rockfish harvests'!D200</f>
        <v>16848</v>
      </c>
      <c r="E195">
        <f>'YE harvest'!E201</f>
        <v>3647</v>
      </c>
      <c r="K195" s="6"/>
      <c r="M195" s="2">
        <f>'rockfish harvests'!O200</f>
        <v>26712.114727976325</v>
      </c>
      <c r="N195">
        <f>'rockfish harvests'!P200</f>
        <v>21799295.268585149</v>
      </c>
      <c r="R195" s="14"/>
      <c r="S195"/>
      <c r="T195" s="6"/>
      <c r="Y195" s="6"/>
    </row>
    <row r="196" spans="1:25" x14ac:dyDescent="0.3">
      <c r="A196" t="str">
        <f>'rockfish harvests'!A202</f>
        <v>SC</v>
      </c>
      <c r="B196">
        <f>'rockfish harvests'!B202</f>
        <v>1998</v>
      </c>
      <c r="C196" t="str">
        <f>'rockfish harvests'!C202</f>
        <v>PWSO</v>
      </c>
      <c r="D196">
        <f>'rockfish harvests'!D202</f>
        <v>7091</v>
      </c>
      <c r="E196">
        <f>'YE harvest'!E203</f>
        <v>1652</v>
      </c>
      <c r="H196" s="13">
        <f t="shared" ref="H196:H203" si="63">E196*F196</f>
        <v>0</v>
      </c>
      <c r="I196">
        <f t="shared" si="47"/>
        <v>0</v>
      </c>
      <c r="J196">
        <f t="shared" si="50"/>
        <v>0</v>
      </c>
      <c r="K196" s="6">
        <f t="shared" si="51"/>
        <v>0</v>
      </c>
      <c r="M196" s="2">
        <f>'rockfish harvests'!O202</f>
        <v>1471.2039985303945</v>
      </c>
      <c r="N196">
        <f>'rockfish harvests'!P202</f>
        <v>494154.9077878145</v>
      </c>
      <c r="O196" s="32"/>
      <c r="P196" s="32"/>
      <c r="Q196" s="13">
        <f t="shared" si="41"/>
        <v>0</v>
      </c>
      <c r="R196" s="14">
        <f t="shared" si="42"/>
        <v>0</v>
      </c>
      <c r="S196">
        <f t="shared" si="52"/>
        <v>0</v>
      </c>
      <c r="T196" s="6">
        <f t="shared" si="53"/>
        <v>0</v>
      </c>
      <c r="V196" s="13">
        <f t="shared" si="48"/>
        <v>0</v>
      </c>
      <c r="W196">
        <f t="shared" si="49"/>
        <v>0</v>
      </c>
      <c r="X196">
        <f t="shared" si="54"/>
        <v>0</v>
      </c>
      <c r="Y196" s="6">
        <f t="shared" si="55"/>
        <v>0</v>
      </c>
    </row>
    <row r="197" spans="1:25" x14ac:dyDescent="0.3">
      <c r="A197" t="str">
        <f>'rockfish harvests'!A203</f>
        <v>SC</v>
      </c>
      <c r="B197">
        <f>'rockfish harvests'!B203</f>
        <v>1999</v>
      </c>
      <c r="C197" t="str">
        <f>'rockfish harvests'!C203</f>
        <v>PWSO</v>
      </c>
      <c r="D197">
        <f>'rockfish harvests'!D203</f>
        <v>4594</v>
      </c>
      <c r="E197">
        <f>'YE harvest'!E204</f>
        <v>1341</v>
      </c>
      <c r="H197" s="13">
        <f t="shared" si="63"/>
        <v>0</v>
      </c>
      <c r="I197">
        <f t="shared" si="47"/>
        <v>0</v>
      </c>
      <c r="J197">
        <f t="shared" si="50"/>
        <v>0</v>
      </c>
      <c r="K197" s="6">
        <f t="shared" si="51"/>
        <v>0</v>
      </c>
      <c r="M197" s="2">
        <f>'rockfish harvests'!O203</f>
        <v>953.13935541512274</v>
      </c>
      <c r="N197">
        <f>'rockfish harvests'!P203</f>
        <v>207410.20653889881</v>
      </c>
      <c r="O197" s="32"/>
      <c r="P197" s="32"/>
      <c r="Q197" s="13">
        <f t="shared" ref="Q197:Q271" si="64">M197*O197</f>
        <v>0</v>
      </c>
      <c r="R197" s="14">
        <f t="shared" ref="R197:R271" si="65">(M197^2)*P197+(O197^2)*N197-(P197*N197)</f>
        <v>0</v>
      </c>
      <c r="S197">
        <f t="shared" si="52"/>
        <v>0</v>
      </c>
      <c r="T197" s="6">
        <f t="shared" si="53"/>
        <v>0</v>
      </c>
      <c r="V197" s="13">
        <f t="shared" si="48"/>
        <v>0</v>
      </c>
      <c r="W197">
        <f t="shared" si="49"/>
        <v>0</v>
      </c>
      <c r="X197">
        <f t="shared" si="54"/>
        <v>0</v>
      </c>
      <c r="Y197" s="6">
        <f t="shared" si="55"/>
        <v>0</v>
      </c>
    </row>
    <row r="198" spans="1:25" x14ac:dyDescent="0.3">
      <c r="A198" t="str">
        <f>'rockfish harvests'!A204</f>
        <v>SC</v>
      </c>
      <c r="B198">
        <f>'rockfish harvests'!B204</f>
        <v>2000</v>
      </c>
      <c r="C198" t="str">
        <f>'rockfish harvests'!C204</f>
        <v>PWSO</v>
      </c>
      <c r="D198">
        <f>'rockfish harvests'!D204</f>
        <v>9244</v>
      </c>
      <c r="E198">
        <f>'YE harvest'!E205</f>
        <v>2206</v>
      </c>
      <c r="H198" s="13">
        <f t="shared" si="63"/>
        <v>0</v>
      </c>
      <c r="I198">
        <f t="shared" si="47"/>
        <v>0</v>
      </c>
      <c r="J198">
        <f t="shared" si="50"/>
        <v>0</v>
      </c>
      <c r="K198" s="6">
        <f t="shared" si="51"/>
        <v>0</v>
      </c>
      <c r="M198" s="2">
        <f>'rockfish harvests'!O204</f>
        <v>1917.897301144405</v>
      </c>
      <c r="N198">
        <f>'rockfish harvests'!P204</f>
        <v>839784.81191828009</v>
      </c>
      <c r="O198" s="32"/>
      <c r="P198" s="32"/>
      <c r="Q198" s="13">
        <f t="shared" si="64"/>
        <v>0</v>
      </c>
      <c r="R198" s="14">
        <f t="shared" si="65"/>
        <v>0</v>
      </c>
      <c r="S198">
        <f t="shared" si="52"/>
        <v>0</v>
      </c>
      <c r="T198" s="6">
        <f t="shared" si="53"/>
        <v>0</v>
      </c>
      <c r="V198" s="13">
        <f t="shared" si="48"/>
        <v>0</v>
      </c>
      <c r="W198">
        <f t="shared" si="49"/>
        <v>0</v>
      </c>
      <c r="X198">
        <f t="shared" si="54"/>
        <v>0</v>
      </c>
      <c r="Y198" s="6">
        <f t="shared" si="55"/>
        <v>0</v>
      </c>
    </row>
    <row r="199" spans="1:25" x14ac:dyDescent="0.3">
      <c r="A199" t="str">
        <f>'rockfish harvests'!A205</f>
        <v>SC</v>
      </c>
      <c r="B199">
        <f>'rockfish harvests'!B205</f>
        <v>2001</v>
      </c>
      <c r="C199" t="str">
        <f>'rockfish harvests'!C205</f>
        <v>PWSO</v>
      </c>
      <c r="D199">
        <f>'rockfish harvests'!D205</f>
        <v>11235</v>
      </c>
      <c r="E199">
        <f>'YE harvest'!E206</f>
        <v>3024</v>
      </c>
      <c r="H199" s="13">
        <f t="shared" si="63"/>
        <v>0</v>
      </c>
      <c r="I199">
        <f t="shared" si="47"/>
        <v>0</v>
      </c>
      <c r="J199">
        <f t="shared" si="50"/>
        <v>0</v>
      </c>
      <c r="K199" s="6">
        <f t="shared" si="51"/>
        <v>0</v>
      </c>
      <c r="M199" s="2">
        <f>'rockfish harvests'!O205</f>
        <v>2330.979681778168</v>
      </c>
      <c r="N199">
        <f>'rockfish harvests'!P205</f>
        <v>1240492.9366742759</v>
      </c>
      <c r="Q199" s="13">
        <f t="shared" si="64"/>
        <v>0</v>
      </c>
      <c r="R199" s="14">
        <f t="shared" si="65"/>
        <v>0</v>
      </c>
      <c r="S199">
        <f t="shared" si="52"/>
        <v>0</v>
      </c>
      <c r="T199" s="6">
        <f t="shared" si="53"/>
        <v>0</v>
      </c>
      <c r="V199" s="13">
        <f t="shared" si="48"/>
        <v>0</v>
      </c>
      <c r="W199">
        <f t="shared" si="49"/>
        <v>0</v>
      </c>
      <c r="X199">
        <f t="shared" si="54"/>
        <v>0</v>
      </c>
      <c r="Y199" s="6">
        <f t="shared" si="55"/>
        <v>0</v>
      </c>
    </row>
    <row r="200" spans="1:25" x14ac:dyDescent="0.3">
      <c r="A200" t="str">
        <f>'rockfish harvests'!A206</f>
        <v>SC</v>
      </c>
      <c r="B200">
        <f>'rockfish harvests'!B206</f>
        <v>2002</v>
      </c>
      <c r="C200" t="str">
        <f>'rockfish harvests'!C206</f>
        <v>PWSO</v>
      </c>
      <c r="D200">
        <f>'rockfish harvests'!D206</f>
        <v>9018</v>
      </c>
      <c r="E200">
        <f>'YE harvest'!E207</f>
        <v>2386</v>
      </c>
      <c r="H200" s="13">
        <f t="shared" si="63"/>
        <v>0</v>
      </c>
      <c r="I200">
        <f t="shared" si="47"/>
        <v>0</v>
      </c>
      <c r="J200">
        <f t="shared" si="50"/>
        <v>0</v>
      </c>
      <c r="K200" s="6">
        <f t="shared" si="51"/>
        <v>0</v>
      </c>
      <c r="M200" s="2">
        <f>'rockfish harvests'!O206</f>
        <v>1871.0079902336911</v>
      </c>
      <c r="N200">
        <f>'rockfish harvests'!P206</f>
        <v>799224.16063675296</v>
      </c>
      <c r="O200" s="32"/>
      <c r="P200" s="32"/>
      <c r="Q200" s="13">
        <f t="shared" si="64"/>
        <v>0</v>
      </c>
      <c r="R200" s="14">
        <f t="shared" si="65"/>
        <v>0</v>
      </c>
      <c r="S200">
        <f t="shared" si="52"/>
        <v>0</v>
      </c>
      <c r="T200" s="6">
        <f t="shared" si="53"/>
        <v>0</v>
      </c>
      <c r="V200" s="13">
        <f t="shared" si="48"/>
        <v>0</v>
      </c>
      <c r="W200">
        <f t="shared" si="49"/>
        <v>0</v>
      </c>
      <c r="X200">
        <f t="shared" si="54"/>
        <v>0</v>
      </c>
      <c r="Y200" s="6">
        <f t="shared" si="55"/>
        <v>0</v>
      </c>
    </row>
    <row r="201" spans="1:25" x14ac:dyDescent="0.3">
      <c r="A201" t="str">
        <f>'rockfish harvests'!A207</f>
        <v>SC</v>
      </c>
      <c r="B201">
        <f>'rockfish harvests'!B207</f>
        <v>2003</v>
      </c>
      <c r="C201" t="str">
        <f>'rockfish harvests'!C207</f>
        <v>PWSO</v>
      </c>
      <c r="D201">
        <f>'rockfish harvests'!D207</f>
        <v>9696</v>
      </c>
      <c r="E201">
        <f>'YE harvest'!E208</f>
        <v>2448</v>
      </c>
      <c r="H201" s="13">
        <f t="shared" si="63"/>
        <v>0</v>
      </c>
      <c r="I201">
        <f t="shared" si="47"/>
        <v>0</v>
      </c>
      <c r="J201">
        <f t="shared" si="50"/>
        <v>0</v>
      </c>
      <c r="K201" s="6">
        <f t="shared" si="51"/>
        <v>0</v>
      </c>
      <c r="M201" s="2">
        <f>'rockfish harvests'!O207</f>
        <v>2011.675922965831</v>
      </c>
      <c r="N201">
        <f>'rockfish harvests'!P207</f>
        <v>923917.84611739591</v>
      </c>
      <c r="Q201" s="13">
        <f t="shared" si="64"/>
        <v>0</v>
      </c>
      <c r="R201" s="14">
        <f t="shared" si="65"/>
        <v>0</v>
      </c>
      <c r="S201">
        <f t="shared" si="52"/>
        <v>0</v>
      </c>
      <c r="T201" s="6">
        <f t="shared" si="53"/>
        <v>0</v>
      </c>
      <c r="V201" s="13">
        <f t="shared" si="48"/>
        <v>0</v>
      </c>
      <c r="W201">
        <f t="shared" si="49"/>
        <v>0</v>
      </c>
      <c r="X201">
        <f t="shared" si="54"/>
        <v>0</v>
      </c>
      <c r="Y201" s="6">
        <f t="shared" si="55"/>
        <v>0</v>
      </c>
    </row>
    <row r="202" spans="1:25" x14ac:dyDescent="0.3">
      <c r="A202" t="str">
        <f>'rockfish harvests'!A208</f>
        <v>SC</v>
      </c>
      <c r="B202">
        <f>'rockfish harvests'!B208</f>
        <v>2004</v>
      </c>
      <c r="C202" t="str">
        <f>'rockfish harvests'!C208</f>
        <v>PWSO</v>
      </c>
      <c r="D202">
        <f>'rockfish harvests'!D208</f>
        <v>12216</v>
      </c>
      <c r="E202">
        <f>'YE harvest'!E209</f>
        <v>2976</v>
      </c>
      <c r="H202" s="13">
        <f t="shared" si="63"/>
        <v>0</v>
      </c>
      <c r="I202">
        <f t="shared" si="47"/>
        <v>0</v>
      </c>
      <c r="J202">
        <f t="shared" si="50"/>
        <v>0</v>
      </c>
      <c r="K202" s="6">
        <f t="shared" si="51"/>
        <v>0</v>
      </c>
      <c r="M202" s="2">
        <f>'rockfish harvests'!O208</f>
        <v>2534.5124871029911</v>
      </c>
      <c r="N202">
        <f>'rockfish harvests'!P208</f>
        <v>1466581.4594766509</v>
      </c>
      <c r="Q202" s="13">
        <f t="shared" si="64"/>
        <v>0</v>
      </c>
      <c r="R202" s="14">
        <f t="shared" si="65"/>
        <v>0</v>
      </c>
      <c r="S202">
        <f t="shared" si="52"/>
        <v>0</v>
      </c>
      <c r="T202" s="6">
        <f t="shared" si="53"/>
        <v>0</v>
      </c>
      <c r="V202" s="13">
        <f t="shared" si="48"/>
        <v>0</v>
      </c>
      <c r="W202">
        <f t="shared" si="49"/>
        <v>0</v>
      </c>
      <c r="X202">
        <f t="shared" si="54"/>
        <v>0</v>
      </c>
      <c r="Y202" s="6">
        <f t="shared" si="55"/>
        <v>0</v>
      </c>
    </row>
    <row r="203" spans="1:25" x14ac:dyDescent="0.3">
      <c r="A203" t="str">
        <f>'rockfish harvests'!A209</f>
        <v>SC</v>
      </c>
      <c r="B203">
        <f>'rockfish harvests'!B209</f>
        <v>2005</v>
      </c>
      <c r="C203" t="str">
        <f>'rockfish harvests'!C209</f>
        <v>PWSO</v>
      </c>
      <c r="D203">
        <f>'rockfish harvests'!D209</f>
        <v>9664</v>
      </c>
      <c r="E203">
        <f>'YE harvest'!E210</f>
        <v>2177</v>
      </c>
      <c r="H203" s="13">
        <f t="shared" si="63"/>
        <v>0</v>
      </c>
      <c r="I203">
        <f t="shared" si="47"/>
        <v>0</v>
      </c>
      <c r="J203">
        <f t="shared" si="50"/>
        <v>0</v>
      </c>
      <c r="K203" s="6">
        <f t="shared" si="51"/>
        <v>0</v>
      </c>
      <c r="M203" s="2">
        <f>'rockfish harvests'!O209</f>
        <v>2005.0367285005977</v>
      </c>
      <c r="N203">
        <f>'rockfish harvests'!P209</f>
        <v>917829.44196419709</v>
      </c>
      <c r="Q203" s="13">
        <f t="shared" si="64"/>
        <v>0</v>
      </c>
      <c r="R203" s="14">
        <f t="shared" si="65"/>
        <v>0</v>
      </c>
      <c r="S203">
        <f t="shared" si="52"/>
        <v>0</v>
      </c>
      <c r="T203" s="6">
        <f t="shared" si="53"/>
        <v>0</v>
      </c>
      <c r="V203" s="13">
        <f t="shared" si="48"/>
        <v>0</v>
      </c>
      <c r="W203">
        <f t="shared" si="49"/>
        <v>0</v>
      </c>
      <c r="X203">
        <f t="shared" si="54"/>
        <v>0</v>
      </c>
      <c r="Y203" s="6">
        <f t="shared" si="55"/>
        <v>0</v>
      </c>
    </row>
    <row r="204" spans="1:25" x14ac:dyDescent="0.3">
      <c r="A204" t="str">
        <f>'rockfish harvests'!A210</f>
        <v>SC</v>
      </c>
      <c r="B204">
        <f>'rockfish harvests'!B210</f>
        <v>2006</v>
      </c>
      <c r="C204" t="str">
        <f>'rockfish harvests'!C210</f>
        <v>PWSO</v>
      </c>
      <c r="D204">
        <f>'rockfish harvests'!D210</f>
        <v>9129</v>
      </c>
      <c r="E204">
        <f>'YE harvest'!E211</f>
        <v>2934</v>
      </c>
      <c r="H204" s="13" t="e">
        <f>#REF!</f>
        <v>#REF!</v>
      </c>
      <c r="I204">
        <f t="shared" si="47"/>
        <v>0</v>
      </c>
      <c r="J204">
        <f t="shared" si="50"/>
        <v>0</v>
      </c>
      <c r="K204" s="6">
        <f t="shared" si="51"/>
        <v>0</v>
      </c>
      <c r="M204" s="2">
        <f>'rockfish harvests'!O210</f>
        <v>1894.0376960349713</v>
      </c>
      <c r="N204">
        <f>'rockfish harvests'!P210</f>
        <v>819020.09295315738</v>
      </c>
      <c r="O204" s="32"/>
      <c r="P204" s="32"/>
      <c r="Q204" s="13">
        <f t="shared" si="64"/>
        <v>0</v>
      </c>
      <c r="R204" s="14">
        <f t="shared" si="65"/>
        <v>0</v>
      </c>
      <c r="S204">
        <f t="shared" si="52"/>
        <v>0</v>
      </c>
      <c r="T204" s="6">
        <f t="shared" si="53"/>
        <v>0</v>
      </c>
      <c r="V204" s="13" t="e">
        <f t="shared" si="48"/>
        <v>#REF!</v>
      </c>
      <c r="W204">
        <f t="shared" si="49"/>
        <v>0</v>
      </c>
      <c r="X204">
        <f t="shared" si="54"/>
        <v>0</v>
      </c>
      <c r="Y204" s="6">
        <f t="shared" si="55"/>
        <v>0</v>
      </c>
    </row>
    <row r="205" spans="1:25" x14ac:dyDescent="0.3">
      <c r="A205" t="str">
        <f>'rockfish harvests'!A211</f>
        <v>SC</v>
      </c>
      <c r="B205">
        <f>'rockfish harvests'!B211</f>
        <v>2007</v>
      </c>
      <c r="C205" t="str">
        <f>'rockfish harvests'!C211</f>
        <v>PWSO</v>
      </c>
      <c r="D205">
        <f>'rockfish harvests'!D211</f>
        <v>12198</v>
      </c>
      <c r="E205">
        <f>'YE harvest'!E212</f>
        <v>3859</v>
      </c>
      <c r="H205" s="13" t="e">
        <f>#REF!</f>
        <v>#REF!</v>
      </c>
      <c r="I205">
        <f t="shared" si="47"/>
        <v>0</v>
      </c>
      <c r="J205">
        <f t="shared" si="50"/>
        <v>0</v>
      </c>
      <c r="K205" s="6">
        <f t="shared" si="51"/>
        <v>0</v>
      </c>
      <c r="M205" s="2">
        <f>'rockfish harvests'!O211</f>
        <v>2530.7779402162978</v>
      </c>
      <c r="N205">
        <f>'rockfish harvests'!P211</f>
        <v>1462262.6943327789</v>
      </c>
      <c r="O205" s="32"/>
      <c r="P205" s="32"/>
      <c r="Q205" s="13">
        <f t="shared" si="64"/>
        <v>0</v>
      </c>
      <c r="R205" s="14">
        <f t="shared" si="65"/>
        <v>0</v>
      </c>
      <c r="S205">
        <f t="shared" si="52"/>
        <v>0</v>
      </c>
      <c r="T205" s="6">
        <f t="shared" si="53"/>
        <v>0</v>
      </c>
      <c r="V205" s="13" t="e">
        <f t="shared" si="48"/>
        <v>#REF!</v>
      </c>
      <c r="W205">
        <f t="shared" si="49"/>
        <v>0</v>
      </c>
      <c r="X205">
        <f t="shared" si="54"/>
        <v>0</v>
      </c>
      <c r="Y205" s="6">
        <f t="shared" si="55"/>
        <v>0</v>
      </c>
    </row>
    <row r="206" spans="1:25" x14ac:dyDescent="0.3">
      <c r="A206" t="str">
        <f>'rockfish harvests'!A212</f>
        <v>SC</v>
      </c>
      <c r="B206">
        <f>'rockfish harvests'!B212</f>
        <v>2008</v>
      </c>
      <c r="C206" t="str">
        <f>'rockfish harvests'!C212</f>
        <v>PWSO</v>
      </c>
      <c r="D206">
        <f>'rockfish harvests'!D212</f>
        <v>13387</v>
      </c>
      <c r="E206">
        <f>'YE harvest'!E213</f>
        <v>3569</v>
      </c>
      <c r="H206" s="13" t="e">
        <f>#REF!</f>
        <v>#REF!</v>
      </c>
      <c r="I206">
        <f t="shared" si="47"/>
        <v>0</v>
      </c>
      <c r="J206">
        <f t="shared" si="50"/>
        <v>0</v>
      </c>
      <c r="K206" s="6">
        <f t="shared" si="51"/>
        <v>0</v>
      </c>
      <c r="M206" s="2">
        <f>'rockfish harvests'!O212</f>
        <v>2777.4655095651397</v>
      </c>
      <c r="N206">
        <f>'rockfish harvests'!P212</f>
        <v>1761224.3005580062</v>
      </c>
      <c r="O206" s="32"/>
      <c r="P206" s="32"/>
      <c r="Q206" s="13">
        <f t="shared" si="64"/>
        <v>0</v>
      </c>
      <c r="R206" s="14">
        <f t="shared" si="65"/>
        <v>0</v>
      </c>
      <c r="S206">
        <f t="shared" si="52"/>
        <v>0</v>
      </c>
      <c r="T206" s="6">
        <f t="shared" si="53"/>
        <v>0</v>
      </c>
      <c r="V206" s="13" t="e">
        <f t="shared" si="48"/>
        <v>#REF!</v>
      </c>
      <c r="W206">
        <f t="shared" si="49"/>
        <v>0</v>
      </c>
      <c r="X206">
        <f t="shared" si="54"/>
        <v>0</v>
      </c>
      <c r="Y206" s="6">
        <f t="shared" si="55"/>
        <v>0</v>
      </c>
    </row>
    <row r="207" spans="1:25" x14ac:dyDescent="0.3">
      <c r="A207" t="str">
        <f>'rockfish harvests'!A213</f>
        <v>SC</v>
      </c>
      <c r="B207">
        <f>'rockfish harvests'!B213</f>
        <v>2009</v>
      </c>
      <c r="C207" t="str">
        <f>'rockfish harvests'!C213</f>
        <v>PWSO</v>
      </c>
      <c r="D207">
        <f>'rockfish harvests'!D213</f>
        <v>13724</v>
      </c>
      <c r="E207">
        <f>'YE harvest'!E214</f>
        <v>3376</v>
      </c>
      <c r="H207" s="13" t="e">
        <f>#REF!</f>
        <v>#REF!</v>
      </c>
      <c r="I207">
        <f t="shared" si="47"/>
        <v>0</v>
      </c>
      <c r="J207">
        <f t="shared" si="50"/>
        <v>0</v>
      </c>
      <c r="K207" s="6">
        <f t="shared" si="51"/>
        <v>0</v>
      </c>
      <c r="M207" s="2">
        <f>'rockfish harvests'!O213</f>
        <v>2847.384526277132</v>
      </c>
      <c r="N207">
        <f>'rockfish harvests'!P213</f>
        <v>1851013.392635928</v>
      </c>
      <c r="Q207" s="13">
        <f t="shared" si="64"/>
        <v>0</v>
      </c>
      <c r="R207" s="14">
        <f t="shared" si="65"/>
        <v>0</v>
      </c>
      <c r="S207">
        <f t="shared" si="52"/>
        <v>0</v>
      </c>
      <c r="T207" s="6">
        <f t="shared" si="53"/>
        <v>0</v>
      </c>
      <c r="V207" s="13" t="e">
        <f t="shared" si="48"/>
        <v>#REF!</v>
      </c>
      <c r="W207">
        <f t="shared" si="49"/>
        <v>0</v>
      </c>
      <c r="X207">
        <f t="shared" si="54"/>
        <v>0</v>
      </c>
      <c r="Y207" s="6">
        <f t="shared" si="55"/>
        <v>0</v>
      </c>
    </row>
    <row r="208" spans="1:25" x14ac:dyDescent="0.3">
      <c r="A208" t="str">
        <f>'rockfish harvests'!A214</f>
        <v>SC</v>
      </c>
      <c r="B208">
        <f>'rockfish harvests'!B214</f>
        <v>2010</v>
      </c>
      <c r="C208" t="str">
        <f>'rockfish harvests'!C214</f>
        <v>PWSO</v>
      </c>
      <c r="D208">
        <f>'rockfish harvests'!D214</f>
        <v>13038</v>
      </c>
      <c r="E208">
        <f>'YE harvest'!E215</f>
        <v>4523</v>
      </c>
      <c r="H208" s="13" t="e">
        <f>#REF!</f>
        <v>#REF!</v>
      </c>
      <c r="I208">
        <f t="shared" si="47"/>
        <v>0</v>
      </c>
      <c r="J208">
        <f t="shared" si="50"/>
        <v>0</v>
      </c>
      <c r="K208" s="6">
        <f t="shared" si="51"/>
        <v>0</v>
      </c>
      <c r="M208" s="2">
        <f>'rockfish harvests'!O214</f>
        <v>2705.0567949286833</v>
      </c>
      <c r="N208">
        <f>'rockfish harvests'!P214</f>
        <v>1670590.8394394808</v>
      </c>
      <c r="Q208" s="13">
        <f t="shared" si="64"/>
        <v>0</v>
      </c>
      <c r="R208" s="14">
        <f t="shared" si="65"/>
        <v>0</v>
      </c>
      <c r="S208">
        <f t="shared" si="52"/>
        <v>0</v>
      </c>
      <c r="T208" s="6">
        <f t="shared" si="53"/>
        <v>0</v>
      </c>
      <c r="V208" s="13" t="e">
        <f t="shared" si="48"/>
        <v>#REF!</v>
      </c>
      <c r="W208">
        <f t="shared" si="49"/>
        <v>0</v>
      </c>
      <c r="X208">
        <f t="shared" si="54"/>
        <v>0</v>
      </c>
      <c r="Y208" s="6">
        <f t="shared" si="55"/>
        <v>0</v>
      </c>
    </row>
    <row r="209" spans="1:26" x14ac:dyDescent="0.3">
      <c r="A209" t="str">
        <f>'rockfish harvests'!A215</f>
        <v>SC</v>
      </c>
      <c r="B209">
        <f>'rockfish harvests'!B215</f>
        <v>2011</v>
      </c>
      <c r="C209" t="str">
        <f>'rockfish harvests'!C215</f>
        <v>PWSO</v>
      </c>
      <c r="D209">
        <f>'rockfish harvests'!D215</f>
        <v>15590</v>
      </c>
      <c r="E209">
        <f>'YE harvest'!E216</f>
        <v>4260</v>
      </c>
      <c r="H209" s="13" t="e">
        <f>#REF!</f>
        <v>#REF!</v>
      </c>
      <c r="I209">
        <f t="shared" si="47"/>
        <v>0</v>
      </c>
      <c r="J209">
        <f t="shared" si="50"/>
        <v>0</v>
      </c>
      <c r="K209" s="6">
        <f t="shared" si="51"/>
        <v>0</v>
      </c>
      <c r="M209" s="2">
        <f>'rockfish harvests'!O215</f>
        <v>3693.2731282159002</v>
      </c>
      <c r="N209">
        <f>'rockfish harvests'!P215</f>
        <v>1342172.6209808656</v>
      </c>
      <c r="Q209" s="13">
        <f t="shared" si="64"/>
        <v>0</v>
      </c>
      <c r="R209" s="14">
        <f t="shared" si="65"/>
        <v>0</v>
      </c>
      <c r="S209">
        <f t="shared" si="52"/>
        <v>0</v>
      </c>
      <c r="T209" s="6">
        <f t="shared" si="53"/>
        <v>0</v>
      </c>
      <c r="V209" s="13" t="e">
        <f t="shared" si="48"/>
        <v>#REF!</v>
      </c>
      <c r="W209">
        <f t="shared" si="49"/>
        <v>0</v>
      </c>
      <c r="X209">
        <f t="shared" si="54"/>
        <v>0</v>
      </c>
      <c r="Y209" s="6">
        <f t="shared" si="55"/>
        <v>0</v>
      </c>
    </row>
    <row r="210" spans="1:26" x14ac:dyDescent="0.3">
      <c r="A210" t="str">
        <f>'rockfish harvests'!A216</f>
        <v>SC</v>
      </c>
      <c r="B210">
        <f>'rockfish harvests'!B216</f>
        <v>2012</v>
      </c>
      <c r="C210" t="str">
        <f>'rockfish harvests'!C216</f>
        <v>PWSO</v>
      </c>
      <c r="D210">
        <f>'rockfish harvests'!D216</f>
        <v>16566</v>
      </c>
      <c r="E210">
        <f>'YE harvest'!E217</f>
        <v>5165</v>
      </c>
      <c r="H210" s="13" t="e">
        <f>#REF!</f>
        <v>#REF!</v>
      </c>
      <c r="I210">
        <f t="shared" si="47"/>
        <v>0</v>
      </c>
      <c r="J210">
        <f t="shared" si="50"/>
        <v>0</v>
      </c>
      <c r="K210" s="6">
        <f t="shared" si="51"/>
        <v>0</v>
      </c>
      <c r="M210" s="2">
        <f>'rockfish harvests'!O216</f>
        <v>2004.0431802604508</v>
      </c>
      <c r="N210">
        <f>'rockfish harvests'!P216</f>
        <v>375586.44375818601</v>
      </c>
      <c r="Q210" s="13">
        <f t="shared" si="64"/>
        <v>0</v>
      </c>
      <c r="R210" s="14">
        <f t="shared" si="65"/>
        <v>0</v>
      </c>
      <c r="S210">
        <f t="shared" si="52"/>
        <v>0</v>
      </c>
      <c r="T210" s="6">
        <f t="shared" si="53"/>
        <v>0</v>
      </c>
      <c r="V210" s="13" t="e">
        <f t="shared" si="48"/>
        <v>#REF!</v>
      </c>
      <c r="W210">
        <f t="shared" si="49"/>
        <v>0</v>
      </c>
      <c r="X210">
        <f t="shared" si="54"/>
        <v>0</v>
      </c>
      <c r="Y210" s="6">
        <f t="shared" si="55"/>
        <v>0</v>
      </c>
    </row>
    <row r="211" spans="1:26" x14ac:dyDescent="0.3">
      <c r="A211" t="str">
        <f>'rockfish harvests'!A217</f>
        <v>SC</v>
      </c>
      <c r="B211">
        <f>'rockfish harvests'!B217</f>
        <v>2013</v>
      </c>
      <c r="C211" t="str">
        <f>'rockfish harvests'!C217</f>
        <v>PWSO</v>
      </c>
      <c r="D211">
        <f>'rockfish harvests'!D217</f>
        <v>19818</v>
      </c>
      <c r="E211">
        <f>'YE harvest'!E218</f>
        <v>5595</v>
      </c>
      <c r="H211" s="13" t="e">
        <f>#REF!</f>
        <v>#REF!</v>
      </c>
      <c r="I211">
        <f t="shared" si="47"/>
        <v>0</v>
      </c>
      <c r="J211">
        <f t="shared" si="50"/>
        <v>0</v>
      </c>
      <c r="K211" s="6">
        <f t="shared" si="51"/>
        <v>0</v>
      </c>
      <c r="M211" s="2">
        <f>'rockfish harvests'!O217</f>
        <v>6885.7645042839649</v>
      </c>
      <c r="N211">
        <f>'rockfish harvests'!P217</f>
        <v>4343369.567205376</v>
      </c>
      <c r="Q211" s="13">
        <f t="shared" si="64"/>
        <v>0</v>
      </c>
      <c r="R211" s="14">
        <f t="shared" si="65"/>
        <v>0</v>
      </c>
      <c r="S211">
        <f t="shared" si="52"/>
        <v>0</v>
      </c>
      <c r="T211" s="6">
        <f t="shared" si="53"/>
        <v>0</v>
      </c>
      <c r="V211" s="13" t="e">
        <f t="shared" si="48"/>
        <v>#REF!</v>
      </c>
      <c r="W211">
        <f t="shared" si="49"/>
        <v>0</v>
      </c>
      <c r="X211">
        <f t="shared" si="54"/>
        <v>0</v>
      </c>
      <c r="Y211" s="6">
        <f t="shared" si="55"/>
        <v>0</v>
      </c>
    </row>
    <row r="212" spans="1:26" x14ac:dyDescent="0.3">
      <c r="A212" t="str">
        <f>'rockfish harvests'!A218</f>
        <v>SC</v>
      </c>
      <c r="B212">
        <f>'rockfish harvests'!B218</f>
        <v>2014</v>
      </c>
      <c r="C212" t="str">
        <f>'rockfish harvests'!C218</f>
        <v>PWSO</v>
      </c>
      <c r="D212">
        <f>'rockfish harvests'!D218</f>
        <v>21309</v>
      </c>
      <c r="E212">
        <f>'YE harvest'!E219</f>
        <v>5557</v>
      </c>
      <c r="H212" s="13" t="e">
        <f>#REF!</f>
        <v>#REF!</v>
      </c>
      <c r="I212">
        <f t="shared" si="47"/>
        <v>0</v>
      </c>
      <c r="J212">
        <f t="shared" si="50"/>
        <v>0</v>
      </c>
      <c r="K212" s="6">
        <f t="shared" si="51"/>
        <v>0</v>
      </c>
      <c r="M212" s="2">
        <f>'rockfish harvests'!O218</f>
        <v>7356.7256448320622</v>
      </c>
      <c r="N212">
        <f>'rockfish harvests'!P218</f>
        <v>3862984.9469756186</v>
      </c>
      <c r="Q212" s="13">
        <f t="shared" si="64"/>
        <v>0</v>
      </c>
      <c r="R212" s="14">
        <f t="shared" si="65"/>
        <v>0</v>
      </c>
      <c r="S212">
        <f t="shared" si="52"/>
        <v>0</v>
      </c>
      <c r="T212" s="6">
        <f t="shared" si="53"/>
        <v>0</v>
      </c>
      <c r="V212" s="13" t="e">
        <f t="shared" si="48"/>
        <v>#REF!</v>
      </c>
      <c r="W212">
        <f t="shared" si="49"/>
        <v>0</v>
      </c>
      <c r="X212">
        <f t="shared" si="54"/>
        <v>0</v>
      </c>
      <c r="Y212" s="6">
        <f t="shared" si="55"/>
        <v>0</v>
      </c>
    </row>
    <row r="213" spans="1:26" x14ac:dyDescent="0.3">
      <c r="A213" t="str">
        <f>'rockfish harvests'!A219</f>
        <v>SC</v>
      </c>
      <c r="B213">
        <f>'rockfish harvests'!B219</f>
        <v>2015</v>
      </c>
      <c r="C213" t="str">
        <f>'rockfish harvests'!C219</f>
        <v>PWSO</v>
      </c>
      <c r="D213">
        <f>'rockfish harvests'!D219</f>
        <v>24516</v>
      </c>
      <c r="E213">
        <f>'YE harvest'!E220</f>
        <v>6130</v>
      </c>
      <c r="H213" s="13" t="e">
        <f>#REF!</f>
        <v>#REF!</v>
      </c>
      <c r="I213">
        <f t="shared" si="47"/>
        <v>0</v>
      </c>
      <c r="J213">
        <f t="shared" si="50"/>
        <v>0</v>
      </c>
      <c r="K213" s="6">
        <f t="shared" si="51"/>
        <v>0</v>
      </c>
      <c r="M213" s="2">
        <f>'rockfish harvests'!O219</f>
        <v>2612.963774691143</v>
      </c>
      <c r="N213">
        <f>'rockfish harvests'!P219</f>
        <v>501421.42786728247</v>
      </c>
      <c r="Q213" s="13">
        <f t="shared" si="64"/>
        <v>0</v>
      </c>
      <c r="R213" s="14">
        <f t="shared" si="65"/>
        <v>0</v>
      </c>
      <c r="S213">
        <f t="shared" si="52"/>
        <v>0</v>
      </c>
      <c r="T213" s="6">
        <f t="shared" si="53"/>
        <v>0</v>
      </c>
      <c r="V213" s="13" t="e">
        <f t="shared" si="48"/>
        <v>#REF!</v>
      </c>
      <c r="W213">
        <f t="shared" si="49"/>
        <v>0</v>
      </c>
      <c r="X213">
        <f t="shared" si="54"/>
        <v>0</v>
      </c>
      <c r="Y213" s="6">
        <f t="shared" si="55"/>
        <v>0</v>
      </c>
    </row>
    <row r="214" spans="1:26" x14ac:dyDescent="0.3">
      <c r="A214" t="str">
        <f>'rockfish harvests'!A220</f>
        <v>SC</v>
      </c>
      <c r="B214">
        <f>'rockfish harvests'!B220</f>
        <v>2016</v>
      </c>
      <c r="C214" t="str">
        <f>'rockfish harvests'!C220</f>
        <v>PWSO</v>
      </c>
      <c r="D214">
        <f>'rockfish harvests'!D220</f>
        <v>29349</v>
      </c>
      <c r="E214">
        <f>'YE harvest'!E221</f>
        <v>7689</v>
      </c>
      <c r="H214" s="13" t="e">
        <f>#REF!</f>
        <v>#REF!</v>
      </c>
      <c r="I214">
        <f t="shared" si="47"/>
        <v>0</v>
      </c>
      <c r="J214">
        <f t="shared" si="50"/>
        <v>0</v>
      </c>
      <c r="K214" s="6">
        <f t="shared" si="51"/>
        <v>0</v>
      </c>
      <c r="M214" s="2">
        <f>'rockfish harvests'!O220</f>
        <v>3728.736072598942</v>
      </c>
      <c r="N214">
        <f>'rockfish harvests'!P220</f>
        <v>690520.60458105023</v>
      </c>
      <c r="Q214" s="13">
        <f t="shared" si="64"/>
        <v>0</v>
      </c>
      <c r="R214" s="14">
        <f t="shared" si="65"/>
        <v>0</v>
      </c>
      <c r="S214">
        <f t="shared" si="52"/>
        <v>0</v>
      </c>
      <c r="T214" s="6">
        <f t="shared" si="53"/>
        <v>0</v>
      </c>
      <c r="V214" s="13" t="e">
        <f t="shared" si="48"/>
        <v>#REF!</v>
      </c>
      <c r="W214">
        <f t="shared" si="49"/>
        <v>0</v>
      </c>
      <c r="X214">
        <f t="shared" si="54"/>
        <v>0</v>
      </c>
      <c r="Y214" s="6">
        <f t="shared" si="55"/>
        <v>0</v>
      </c>
    </row>
    <row r="215" spans="1:26" x14ac:dyDescent="0.3">
      <c r="A215" t="str">
        <f>'rockfish harvests'!A221</f>
        <v>SC</v>
      </c>
      <c r="B215">
        <f>'rockfish harvests'!B221</f>
        <v>2017</v>
      </c>
      <c r="C215" t="str">
        <f>'rockfish harvests'!C221</f>
        <v>PWSO</v>
      </c>
      <c r="D215">
        <f>'rockfish harvests'!D221</f>
        <v>28647</v>
      </c>
      <c r="E215">
        <f>'YE harvest'!E222</f>
        <v>7729</v>
      </c>
      <c r="H215" s="13" t="e">
        <f>#REF!</f>
        <v>#REF!</v>
      </c>
      <c r="I215">
        <f t="shared" si="47"/>
        <v>0</v>
      </c>
      <c r="J215">
        <f t="shared" si="50"/>
        <v>0</v>
      </c>
      <c r="K215" s="6">
        <f t="shared" si="51"/>
        <v>0</v>
      </c>
      <c r="M215" s="2">
        <f>'rockfish harvests'!O221</f>
        <v>7308.8621616433084</v>
      </c>
      <c r="N215">
        <f>'rockfish harvests'!P221</f>
        <v>5936209.9806912215</v>
      </c>
      <c r="Q215" s="13">
        <f t="shared" si="64"/>
        <v>0</v>
      </c>
      <c r="R215" s="14">
        <f t="shared" si="65"/>
        <v>0</v>
      </c>
      <c r="S215">
        <f t="shared" si="52"/>
        <v>0</v>
      </c>
      <c r="T215" s="6">
        <f t="shared" si="53"/>
        <v>0</v>
      </c>
      <c r="V215" s="13" t="e">
        <f t="shared" si="48"/>
        <v>#REF!</v>
      </c>
      <c r="W215">
        <f t="shared" si="49"/>
        <v>0</v>
      </c>
      <c r="X215">
        <f t="shared" si="54"/>
        <v>0</v>
      </c>
      <c r="Y215" s="6">
        <f t="shared" si="55"/>
        <v>0</v>
      </c>
    </row>
    <row r="216" spans="1:26" x14ac:dyDescent="0.3">
      <c r="A216" t="str">
        <f>'rockfish harvests'!A222</f>
        <v>SC</v>
      </c>
      <c r="B216">
        <f>'rockfish harvests'!B222</f>
        <v>2018</v>
      </c>
      <c r="C216" t="str">
        <f>'rockfish harvests'!C222</f>
        <v>PWSO</v>
      </c>
      <c r="D216">
        <f>'rockfish harvests'!D222</f>
        <v>27142</v>
      </c>
      <c r="E216">
        <f>'YE harvest'!E223</f>
        <v>5333</v>
      </c>
      <c r="H216" s="13" t="e">
        <f>#REF!</f>
        <v>#REF!</v>
      </c>
      <c r="I216">
        <f t="shared" si="47"/>
        <v>0</v>
      </c>
      <c r="J216">
        <f t="shared" si="50"/>
        <v>0</v>
      </c>
      <c r="K216" s="6">
        <f t="shared" si="51"/>
        <v>0</v>
      </c>
      <c r="M216" s="2">
        <f>'rockfish harvests'!O222</f>
        <v>4727.7448574203227</v>
      </c>
      <c r="N216">
        <f>'rockfish harvests'!P222</f>
        <v>2237274.0611776323</v>
      </c>
      <c r="Q216" s="13">
        <f t="shared" si="64"/>
        <v>0</v>
      </c>
      <c r="R216" s="14">
        <f t="shared" si="65"/>
        <v>0</v>
      </c>
      <c r="S216">
        <f t="shared" si="52"/>
        <v>0</v>
      </c>
      <c r="T216" s="6">
        <f t="shared" si="53"/>
        <v>0</v>
      </c>
      <c r="V216" s="13" t="e">
        <f t="shared" si="48"/>
        <v>#REF!</v>
      </c>
      <c r="W216">
        <f t="shared" si="49"/>
        <v>0</v>
      </c>
      <c r="X216">
        <f t="shared" si="54"/>
        <v>0</v>
      </c>
      <c r="Y216" s="6">
        <f t="shared" si="55"/>
        <v>0</v>
      </c>
    </row>
    <row r="217" spans="1:26" x14ac:dyDescent="0.3">
      <c r="A217" t="str">
        <f>'rockfish harvests'!A223</f>
        <v>SC</v>
      </c>
      <c r="B217">
        <f>'rockfish harvests'!B223</f>
        <v>2019</v>
      </c>
      <c r="C217" t="str">
        <f>'rockfish harvests'!C223</f>
        <v>PWSO</v>
      </c>
      <c r="D217">
        <f>'rockfish harvests'!D223</f>
        <v>33682</v>
      </c>
      <c r="E217">
        <f>'YE harvest'!E224</f>
        <v>7623</v>
      </c>
      <c r="I217">
        <f t="shared" ref="I217:I218" si="66">(E217^2)*G217</f>
        <v>0</v>
      </c>
      <c r="J217">
        <f t="shared" ref="J217:J218" si="67">SQRT(I217)</f>
        <v>0</v>
      </c>
      <c r="K217" s="6">
        <f t="shared" ref="K217:K218" si="68">(1.96*J217)</f>
        <v>0</v>
      </c>
      <c r="M217" s="2">
        <f>'rockfish harvests'!O223</f>
        <v>6995.3520303194382</v>
      </c>
      <c r="N217">
        <f>'rockfish harvests'!P223</f>
        <v>5326815.9562128652</v>
      </c>
      <c r="R217" s="14"/>
      <c r="S217"/>
      <c r="T217" s="6"/>
      <c r="Y217" s="6"/>
    </row>
    <row r="218" spans="1:26" x14ac:dyDescent="0.3">
      <c r="A218" t="str">
        <f>'rockfish harvests'!A224</f>
        <v>SC</v>
      </c>
      <c r="B218">
        <f>'rockfish harvests'!B224</f>
        <v>2020</v>
      </c>
      <c r="C218" t="str">
        <f>'rockfish harvests'!C224</f>
        <v>PWSO</v>
      </c>
      <c r="D218">
        <f>'rockfish harvests'!D224</f>
        <v>29279</v>
      </c>
      <c r="E218">
        <f>'YE harvest'!E225</f>
        <v>5450</v>
      </c>
      <c r="I218">
        <f t="shared" si="66"/>
        <v>0</v>
      </c>
      <c r="J218">
        <f t="shared" si="67"/>
        <v>0</v>
      </c>
      <c r="K218" s="6">
        <f t="shared" si="68"/>
        <v>0</v>
      </c>
      <c r="M218" s="2">
        <f>'rockfish harvests'!O224</f>
        <v>6546.1019423978578</v>
      </c>
      <c r="N218">
        <f>'rockfish harvests'!P224</f>
        <v>3018032.5104616564</v>
      </c>
      <c r="R218" s="14"/>
      <c r="S218"/>
      <c r="T218" s="6"/>
      <c r="Y218" s="6"/>
    </row>
    <row r="219" spans="1:26" x14ac:dyDescent="0.3">
      <c r="A219" t="str">
        <f>'rockfish harvests'!A225</f>
        <v>SC</v>
      </c>
      <c r="B219">
        <f>'rockfish harvests'!B225</f>
        <v>2021</v>
      </c>
      <c r="C219" t="str">
        <f>'rockfish harvests'!C225</f>
        <v>PWSO</v>
      </c>
      <c r="D219">
        <f>'rockfish harvests'!D225</f>
        <v>38638</v>
      </c>
      <c r="E219">
        <f>'YE harvest'!E226</f>
        <v>5963</v>
      </c>
      <c r="K219" s="6"/>
      <c r="M219" s="2">
        <f>'rockfish harvests'!O225</f>
        <v>8140.8816955045913</v>
      </c>
      <c r="N219">
        <f>'rockfish harvests'!P225</f>
        <v>4846611.7748930994</v>
      </c>
      <c r="R219" s="14"/>
      <c r="S219"/>
      <c r="T219" s="6"/>
      <c r="Y219" s="6"/>
    </row>
    <row r="220" spans="1:26" x14ac:dyDescent="0.3">
      <c r="A220" t="str">
        <f>'rockfish harvests'!A227</f>
        <v>SE</v>
      </c>
      <c r="B220">
        <f>'rockfish harvests'!B227</f>
        <v>1998</v>
      </c>
      <c r="C220" t="str">
        <f>'rockfish harvests'!C227</f>
        <v>CSEO</v>
      </c>
      <c r="D220">
        <f>'rockfish harvests'!D227</f>
        <v>9366</v>
      </c>
      <c r="E220">
        <f>'YE harvest'!E228</f>
        <v>4902</v>
      </c>
      <c r="F220" s="32">
        <v>0.87966501699999999</v>
      </c>
      <c r="G220" s="48">
        <v>4.2596819999999999E-3</v>
      </c>
      <c r="H220" s="13">
        <f>E220*F220</f>
        <v>4312.1179133340001</v>
      </c>
      <c r="I220">
        <f t="shared" si="47"/>
        <v>102358.471625928</v>
      </c>
      <c r="J220">
        <f t="shared" si="50"/>
        <v>319.9351053353289</v>
      </c>
      <c r="K220" s="6">
        <f t="shared" si="51"/>
        <v>627.07280645724461</v>
      </c>
      <c r="M220" s="2">
        <f>'rockfish harvests'!O227</f>
        <v>1419.5566561478372</v>
      </c>
      <c r="N220">
        <f>'rockfish harvests'!P227</f>
        <v>224247.08472663842</v>
      </c>
      <c r="O220" s="32">
        <v>0.35462844799999999</v>
      </c>
      <c r="P220" s="32">
        <v>1.1414210000000001E-3</v>
      </c>
      <c r="Q220" s="13">
        <f t="shared" si="64"/>
        <v>503.41517381777714</v>
      </c>
      <c r="R220" s="14">
        <f>(M220^2)*P220+(O220^2)*N220+(P220*N220)</f>
        <v>30757.697699893073</v>
      </c>
      <c r="S220">
        <f t="shared" si="52"/>
        <v>175.37872647471551</v>
      </c>
      <c r="T220" s="6">
        <f t="shared" si="53"/>
        <v>343.74230389044237</v>
      </c>
      <c r="V220" s="13">
        <f t="shared" si="48"/>
        <v>4815.5330871517772</v>
      </c>
      <c r="W220">
        <f t="shared" si="49"/>
        <v>133116.16932582107</v>
      </c>
      <c r="X220">
        <f t="shared" si="54"/>
        <v>364.85088642597685</v>
      </c>
      <c r="Y220" s="6">
        <f t="shared" si="55"/>
        <v>715.10773739491458</v>
      </c>
      <c r="Z220" s="14">
        <f t="shared" ref="Z220:Z289" si="69">X220/V220</f>
        <v>7.5765419907388415E-2</v>
      </c>
    </row>
    <row r="221" spans="1:26" x14ac:dyDescent="0.3">
      <c r="A221" t="str">
        <f>'rockfish harvests'!A228</f>
        <v>SE</v>
      </c>
      <c r="B221">
        <f>'rockfish harvests'!B228</f>
        <v>1999</v>
      </c>
      <c r="C221" t="str">
        <f>'rockfish harvests'!C228</f>
        <v>CSEO</v>
      </c>
      <c r="D221">
        <f>'rockfish harvests'!D228</f>
        <v>9636</v>
      </c>
      <c r="E221">
        <f>'YE harvest'!E229</f>
        <v>5800</v>
      </c>
      <c r="F221" s="32">
        <v>0.87966501699999999</v>
      </c>
      <c r="G221" s="48">
        <v>4.2596819999999999E-3</v>
      </c>
      <c r="H221" s="13">
        <f t="shared" ref="H221:H227" si="70">E221*F221</f>
        <v>5102.0570986000002</v>
      </c>
      <c r="I221">
        <f t="shared" si="47"/>
        <v>143295.70248000001</v>
      </c>
      <c r="J221">
        <f t="shared" si="50"/>
        <v>378.54418827925491</v>
      </c>
      <c r="K221" s="6">
        <f t="shared" si="51"/>
        <v>741.9466090273396</v>
      </c>
      <c r="M221" s="2">
        <f>'rockfish harvests'!O228</f>
        <v>1460.4791734615155</v>
      </c>
      <c r="N221">
        <f>'rockfish harvests'!P228</f>
        <v>237362.48582500662</v>
      </c>
      <c r="O221" s="32">
        <v>0.35462844799999999</v>
      </c>
      <c r="P221" s="32">
        <v>1.1414210000000001E-3</v>
      </c>
      <c r="Q221" s="13">
        <f t="shared" si="64"/>
        <v>517.92746262098001</v>
      </c>
      <c r="R221" s="14">
        <f t="shared" ref="R221:R284" si="71">(M221^2)*P221+(O221^2)*N221+(P221*N221)</f>
        <v>32556.604217176031</v>
      </c>
      <c r="S221">
        <f t="shared" si="52"/>
        <v>180.43448732760606</v>
      </c>
      <c r="T221" s="6">
        <f t="shared" si="53"/>
        <v>353.65159516210787</v>
      </c>
      <c r="V221" s="13">
        <f t="shared" si="48"/>
        <v>5619.9845612209801</v>
      </c>
      <c r="W221">
        <f t="shared" si="49"/>
        <v>175852.30669717604</v>
      </c>
      <c r="X221">
        <f t="shared" si="54"/>
        <v>419.34747727532124</v>
      </c>
      <c r="Y221" s="6">
        <f t="shared" si="55"/>
        <v>821.92105545962966</v>
      </c>
      <c r="Z221" s="14">
        <f t="shared" si="69"/>
        <v>7.4617193820940869E-2</v>
      </c>
    </row>
    <row r="222" spans="1:26" x14ac:dyDescent="0.3">
      <c r="A222" t="str">
        <f>'rockfish harvests'!A229</f>
        <v>SE</v>
      </c>
      <c r="B222">
        <f>'rockfish harvests'!B229</f>
        <v>2000</v>
      </c>
      <c r="C222" t="str">
        <f>'rockfish harvests'!C229</f>
        <v>CSEO</v>
      </c>
      <c r="D222">
        <f>'rockfish harvests'!D229</f>
        <v>16855</v>
      </c>
      <c r="E222">
        <f>'YE harvest'!E230</f>
        <v>11078</v>
      </c>
      <c r="F222" s="32">
        <v>0.87966501699999999</v>
      </c>
      <c r="G222" s="48">
        <v>4.2596819999999999E-3</v>
      </c>
      <c r="H222" s="13">
        <f t="shared" si="70"/>
        <v>9744.9290583260008</v>
      </c>
      <c r="I222">
        <f t="shared" si="47"/>
        <v>522757.052217288</v>
      </c>
      <c r="J222">
        <f t="shared" si="50"/>
        <v>723.01939961337689</v>
      </c>
      <c r="K222" s="6">
        <f t="shared" si="51"/>
        <v>1417.1180232422187</v>
      </c>
      <c r="M222" s="2">
        <f>'rockfish harvests'!O229</f>
        <v>2554.6260345261362</v>
      </c>
      <c r="N222">
        <f>'rockfish harvests'!P229</f>
        <v>726233.05564746587</v>
      </c>
      <c r="O222" s="32">
        <v>0.35462844799999999</v>
      </c>
      <c r="P222" s="32">
        <v>1.1414210000000001E-3</v>
      </c>
      <c r="Q222" s="13">
        <f t="shared" si="64"/>
        <v>905.94306584439801</v>
      </c>
      <c r="R222" s="14">
        <f t="shared" si="71"/>
        <v>99610.020850455781</v>
      </c>
      <c r="S222">
        <f t="shared" si="52"/>
        <v>315.61055250174348</v>
      </c>
      <c r="T222" s="6">
        <f t="shared" si="53"/>
        <v>618.59668290341722</v>
      </c>
      <c r="V222" s="13">
        <f t="shared" si="48"/>
        <v>10650.872124170399</v>
      </c>
      <c r="W222">
        <f t="shared" si="49"/>
        <v>622367.0730677438</v>
      </c>
      <c r="X222">
        <f t="shared" si="54"/>
        <v>788.90244838493425</v>
      </c>
      <c r="Y222" s="6">
        <f t="shared" si="55"/>
        <v>1546.248798834471</v>
      </c>
      <c r="Z222" s="14">
        <f t="shared" si="69"/>
        <v>7.4069281762819225E-2</v>
      </c>
    </row>
    <row r="223" spans="1:26" x14ac:dyDescent="0.3">
      <c r="A223" t="str">
        <f>'rockfish harvests'!A230</f>
        <v>SE</v>
      </c>
      <c r="B223">
        <f>'rockfish harvests'!B230</f>
        <v>2001</v>
      </c>
      <c r="C223" t="str">
        <f>'rockfish harvests'!C230</f>
        <v>CSEO</v>
      </c>
      <c r="D223">
        <f>'rockfish harvests'!D230</f>
        <v>15083</v>
      </c>
      <c r="E223">
        <f>'YE harvest'!E231</f>
        <v>11046</v>
      </c>
      <c r="F223" s="32">
        <v>0.87966501699999999</v>
      </c>
      <c r="G223" s="48">
        <v>4.2596819999999999E-3</v>
      </c>
      <c r="H223" s="13">
        <f t="shared" si="70"/>
        <v>9716.7797777819997</v>
      </c>
      <c r="I223">
        <f t="shared" ref="I223:I298" si="72">(E223^2)*G223</f>
        <v>519741.33367111196</v>
      </c>
      <c r="J223">
        <f t="shared" si="50"/>
        <v>720.93087995390511</v>
      </c>
      <c r="K223" s="6">
        <f t="shared" si="51"/>
        <v>1413.0245247096541</v>
      </c>
      <c r="M223" s="2">
        <f>'rockfish harvests'!O230</f>
        <v>2286.0530690452506</v>
      </c>
      <c r="N223">
        <f>'rockfish harvests'!P230</f>
        <v>581559.24091147329</v>
      </c>
      <c r="O223" s="32">
        <v>0.35462844799999999</v>
      </c>
      <c r="P223" s="32">
        <v>1.1414210000000001E-3</v>
      </c>
      <c r="Q223" s="13">
        <f t="shared" si="64"/>
        <v>810.69945192115404</v>
      </c>
      <c r="R223" s="14">
        <f t="shared" si="71"/>
        <v>79766.581350832261</v>
      </c>
      <c r="S223">
        <f t="shared" si="52"/>
        <v>282.42978127462453</v>
      </c>
      <c r="T223" s="6">
        <f t="shared" si="53"/>
        <v>553.56237129826411</v>
      </c>
      <c r="V223" s="13">
        <f t="shared" ref="V223:V298" si="73">Q223+H223</f>
        <v>10527.479229703154</v>
      </c>
      <c r="W223">
        <f t="shared" ref="W223:W298" si="74">R223+I223</f>
        <v>599507.91502194421</v>
      </c>
      <c r="X223">
        <f t="shared" si="54"/>
        <v>774.27896459993292</v>
      </c>
      <c r="Y223" s="6">
        <f t="shared" si="55"/>
        <v>1517.5867706158685</v>
      </c>
      <c r="Z223" s="14">
        <f t="shared" si="69"/>
        <v>7.3548372569125026E-2</v>
      </c>
    </row>
    <row r="224" spans="1:26" x14ac:dyDescent="0.3">
      <c r="A224" t="str">
        <f>'rockfish harvests'!A231</f>
        <v>SE</v>
      </c>
      <c r="B224">
        <f>'rockfish harvests'!B231</f>
        <v>2002</v>
      </c>
      <c r="C224" t="str">
        <f>'rockfish harvests'!C231</f>
        <v>CSEO</v>
      </c>
      <c r="D224">
        <f>'rockfish harvests'!D231</f>
        <v>14004</v>
      </c>
      <c r="E224">
        <f>'YE harvest'!E232</f>
        <v>8798</v>
      </c>
      <c r="F224" s="32">
        <v>0.87966501699999999</v>
      </c>
      <c r="G224" s="48">
        <v>4.2596819999999999E-3</v>
      </c>
      <c r="H224" s="13">
        <f t="shared" si="70"/>
        <v>7739.2928195659997</v>
      </c>
      <c r="I224">
        <f t="shared" si="72"/>
        <v>329719.85031232797</v>
      </c>
      <c r="J224">
        <f t="shared" ref="J224:J299" si="75">SQRT(I224)</f>
        <v>574.21237387601457</v>
      </c>
      <c r="K224" s="6">
        <f t="shared" ref="K224:K299" si="76">(1.96*J224)</f>
        <v>1125.4562527969886</v>
      </c>
      <c r="M224" s="2">
        <f>'rockfish harvests'!O231</f>
        <v>2122.5145646694764</v>
      </c>
      <c r="N224">
        <f>'rockfish harvests'!P231</f>
        <v>501328.85623143055</v>
      </c>
      <c r="O224" s="32">
        <v>0.35462844799999999</v>
      </c>
      <c r="P224" s="32">
        <v>1.1414210000000001E-3</v>
      </c>
      <c r="Q224" s="13">
        <f t="shared" si="64"/>
        <v>752.70404592613204</v>
      </c>
      <c r="R224" s="14">
        <f t="shared" si="71"/>
        <v>68762.19339482802</v>
      </c>
      <c r="S224">
        <f t="shared" ref="S224:S299" si="77">SQRT(R224)</f>
        <v>262.22546290325818</v>
      </c>
      <c r="T224" s="6">
        <f t="shared" ref="T224:T299" si="78">(1.96*S224)</f>
        <v>513.96190729038597</v>
      </c>
      <c r="V224" s="13">
        <f t="shared" si="73"/>
        <v>8491.9968654921322</v>
      </c>
      <c r="W224">
        <f t="shared" si="74"/>
        <v>398482.04370715597</v>
      </c>
      <c r="X224">
        <f t="shared" ref="X224:X299" si="79">SQRT(W224)</f>
        <v>631.25434153529272</v>
      </c>
      <c r="Y224" s="6">
        <f t="shared" ref="Y224:Y299" si="80">(1.96*X224)</f>
        <v>1237.2585094091737</v>
      </c>
      <c r="Z224" s="14">
        <f t="shared" si="69"/>
        <v>7.4335206610878793E-2</v>
      </c>
    </row>
    <row r="225" spans="1:26" x14ac:dyDescent="0.3">
      <c r="A225" t="str">
        <f>'rockfish harvests'!A232</f>
        <v>SE</v>
      </c>
      <c r="B225">
        <f>'rockfish harvests'!B232</f>
        <v>2003</v>
      </c>
      <c r="C225" t="str">
        <f>'rockfish harvests'!C232</f>
        <v>CSEO</v>
      </c>
      <c r="D225">
        <f>'rockfish harvests'!D232</f>
        <v>15272</v>
      </c>
      <c r="E225">
        <f>'YE harvest'!E233</f>
        <v>8561</v>
      </c>
      <c r="F225" s="32">
        <v>0.87966501699999999</v>
      </c>
      <c r="G225" s="48">
        <v>4.2596819999999999E-3</v>
      </c>
      <c r="H225" s="13">
        <f t="shared" si="70"/>
        <v>7530.8122105370003</v>
      </c>
      <c r="I225">
        <f t="shared" si="72"/>
        <v>312195.165010722</v>
      </c>
      <c r="J225">
        <f t="shared" si="75"/>
        <v>558.744275148052</v>
      </c>
      <c r="K225" s="6">
        <f t="shared" si="76"/>
        <v>1095.1387792901819</v>
      </c>
      <c r="M225" s="2">
        <f>'rockfish harvests'!O232</f>
        <v>2314.6988311648274</v>
      </c>
      <c r="N225">
        <f>'rockfish harvests'!P232</f>
        <v>596225.20240177307</v>
      </c>
      <c r="O225" s="32">
        <v>0.35462844799999999</v>
      </c>
      <c r="P225" s="32">
        <v>1.1414210000000001E-3</v>
      </c>
      <c r="Q225" s="13">
        <f t="shared" si="64"/>
        <v>820.85805408339672</v>
      </c>
      <c r="R225" s="14">
        <f t="shared" si="71"/>
        <v>81778.162507157234</v>
      </c>
      <c r="S225">
        <f t="shared" si="77"/>
        <v>285.96881387164797</v>
      </c>
      <c r="T225" s="6">
        <f t="shared" si="78"/>
        <v>560.49887518843002</v>
      </c>
      <c r="V225" s="13">
        <f t="shared" si="73"/>
        <v>8351.6702646203976</v>
      </c>
      <c r="W225">
        <f t="shared" si="74"/>
        <v>393973.32751787925</v>
      </c>
      <c r="X225">
        <f t="shared" si="79"/>
        <v>627.67294630076196</v>
      </c>
      <c r="Y225" s="6">
        <f t="shared" si="80"/>
        <v>1230.2389747494935</v>
      </c>
      <c r="Z225" s="14">
        <f t="shared" si="69"/>
        <v>7.5155379273021516E-2</v>
      </c>
    </row>
    <row r="226" spans="1:26" x14ac:dyDescent="0.3">
      <c r="A226" t="str">
        <f>'rockfish harvests'!A233</f>
        <v>SE</v>
      </c>
      <c r="B226">
        <f>'rockfish harvests'!B233</f>
        <v>2004</v>
      </c>
      <c r="C226" t="str">
        <f>'rockfish harvests'!C233</f>
        <v>CSEO</v>
      </c>
      <c r="D226">
        <f>'rockfish harvests'!D233</f>
        <v>21796</v>
      </c>
      <c r="E226">
        <f>'YE harvest'!E234</f>
        <v>12007</v>
      </c>
      <c r="F226" s="32">
        <v>0.87966501699999999</v>
      </c>
      <c r="G226" s="48">
        <v>4.2596819999999999E-3</v>
      </c>
      <c r="H226" s="13">
        <f t="shared" si="70"/>
        <v>10562.137859119</v>
      </c>
      <c r="I226">
        <f t="shared" si="72"/>
        <v>614110.04330041795</v>
      </c>
      <c r="J226">
        <f t="shared" si="75"/>
        <v>783.65173597741614</v>
      </c>
      <c r="K226" s="6">
        <f t="shared" si="76"/>
        <v>1535.9574025157356</v>
      </c>
      <c r="M226" s="2">
        <f>'rockfish harvests'!O233</f>
        <v>3303.5081013664603</v>
      </c>
      <c r="N226">
        <f>'rockfish harvests'!P233</f>
        <v>1214428.9103843591</v>
      </c>
      <c r="O226" s="32">
        <v>0.35462844799999999</v>
      </c>
      <c r="P226" s="32">
        <v>1.1414210000000001E-3</v>
      </c>
      <c r="Q226" s="13">
        <f t="shared" si="64"/>
        <v>1171.5179509430145</v>
      </c>
      <c r="R226" s="14">
        <f t="shared" si="71"/>
        <v>166570.8936602085</v>
      </c>
      <c r="S226">
        <f t="shared" si="77"/>
        <v>408.13097610964121</v>
      </c>
      <c r="T226" s="6">
        <f t="shared" si="78"/>
        <v>799.93671317489679</v>
      </c>
      <c r="V226" s="13">
        <f t="shared" si="73"/>
        <v>11733.655810062015</v>
      </c>
      <c r="W226">
        <f t="shared" si="74"/>
        <v>780680.93696062639</v>
      </c>
      <c r="X226">
        <f t="shared" si="79"/>
        <v>883.56150717458627</v>
      </c>
      <c r="Y226" s="6">
        <f t="shared" si="80"/>
        <v>1731.7805540621891</v>
      </c>
      <c r="Z226" s="14">
        <f t="shared" si="69"/>
        <v>7.5301467971891745E-2</v>
      </c>
    </row>
    <row r="227" spans="1:26" x14ac:dyDescent="0.3">
      <c r="A227" t="str">
        <f>'rockfish harvests'!A234</f>
        <v>SE</v>
      </c>
      <c r="B227">
        <f>'rockfish harvests'!B234</f>
        <v>2005</v>
      </c>
      <c r="C227" t="str">
        <f>'rockfish harvests'!C234</f>
        <v>CSEO</v>
      </c>
      <c r="D227">
        <f>'rockfish harvests'!D234</f>
        <v>27304</v>
      </c>
      <c r="E227">
        <f>'YE harvest'!E235</f>
        <v>14418</v>
      </c>
      <c r="F227" s="32">
        <v>0.87966501699999999</v>
      </c>
      <c r="G227" s="48">
        <v>4.2596819999999999E-3</v>
      </c>
      <c r="H227" s="13">
        <f t="shared" si="70"/>
        <v>12683.010215106</v>
      </c>
      <c r="I227">
        <f t="shared" si="72"/>
        <v>885497.25880576798</v>
      </c>
      <c r="J227">
        <f t="shared" si="75"/>
        <v>941.00863907074097</v>
      </c>
      <c r="K227" s="6">
        <f t="shared" si="76"/>
        <v>1844.3769325786523</v>
      </c>
      <c r="M227" s="2">
        <f>'rockfish harvests'!O234</f>
        <v>4138.3274545655077</v>
      </c>
      <c r="N227">
        <f>'rockfish harvests'!P234</f>
        <v>1905772.4719131205</v>
      </c>
      <c r="O227" s="32">
        <v>0.35462844799999999</v>
      </c>
      <c r="P227" s="32">
        <v>1.1414210000000001E-3</v>
      </c>
      <c r="Q227" s="13">
        <f t="shared" si="64"/>
        <v>1467.5686425283563</v>
      </c>
      <c r="R227" s="14">
        <f t="shared" si="71"/>
        <v>261395.47654471049</v>
      </c>
      <c r="S227">
        <f t="shared" si="77"/>
        <v>511.26849750860896</v>
      </c>
      <c r="T227" s="6">
        <f t="shared" si="78"/>
        <v>1002.0862551168735</v>
      </c>
      <c r="V227" s="13">
        <f t="shared" si="73"/>
        <v>14150.578857634357</v>
      </c>
      <c r="W227">
        <f t="shared" si="74"/>
        <v>1146892.7353504784</v>
      </c>
      <c r="X227">
        <f t="shared" si="79"/>
        <v>1070.9307799061892</v>
      </c>
      <c r="Y227" s="6">
        <f t="shared" si="80"/>
        <v>2099.0243286161308</v>
      </c>
      <c r="Z227" s="14">
        <f t="shared" si="69"/>
        <v>7.5681058045792449E-2</v>
      </c>
    </row>
    <row r="228" spans="1:26" x14ac:dyDescent="0.3">
      <c r="A228" t="str">
        <f>'rockfish harvests'!A235</f>
        <v>SE</v>
      </c>
      <c r="B228">
        <f>'rockfish harvests'!B235</f>
        <v>2006</v>
      </c>
      <c r="C228" t="str">
        <f>'rockfish harvests'!C235</f>
        <v>CSEO</v>
      </c>
      <c r="D228">
        <f>'rockfish harvests'!D235</f>
        <v>33748</v>
      </c>
      <c r="E228">
        <f>'YE harvest'!E236</f>
        <v>13609</v>
      </c>
      <c r="F228">
        <f>IF([2]species_comp_Region1_forR!$H10&gt;49,[2]species_comp_Region1_forR!$AM10,[2]species_comp_Region1_forR!$AO10)</f>
        <v>0.96505125800000002</v>
      </c>
      <c r="G228" s="49">
        <f>IF([2]species_comp_Region1_forR!$H10&gt;49,[2]species_comp_Region1_forR!$AN10,[2]species_comp_Region1_forR!$AP10)</f>
        <v>1.57237E-5</v>
      </c>
      <c r="H228" s="13">
        <f t="shared" ref="H228:H239" si="81">E228*F228</f>
        <v>13133.382570122001</v>
      </c>
      <c r="I228">
        <f t="shared" si="72"/>
        <v>2912.1059873796999</v>
      </c>
      <c r="J228">
        <f t="shared" si="75"/>
        <v>53.96393228240229</v>
      </c>
      <c r="K228" s="6">
        <f t="shared" si="76"/>
        <v>105.76930727350849</v>
      </c>
      <c r="M228" s="2">
        <f>'rockfish harvests'!O235</f>
        <v>5115.01153445198</v>
      </c>
      <c r="N228">
        <f>'rockfish harvests'!P235</f>
        <v>2911485.1530098896</v>
      </c>
      <c r="O228">
        <f>IF([2]species_comp_Region1_forR!$D32&gt;49,[2]species_comp_Region1_forR!$AI32,[2]species_comp_Region1_forR!$AK32)</f>
        <v>0.405405405</v>
      </c>
      <c r="P228">
        <f>IF([2]species_comp_Region1_forR!$D32&gt;49,[2]species_comp_Region1_forR!$AJ32,[2]species_comp_Region1_forR!$AL32)</f>
        <v>4.6625099999999999E-4</v>
      </c>
      <c r="Q228" s="13">
        <f t="shared" si="64"/>
        <v>2073.6533227041764</v>
      </c>
      <c r="R228" s="14">
        <f t="shared" si="71"/>
        <v>492069.06625157816</v>
      </c>
      <c r="S228">
        <f t="shared" si="77"/>
        <v>701.47634760665892</v>
      </c>
      <c r="T228" s="6">
        <f t="shared" si="78"/>
        <v>1374.8936413090514</v>
      </c>
      <c r="V228" s="13">
        <f t="shared" si="73"/>
        <v>15207.035892826178</v>
      </c>
      <c r="W228">
        <f t="shared" si="74"/>
        <v>494981.17223895784</v>
      </c>
      <c r="X228">
        <f t="shared" si="79"/>
        <v>703.54898353914052</v>
      </c>
      <c r="Y228" s="6">
        <f t="shared" si="80"/>
        <v>1378.9560077367155</v>
      </c>
      <c r="Z228" s="14">
        <f t="shared" si="69"/>
        <v>4.6264701977262727E-2</v>
      </c>
    </row>
    <row r="229" spans="1:26" x14ac:dyDescent="0.3">
      <c r="A229" t="str">
        <f>'rockfish harvests'!A236</f>
        <v>SE</v>
      </c>
      <c r="B229">
        <f>'rockfish harvests'!B236</f>
        <v>2007</v>
      </c>
      <c r="C229" t="str">
        <f>'rockfish harvests'!C236</f>
        <v>CSEO</v>
      </c>
      <c r="D229">
        <f>'rockfish harvests'!D236</f>
        <v>38443</v>
      </c>
      <c r="E229">
        <f>'YE harvest'!E237</f>
        <v>14388</v>
      </c>
      <c r="F229">
        <f>IF([2]species_comp_Region1_forR!$H11&gt;49,[2]species_comp_Region1_forR!$AM11,[2]species_comp_Region1_forR!$AO11)</f>
        <v>0.95686480799999996</v>
      </c>
      <c r="G229" s="49">
        <f>IF([2]species_comp_Region1_forR!$H11&gt;49,[2]species_comp_Region1_forR!$AN11,[2]species_comp_Region1_forR!$AP11)</f>
        <v>2.1723399999999999E-5</v>
      </c>
      <c r="H229" s="13">
        <f t="shared" si="81"/>
        <v>13767.370857504</v>
      </c>
      <c r="I229">
        <f t="shared" si="72"/>
        <v>4497.0597451295998</v>
      </c>
      <c r="J229">
        <f t="shared" si="75"/>
        <v>67.060120378132339</v>
      </c>
      <c r="K229" s="6">
        <f t="shared" si="76"/>
        <v>131.43783594113938</v>
      </c>
      <c r="M229" s="2">
        <f>'rockfish harvests'!O236</f>
        <v>5826.6086410731732</v>
      </c>
      <c r="N229">
        <f>'rockfish harvests'!P236</f>
        <v>3777922.4788372577</v>
      </c>
      <c r="O229">
        <f>IF([2]species_comp_Region1_forR!$D33&gt;49,[2]species_comp_Region1_forR!$AI33,[2]species_comp_Region1_forR!$AK33)</f>
        <v>0.35674157299999998</v>
      </c>
      <c r="P229">
        <f>IF([2]species_comp_Region1_forR!$D33&gt;49,[2]species_comp_Region1_forR!$AJ33,[2]species_comp_Region1_forR!$AL33)</f>
        <v>6.4641399999999999E-4</v>
      </c>
      <c r="Q229" s="13">
        <f t="shared" si="64"/>
        <v>2078.5935318718361</v>
      </c>
      <c r="R229" s="14">
        <f t="shared" si="71"/>
        <v>505183.05276414327</v>
      </c>
      <c r="S229">
        <f t="shared" si="77"/>
        <v>710.76230398364771</v>
      </c>
      <c r="T229" s="6">
        <f t="shared" si="78"/>
        <v>1393.0941158079495</v>
      </c>
      <c r="V229" s="13">
        <f t="shared" si="73"/>
        <v>15845.964389375837</v>
      </c>
      <c r="W229">
        <f t="shared" si="74"/>
        <v>509680.11250927288</v>
      </c>
      <c r="X229">
        <f t="shared" si="79"/>
        <v>713.91884168249328</v>
      </c>
      <c r="Y229" s="6">
        <f t="shared" si="80"/>
        <v>1399.2809296976868</v>
      </c>
      <c r="Z229" s="14">
        <f t="shared" si="69"/>
        <v>4.5053669447922703E-2</v>
      </c>
    </row>
    <row r="230" spans="1:26" x14ac:dyDescent="0.3">
      <c r="A230" t="str">
        <f>'rockfish harvests'!A237</f>
        <v>SE</v>
      </c>
      <c r="B230">
        <f>'rockfish harvests'!B237</f>
        <v>2008</v>
      </c>
      <c r="C230" t="str">
        <f>'rockfish harvests'!C237</f>
        <v>CSEO</v>
      </c>
      <c r="D230">
        <f>'rockfish harvests'!D237</f>
        <v>52901</v>
      </c>
      <c r="E230">
        <f>'YE harvest'!E238</f>
        <v>15276</v>
      </c>
      <c r="F230">
        <f>IF([2]species_comp_Region1_forR!$H12&gt;49,[2]species_comp_Region1_forR!$AM12,[2]species_comp_Region1_forR!$AO12)</f>
        <v>0.91935483900000003</v>
      </c>
      <c r="G230" s="49">
        <f>IF([2]species_comp_Region1_forR!$H12&gt;49,[2]species_comp_Region1_forR!$AN12,[2]species_comp_Region1_forR!$AP12)</f>
        <v>3.5188200000000003E-5</v>
      </c>
      <c r="H230" s="13">
        <f t="shared" si="81"/>
        <v>14044.064520564001</v>
      </c>
      <c r="I230">
        <f t="shared" si="72"/>
        <v>8211.3837923232004</v>
      </c>
      <c r="J230">
        <f t="shared" si="75"/>
        <v>90.616686059043232</v>
      </c>
      <c r="K230" s="6">
        <f t="shared" si="76"/>
        <v>177.60870467572474</v>
      </c>
      <c r="M230" s="2">
        <f>'rockfish harvests'!O237</f>
        <v>8017.9336607812002</v>
      </c>
      <c r="N230">
        <f>'rockfish harvests'!P237</f>
        <v>7153955.9598475369</v>
      </c>
      <c r="O230">
        <f>IF([2]species_comp_Region1_forR!$D34&gt;49,[2]species_comp_Region1_forR!$AI34,[2]species_comp_Region1_forR!$AK34)</f>
        <v>0.365019011</v>
      </c>
      <c r="P230">
        <f>IF([2]species_comp_Region1_forR!$D34&gt;49,[2]species_comp_Region1_forR!$AJ34,[2]species_comp_Region1_forR!$AL34)</f>
        <v>4.4148599999999999E-4</v>
      </c>
      <c r="Q230" s="13">
        <f t="shared" si="64"/>
        <v>2926.6982151219631</v>
      </c>
      <c r="R230" s="14">
        <f t="shared" si="71"/>
        <v>984725.36490423942</v>
      </c>
      <c r="S230">
        <f t="shared" si="77"/>
        <v>992.33329325597026</v>
      </c>
      <c r="T230" s="6">
        <f t="shared" si="78"/>
        <v>1944.9732547817016</v>
      </c>
      <c r="V230" s="13">
        <f t="shared" si="73"/>
        <v>16970.762735685963</v>
      </c>
      <c r="W230">
        <f t="shared" si="74"/>
        <v>992936.7486965626</v>
      </c>
      <c r="X230">
        <f t="shared" si="79"/>
        <v>996.46211603681286</v>
      </c>
      <c r="Y230" s="6">
        <f t="shared" si="80"/>
        <v>1953.0657474321531</v>
      </c>
      <c r="Z230" s="14">
        <f t="shared" si="69"/>
        <v>5.8716401351924005E-2</v>
      </c>
    </row>
    <row r="231" spans="1:26" x14ac:dyDescent="0.3">
      <c r="A231" t="str">
        <f>'rockfish harvests'!A238</f>
        <v>SE</v>
      </c>
      <c r="B231">
        <f>'rockfish harvests'!B238</f>
        <v>2009</v>
      </c>
      <c r="C231" t="str">
        <f>'rockfish harvests'!C238</f>
        <v>CSEO</v>
      </c>
      <c r="D231">
        <f>'rockfish harvests'!D238</f>
        <v>31717</v>
      </c>
      <c r="E231">
        <f>'YE harvest'!E239</f>
        <v>9427</v>
      </c>
      <c r="F231">
        <f>IF([2]species_comp_Region1_forR!$H13&gt;49,[2]species_comp_Region1_forR!$AM13,[2]species_comp_Region1_forR!$AO13)</f>
        <v>0.95909849700000005</v>
      </c>
      <c r="G231" s="49">
        <f>IF([2]species_comp_Region1_forR!$H13&gt;49,[2]species_comp_Region1_forR!$AN13,[2]species_comp_Region1_forR!$AP13)</f>
        <v>3.2772399999999998E-5</v>
      </c>
      <c r="H231" s="13">
        <f t="shared" si="81"/>
        <v>9041.4215312190008</v>
      </c>
      <c r="I231">
        <f t="shared" si="72"/>
        <v>2912.4284253195997</v>
      </c>
      <c r="J231">
        <f t="shared" si="75"/>
        <v>53.966919731624479</v>
      </c>
      <c r="K231" s="6">
        <f t="shared" si="76"/>
        <v>105.77516267398397</v>
      </c>
      <c r="M231" s="2">
        <f>'rockfish harvests'!O238</f>
        <v>4807.1832653257516</v>
      </c>
      <c r="N231">
        <f>'rockfish harvests'!P238</f>
        <v>2571595.7734261826</v>
      </c>
      <c r="O231">
        <f>IF([2]species_comp_Region1_forR!$D35&gt;49,[2]species_comp_Region1_forR!$AI35,[2]species_comp_Region1_forR!$AK35)</f>
        <v>0.38461538499999998</v>
      </c>
      <c r="P231">
        <f>IF([2]species_comp_Region1_forR!$D35&gt;49,[2]species_comp_Region1_forR!$AJ35,[2]species_comp_Region1_forR!$AL35)</f>
        <v>6.0844800000000004E-4</v>
      </c>
      <c r="Q231" s="13">
        <f t="shared" si="64"/>
        <v>1848.916642358821</v>
      </c>
      <c r="R231" s="14">
        <f t="shared" si="71"/>
        <v>396038.8905089277</v>
      </c>
      <c r="S231">
        <f t="shared" si="77"/>
        <v>629.31620868123821</v>
      </c>
      <c r="T231" s="6">
        <f t="shared" si="78"/>
        <v>1233.4597690152268</v>
      </c>
      <c r="V231" s="13">
        <f t="shared" si="73"/>
        <v>10890.338173577822</v>
      </c>
      <c r="W231">
        <f t="shared" si="74"/>
        <v>398951.31893424731</v>
      </c>
      <c r="X231">
        <f t="shared" si="79"/>
        <v>631.62593275945164</v>
      </c>
      <c r="Y231" s="6">
        <f t="shared" si="80"/>
        <v>1237.9868282085251</v>
      </c>
      <c r="Z231" s="14">
        <f t="shared" si="69"/>
        <v>5.7998743720548987E-2</v>
      </c>
    </row>
    <row r="232" spans="1:26" x14ac:dyDescent="0.3">
      <c r="A232" t="str">
        <f>'rockfish harvests'!A239</f>
        <v>SE</v>
      </c>
      <c r="B232">
        <f>'rockfish harvests'!B239</f>
        <v>2010</v>
      </c>
      <c r="C232" t="str">
        <f>'rockfish harvests'!C239</f>
        <v>CSEO</v>
      </c>
      <c r="D232">
        <f>'rockfish harvests'!D239</f>
        <v>43813</v>
      </c>
      <c r="E232">
        <f>'YE harvest'!E240</f>
        <v>13028</v>
      </c>
      <c r="F232">
        <f>IF([2]species_comp_Region1_forR!$H14&gt;49,[2]species_comp_Region1_forR!$AM14,[2]species_comp_Region1_forR!$AO14)</f>
        <v>0.91193306900000004</v>
      </c>
      <c r="G232" s="49">
        <f>IF([2]species_comp_Region1_forR!$H14&gt;49,[2]species_comp_Region1_forR!$AN14,[2]species_comp_Region1_forR!$AP14)</f>
        <v>3.5379400000000002E-5</v>
      </c>
      <c r="H232" s="13">
        <f t="shared" si="81"/>
        <v>11880.664022932</v>
      </c>
      <c r="I232">
        <f t="shared" si="72"/>
        <v>6004.9025406496003</v>
      </c>
      <c r="J232">
        <f t="shared" si="75"/>
        <v>77.491306226244504</v>
      </c>
      <c r="K232" s="6">
        <f t="shared" si="76"/>
        <v>151.88296020343921</v>
      </c>
      <c r="M232" s="2">
        <f>'rockfish harvests'!O239</f>
        <v>6640.5120409785595</v>
      </c>
      <c r="N232">
        <f>'rockfish harvests'!P239</f>
        <v>4907095.1826566225</v>
      </c>
      <c r="O232">
        <f>IF([2]species_comp_Region1_forR!$D36&gt;49,[2]species_comp_Region1_forR!$AI36,[2]species_comp_Region1_forR!$AK36)</f>
        <v>0.32013201299999999</v>
      </c>
      <c r="P232">
        <f>IF([2]species_comp_Region1_forR!$D36&gt;49,[2]species_comp_Region1_forR!$AJ36,[2]species_comp_Region1_forR!$AL36)</f>
        <v>2.397E-4</v>
      </c>
      <c r="Q232" s="13">
        <f t="shared" si="64"/>
        <v>2125.8404870292047</v>
      </c>
      <c r="R232" s="14">
        <f t="shared" si="71"/>
        <v>514647.36228533369</v>
      </c>
      <c r="S232">
        <f t="shared" si="77"/>
        <v>717.38926830928665</v>
      </c>
      <c r="T232" s="6">
        <f t="shared" si="78"/>
        <v>1406.0829658862019</v>
      </c>
      <c r="V232" s="13">
        <f t="shared" si="73"/>
        <v>14006.504509961205</v>
      </c>
      <c r="W232">
        <f t="shared" si="74"/>
        <v>520652.26482598326</v>
      </c>
      <c r="X232">
        <f t="shared" si="79"/>
        <v>721.56237764034188</v>
      </c>
      <c r="Y232" s="6">
        <f t="shared" si="80"/>
        <v>1414.26226017507</v>
      </c>
      <c r="Z232" s="14">
        <f t="shared" si="69"/>
        <v>5.1516234984051737E-2</v>
      </c>
    </row>
    <row r="233" spans="1:26" x14ac:dyDescent="0.3">
      <c r="A233" t="str">
        <f>'rockfish harvests'!A240</f>
        <v>SE</v>
      </c>
      <c r="B233">
        <f>'rockfish harvests'!B240</f>
        <v>2011</v>
      </c>
      <c r="C233" t="str">
        <f>'rockfish harvests'!C240</f>
        <v>CSEO</v>
      </c>
      <c r="D233">
        <f>'rockfish harvests'!D240</f>
        <v>58843</v>
      </c>
      <c r="E233">
        <f>'YE harvest'!E241</f>
        <v>12339</v>
      </c>
      <c r="F233">
        <f>IF([2]species_comp_Region1_forR!$H15&gt;49,[2]species_comp_Region1_forR!$AM15,[2]species_comp_Region1_forR!$AO15)</f>
        <v>0.87506731299999996</v>
      </c>
      <c r="G233" s="49">
        <f>IF([2]species_comp_Region1_forR!$H15&gt;49,[2]species_comp_Region1_forR!$AN15,[2]species_comp_Region1_forR!$AP15)</f>
        <v>5.8903300000000002E-5</v>
      </c>
      <c r="H233" s="13">
        <f t="shared" si="81"/>
        <v>10797.455575107</v>
      </c>
      <c r="I233">
        <f t="shared" si="72"/>
        <v>8968.0816749392998</v>
      </c>
      <c r="J233">
        <f t="shared" si="75"/>
        <v>94.699956045075865</v>
      </c>
      <c r="K233" s="6">
        <f t="shared" si="76"/>
        <v>185.61191384834871</v>
      </c>
      <c r="M233" s="2">
        <f>'rockfish harvests'!O240</f>
        <v>9637.9680383923114</v>
      </c>
      <c r="N233">
        <f>'rockfish harvests'!P240</f>
        <v>7141508.8030922944</v>
      </c>
      <c r="O233">
        <f>IF([2]species_comp_Region1_forR!$D37&gt;49,[2]species_comp_Region1_forR!$AI37,[2]species_comp_Region1_forR!$AK37)</f>
        <v>0.38095238100000001</v>
      </c>
      <c r="P233">
        <f>IF([2]species_comp_Region1_forR!$D37&gt;49,[2]species_comp_Region1_forR!$AJ37,[2]species_comp_Region1_forR!$AL37)</f>
        <v>3.30754E-4</v>
      </c>
      <c r="Q233" s="13">
        <f t="shared" si="64"/>
        <v>3671.6068722274504</v>
      </c>
      <c r="R233" s="14">
        <f t="shared" si="71"/>
        <v>1069495.4042659777</v>
      </c>
      <c r="S233">
        <f t="shared" si="77"/>
        <v>1034.1641089623918</v>
      </c>
      <c r="T233" s="6">
        <f t="shared" si="78"/>
        <v>2026.9616535662879</v>
      </c>
      <c r="V233" s="13">
        <f t="shared" si="73"/>
        <v>14469.062447334451</v>
      </c>
      <c r="W233">
        <f t="shared" si="74"/>
        <v>1078463.4859409169</v>
      </c>
      <c r="X233">
        <f t="shared" si="79"/>
        <v>1038.4909657483386</v>
      </c>
      <c r="Y233" s="6">
        <f t="shared" si="80"/>
        <v>2035.4422928667436</v>
      </c>
      <c r="Z233" s="14">
        <f t="shared" si="69"/>
        <v>7.1773203656305573E-2</v>
      </c>
    </row>
    <row r="234" spans="1:26" x14ac:dyDescent="0.3">
      <c r="A234" t="str">
        <f>'rockfish harvests'!A241</f>
        <v>SE</v>
      </c>
      <c r="B234">
        <f>'rockfish harvests'!B241</f>
        <v>2012</v>
      </c>
      <c r="C234" t="str">
        <f>'rockfish harvests'!C241</f>
        <v>CSEO</v>
      </c>
      <c r="D234">
        <f>'rockfish harvests'!D241</f>
        <v>57675</v>
      </c>
      <c r="E234">
        <f>'YE harvest'!E242</f>
        <v>14295</v>
      </c>
      <c r="F234">
        <f>IF([2]species_comp_Region1_forR!$H16&gt;49,[2]species_comp_Region1_forR!$AM16,[2]species_comp_Region1_forR!$AO16)</f>
        <v>0.90166975900000002</v>
      </c>
      <c r="G234" s="49">
        <f>IF([2]species_comp_Region1_forR!$H16&gt;49,[2]species_comp_Region1_forR!$AN16,[2]species_comp_Region1_forR!$AP16)</f>
        <v>4.1142200000000001E-5</v>
      </c>
      <c r="H234" s="13">
        <f t="shared" si="81"/>
        <v>12889.369204905001</v>
      </c>
      <c r="I234">
        <f t="shared" si="72"/>
        <v>8407.2861719550001</v>
      </c>
      <c r="J234">
        <f t="shared" si="75"/>
        <v>91.691254609995383</v>
      </c>
      <c r="K234" s="6">
        <f t="shared" si="76"/>
        <v>179.71485903559093</v>
      </c>
      <c r="M234" s="2">
        <f>'rockfish harvests'!O241</f>
        <v>6152.5876396981548</v>
      </c>
      <c r="N234">
        <f>'rockfish harvests'!P241</f>
        <v>1027468.7062518544</v>
      </c>
      <c r="O234">
        <f>IF([2]species_comp_Region1_forR!$D38&gt;49,[2]species_comp_Region1_forR!$AI38,[2]species_comp_Region1_forR!$AK38)</f>
        <v>0.34678624800000002</v>
      </c>
      <c r="P234">
        <f>IF([2]species_comp_Region1_forR!$D38&gt;49,[2]species_comp_Region1_forR!$AJ38,[2]species_comp_Region1_forR!$AL38)</f>
        <v>3.3911E-4</v>
      </c>
      <c r="Q234" s="13">
        <f t="shared" si="64"/>
        <v>2133.632783062099</v>
      </c>
      <c r="R234" s="14">
        <f t="shared" si="71"/>
        <v>136749.3160342988</v>
      </c>
      <c r="S234">
        <f t="shared" si="77"/>
        <v>369.79631695610328</v>
      </c>
      <c r="T234" s="6">
        <f t="shared" si="78"/>
        <v>724.80078123396243</v>
      </c>
      <c r="V234" s="13">
        <f t="shared" si="73"/>
        <v>15023.0019879671</v>
      </c>
      <c r="W234">
        <f t="shared" si="74"/>
        <v>145156.6022062538</v>
      </c>
      <c r="X234">
        <f t="shared" si="79"/>
        <v>380.9942285734179</v>
      </c>
      <c r="Y234" s="6">
        <f t="shared" si="80"/>
        <v>746.74868800389902</v>
      </c>
      <c r="Z234" s="14">
        <f t="shared" si="69"/>
        <v>2.5360725431480404E-2</v>
      </c>
    </row>
    <row r="235" spans="1:26" x14ac:dyDescent="0.3">
      <c r="A235" t="str">
        <f>'rockfish harvests'!A242</f>
        <v>SE</v>
      </c>
      <c r="B235">
        <f>'rockfish harvests'!B242</f>
        <v>2013</v>
      </c>
      <c r="C235" t="str">
        <f>'rockfish harvests'!C242</f>
        <v>CSEO</v>
      </c>
      <c r="D235">
        <f>'rockfish harvests'!D242</f>
        <v>60735</v>
      </c>
      <c r="E235">
        <f>'YE harvest'!E243</f>
        <v>12452</v>
      </c>
      <c r="F235">
        <f>IF([2]species_comp_Region1_forR!$H17&gt;49,[2]species_comp_Region1_forR!$AM17,[2]species_comp_Region1_forR!$AO17)</f>
        <v>0.84113300499999999</v>
      </c>
      <c r="G235" s="49">
        <f>IF([2]species_comp_Region1_forR!$H17&gt;49,[2]species_comp_Region1_forR!$AN17,[2]species_comp_Region1_forR!$AP17)</f>
        <v>5.4878099999999999E-5</v>
      </c>
      <c r="H235" s="13">
        <f t="shared" si="81"/>
        <v>10473.78817826</v>
      </c>
      <c r="I235">
        <f t="shared" si="72"/>
        <v>8508.9758441424001</v>
      </c>
      <c r="J235">
        <f t="shared" si="75"/>
        <v>92.244110078326415</v>
      </c>
      <c r="K235" s="6">
        <f t="shared" si="76"/>
        <v>180.79845575351976</v>
      </c>
      <c r="M235" s="2">
        <f>'rockfish harvests'!O242</f>
        <v>9629.9871638141776</v>
      </c>
      <c r="N235">
        <f>'rockfish harvests'!P242</f>
        <v>3833914.1323344847</v>
      </c>
      <c r="O235">
        <f>IF([2]species_comp_Region1_forR!$D39&gt;49,[2]species_comp_Region1_forR!$AI39,[2]species_comp_Region1_forR!$AK39)</f>
        <v>0.31481481500000003</v>
      </c>
      <c r="P235">
        <f>IF([2]species_comp_Region1_forR!$D39&gt;49,[2]species_comp_Region1_forR!$AJ39,[2]species_comp_Region1_forR!$AL39)</f>
        <v>2.35231E-4</v>
      </c>
      <c r="Q235" s="13">
        <f t="shared" si="64"/>
        <v>3031.6626274285354</v>
      </c>
      <c r="R235" s="14">
        <f t="shared" si="71"/>
        <v>402689.3627485797</v>
      </c>
      <c r="S235">
        <f t="shared" si="77"/>
        <v>634.57809822635681</v>
      </c>
      <c r="T235" s="6">
        <f t="shared" si="78"/>
        <v>1243.7730725236593</v>
      </c>
      <c r="V235" s="13">
        <f t="shared" si="73"/>
        <v>13505.450805688535</v>
      </c>
      <c r="W235">
        <f t="shared" si="74"/>
        <v>411198.33859272208</v>
      </c>
      <c r="X235">
        <f t="shared" si="79"/>
        <v>641.24748622721484</v>
      </c>
      <c r="Y235" s="6">
        <f t="shared" si="80"/>
        <v>1256.845073005341</v>
      </c>
      <c r="Z235" s="14">
        <f t="shared" si="69"/>
        <v>4.7480642849561119E-2</v>
      </c>
    </row>
    <row r="236" spans="1:26" x14ac:dyDescent="0.3">
      <c r="A236" t="str">
        <f>'rockfish harvests'!A243</f>
        <v>SE</v>
      </c>
      <c r="B236">
        <f>'rockfish harvests'!B243</f>
        <v>2014</v>
      </c>
      <c r="C236" t="str">
        <f>'rockfish harvests'!C243</f>
        <v>CSEO</v>
      </c>
      <c r="D236">
        <f>'rockfish harvests'!D243</f>
        <v>73709</v>
      </c>
      <c r="E236">
        <f>'YE harvest'!E244</f>
        <v>13508</v>
      </c>
      <c r="F236">
        <f>IF([2]species_comp_Region1_forR!$H18&gt;49,[2]species_comp_Region1_forR!$AM18,[2]species_comp_Region1_forR!$AO18)</f>
        <v>0.78010204100000002</v>
      </c>
      <c r="G236" s="49">
        <f>IF([2]species_comp_Region1_forR!$H18&gt;49,[2]species_comp_Region1_forR!$AN18,[2]species_comp_Region1_forR!$AP18)</f>
        <v>8.7566500000000003E-5</v>
      </c>
      <c r="H236" s="13">
        <f t="shared" si="81"/>
        <v>10537.618369828</v>
      </c>
      <c r="I236">
        <f t="shared" si="72"/>
        <v>15977.914593256</v>
      </c>
      <c r="J236">
        <f t="shared" si="75"/>
        <v>126.40377602451598</v>
      </c>
      <c r="K236" s="6">
        <f t="shared" si="76"/>
        <v>247.75140100805132</v>
      </c>
      <c r="M236" s="2">
        <f>'rockfish harvests'!O243</f>
        <v>12999.052896462119</v>
      </c>
      <c r="N236">
        <f>'rockfish harvests'!P243</f>
        <v>10006306.818414057</v>
      </c>
      <c r="O236">
        <f>IF([2]species_comp_Region1_forR!$D40&gt;49,[2]species_comp_Region1_forR!$AI40,[2]species_comp_Region1_forR!$AK40)</f>
        <v>0.29716981100000001</v>
      </c>
      <c r="P236">
        <f>IF([2]species_comp_Region1_forR!$D40&gt;49,[2]species_comp_Region1_forR!$AJ40,[2]species_comp_Region1_forR!$AL40)</f>
        <v>1.9722399999999999E-4</v>
      </c>
      <c r="Q236" s="13">
        <f t="shared" si="64"/>
        <v>3862.9260924206505</v>
      </c>
      <c r="R236" s="14">
        <f t="shared" si="71"/>
        <v>918955.40363220067</v>
      </c>
      <c r="S236">
        <f t="shared" si="77"/>
        <v>958.62161650580401</v>
      </c>
      <c r="T236" s="6">
        <f t="shared" si="78"/>
        <v>1878.8983683513759</v>
      </c>
      <c r="V236" s="13">
        <f t="shared" si="73"/>
        <v>14400.54446224865</v>
      </c>
      <c r="W236">
        <f t="shared" si="74"/>
        <v>934933.31822545663</v>
      </c>
      <c r="X236">
        <f t="shared" si="79"/>
        <v>966.91949935113871</v>
      </c>
      <c r="Y236" s="6">
        <f t="shared" si="80"/>
        <v>1895.1622187282319</v>
      </c>
      <c r="Z236" s="14">
        <f t="shared" si="69"/>
        <v>6.7144648723938175E-2</v>
      </c>
    </row>
    <row r="237" spans="1:26" x14ac:dyDescent="0.3">
      <c r="A237" t="str">
        <f>'rockfish harvests'!A244</f>
        <v>SE</v>
      </c>
      <c r="B237">
        <f>'rockfish harvests'!B244</f>
        <v>2015</v>
      </c>
      <c r="C237" t="str">
        <f>'rockfish harvests'!C244</f>
        <v>CSEO</v>
      </c>
      <c r="D237">
        <f>'rockfish harvests'!D244</f>
        <v>80105</v>
      </c>
      <c r="E237">
        <f>'YE harvest'!E245</f>
        <v>16888</v>
      </c>
      <c r="F237">
        <f>IF([2]species_comp_Region1_forR!$H19&gt;49,[2]species_comp_Region1_forR!$AM19,[2]species_comp_Region1_forR!$AO19)</f>
        <v>0.863247863</v>
      </c>
      <c r="G237" s="49">
        <f>IF([2]species_comp_Region1_forR!$H19&gt;49,[2]species_comp_Region1_forR!$AN19,[2]species_comp_Region1_forR!$AP19)</f>
        <v>4.3885099999999998E-5</v>
      </c>
      <c r="H237" s="13">
        <f t="shared" si="81"/>
        <v>14578.529910343999</v>
      </c>
      <c r="I237">
        <f t="shared" si="72"/>
        <v>12516.229933894399</v>
      </c>
      <c r="J237">
        <f t="shared" si="75"/>
        <v>111.87595780101459</v>
      </c>
      <c r="K237" s="6">
        <f t="shared" si="76"/>
        <v>219.27687728998859</v>
      </c>
      <c r="M237" s="2">
        <f>'rockfish harvests'!O244</f>
        <v>8154.5459903117735</v>
      </c>
      <c r="N237">
        <f>'rockfish harvests'!P244</f>
        <v>3137762.110543259</v>
      </c>
      <c r="O237">
        <f>IF([2]species_comp_Region1_forR!$D41&gt;49,[2]species_comp_Region1_forR!$AI41,[2]species_comp_Region1_forR!$AK41)</f>
        <v>0.34582942799999999</v>
      </c>
      <c r="P237">
        <f>IF([2]species_comp_Region1_forR!$D41&gt;49,[2]species_comp_Region1_forR!$AJ41,[2]species_comp_Region1_forR!$AL41)</f>
        <v>2.12225E-4</v>
      </c>
      <c r="Q237" s="13">
        <f t="shared" si="64"/>
        <v>2820.0819754292143</v>
      </c>
      <c r="R237" s="14">
        <f t="shared" si="71"/>
        <v>390048.20859094505</v>
      </c>
      <c r="S237">
        <f t="shared" si="77"/>
        <v>624.53839641045693</v>
      </c>
      <c r="T237" s="6">
        <f t="shared" si="78"/>
        <v>1224.0952569644955</v>
      </c>
      <c r="V237" s="13">
        <f t="shared" si="73"/>
        <v>17398.611885773214</v>
      </c>
      <c r="W237">
        <f t="shared" si="74"/>
        <v>402564.43852483947</v>
      </c>
      <c r="X237">
        <f t="shared" si="79"/>
        <v>634.47965966202526</v>
      </c>
      <c r="Y237" s="6">
        <f t="shared" si="80"/>
        <v>1243.5801329375695</v>
      </c>
      <c r="Z237" s="14">
        <f t="shared" si="69"/>
        <v>3.6467257493158815E-2</v>
      </c>
    </row>
    <row r="238" spans="1:26" x14ac:dyDescent="0.3">
      <c r="A238" t="str">
        <f>'rockfish harvests'!A245</f>
        <v>SE</v>
      </c>
      <c r="B238">
        <f>'rockfish harvests'!B245</f>
        <v>2016</v>
      </c>
      <c r="C238" t="str">
        <f>'rockfish harvests'!C245</f>
        <v>CSEO</v>
      </c>
      <c r="D238">
        <f>'rockfish harvests'!D245</f>
        <v>54908</v>
      </c>
      <c r="E238">
        <f>'YE harvest'!E246</f>
        <v>12620</v>
      </c>
      <c r="F238">
        <f>IF([2]species_comp_Region1_forR!$H20&gt;49,[2]species_comp_Region1_forR!$AM20,[2]species_comp_Region1_forR!$AO20)</f>
        <v>0.86723290099999994</v>
      </c>
      <c r="G238" s="49">
        <f>IF([2]species_comp_Region1_forR!$H20&gt;49,[2]species_comp_Region1_forR!$AN20,[2]species_comp_Region1_forR!$AP20)</f>
        <v>5.1493699999999998E-5</v>
      </c>
      <c r="H238" s="13">
        <f t="shared" si="81"/>
        <v>10944.479210619998</v>
      </c>
      <c r="I238">
        <f t="shared" si="72"/>
        <v>8201.1132342799992</v>
      </c>
      <c r="J238">
        <f t="shared" si="75"/>
        <v>90.559997980786193</v>
      </c>
      <c r="K238" s="6">
        <f t="shared" si="76"/>
        <v>177.49759604234094</v>
      </c>
      <c r="M238" s="2">
        <f>'rockfish harvests'!O245</f>
        <v>8439.7721422199611</v>
      </c>
      <c r="N238">
        <f>'rockfish harvests'!P245</f>
        <v>2423165.6191606135</v>
      </c>
      <c r="O238">
        <f>IF([2]species_comp_Region1_forR!$D42&gt;49,[2]species_comp_Region1_forR!$AI42,[2]species_comp_Region1_forR!$AK42)</f>
        <v>0.37969283300000001</v>
      </c>
      <c r="P238">
        <f>IF([2]species_comp_Region1_forR!$D42&gt;49,[2]species_comp_Region1_forR!$AJ42,[2]species_comp_Region1_forR!$AL42)</f>
        <v>2.0113299999999999E-4</v>
      </c>
      <c r="Q238" s="13">
        <f t="shared" si="64"/>
        <v>3204.5209945539759</v>
      </c>
      <c r="R238" s="14">
        <f t="shared" si="71"/>
        <v>364153.69612988702</v>
      </c>
      <c r="S238">
        <f t="shared" si="77"/>
        <v>603.45148614440166</v>
      </c>
      <c r="T238" s="6">
        <f t="shared" si="78"/>
        <v>1182.7649128430273</v>
      </c>
      <c r="V238" s="13">
        <f t="shared" si="73"/>
        <v>14149.000205173974</v>
      </c>
      <c r="W238">
        <f t="shared" si="74"/>
        <v>372354.80936416704</v>
      </c>
      <c r="X238">
        <f t="shared" si="79"/>
        <v>610.20882439060733</v>
      </c>
      <c r="Y238" s="6">
        <f t="shared" si="80"/>
        <v>1196.0092958055905</v>
      </c>
      <c r="Z238" s="14">
        <f t="shared" si="69"/>
        <v>4.3127345787122656E-2</v>
      </c>
    </row>
    <row r="239" spans="1:26" x14ac:dyDescent="0.3">
      <c r="A239" t="str">
        <f>'rockfish harvests'!A246</f>
        <v>SE</v>
      </c>
      <c r="B239">
        <f>'rockfish harvests'!B246</f>
        <v>2017</v>
      </c>
      <c r="C239" t="str">
        <f>'rockfish harvests'!C246</f>
        <v>CSEO</v>
      </c>
      <c r="D239">
        <f>'rockfish harvests'!D246</f>
        <v>57388</v>
      </c>
      <c r="E239">
        <f>'YE harvest'!E247</f>
        <v>11329</v>
      </c>
      <c r="F239">
        <f>IF([2]species_comp_Region1_forR!$H21&gt;49,[2]species_comp_Region1_forR!$AM21,[2]species_comp_Region1_forR!$AO21)</f>
        <v>0.79658385099999995</v>
      </c>
      <c r="G239" s="49">
        <f>IF([2]species_comp_Region1_forR!$H21&gt;49,[2]species_comp_Region1_forR!$AN21,[2]species_comp_Region1_forR!$AP21)</f>
        <v>8.3913999999999997E-5</v>
      </c>
      <c r="H239" s="13">
        <f t="shared" si="81"/>
        <v>9024.498447979</v>
      </c>
      <c r="I239">
        <f t="shared" si="72"/>
        <v>10770.046467274</v>
      </c>
      <c r="J239">
        <f t="shared" si="75"/>
        <v>103.77883438964807</v>
      </c>
      <c r="K239" s="6">
        <f t="shared" si="76"/>
        <v>203.40651540371022</v>
      </c>
      <c r="M239" s="2">
        <f>'rockfish harvests'!O246</f>
        <v>14552.082903438393</v>
      </c>
      <c r="N239">
        <f>'rockfish harvests'!P246</f>
        <v>13249322.287968032</v>
      </c>
      <c r="O239">
        <f>IF([2]species_comp_Region1_forR!$D43&gt;49,[2]species_comp_Region1_forR!$AI43,[2]species_comp_Region1_forR!$AK43)</f>
        <v>0.40052356</v>
      </c>
      <c r="P239">
        <f>IF([2]species_comp_Region1_forR!$D43&gt;49,[2]species_comp_Region1_forR!$AJ43,[2]species_comp_Region1_forR!$AL43)</f>
        <v>3.1468499999999999E-4</v>
      </c>
      <c r="Q239" s="13">
        <f t="shared" si="64"/>
        <v>5828.452049900282</v>
      </c>
      <c r="R239" s="14">
        <f t="shared" si="71"/>
        <v>2196252.6894588894</v>
      </c>
      <c r="S239">
        <f t="shared" si="77"/>
        <v>1481.9759409176957</v>
      </c>
      <c r="T239" s="6">
        <f t="shared" si="78"/>
        <v>2904.6728441986834</v>
      </c>
      <c r="V239" s="13">
        <f t="shared" si="73"/>
        <v>14852.950497879283</v>
      </c>
      <c r="W239">
        <f t="shared" si="74"/>
        <v>2207022.7359261634</v>
      </c>
      <c r="X239">
        <f t="shared" si="79"/>
        <v>1485.6051749795984</v>
      </c>
      <c r="Y239" s="6">
        <f t="shared" si="80"/>
        <v>2911.7861429600125</v>
      </c>
      <c r="Z239" s="14">
        <f t="shared" si="69"/>
        <v>0.10002087970277113</v>
      </c>
    </row>
    <row r="240" spans="1:26" x14ac:dyDescent="0.3">
      <c r="A240" t="str">
        <f>'rockfish harvests'!A247</f>
        <v>SE</v>
      </c>
      <c r="B240">
        <f>'rockfish harvests'!B247</f>
        <v>2018</v>
      </c>
      <c r="C240" t="str">
        <f>'rockfish harvests'!C247</f>
        <v>CSEO</v>
      </c>
      <c r="D240">
        <f>'rockfish harvests'!D247</f>
        <v>55460</v>
      </c>
      <c r="E240">
        <f>'YE harvest'!E248</f>
        <v>10517</v>
      </c>
      <c r="F240">
        <f>IF([2]species_comp_Region1_forR!$H22&gt;49,[2]species_comp_Region1_forR!$AM22,[2]species_comp_Region1_forR!$AO22)</f>
        <v>0.76529160699999998</v>
      </c>
      <c r="G240" s="49">
        <f>IF([2]species_comp_Region1_forR!$H22&gt;49,[2]species_comp_Region1_forR!$AN22,[2]species_comp_Region1_forR!$AP22)</f>
        <v>8.5208899999999997E-5</v>
      </c>
      <c r="H240" s="13">
        <f>E240*F240</f>
        <v>8048.5718308189998</v>
      </c>
      <c r="I240">
        <f t="shared" si="72"/>
        <v>9424.7254276720996</v>
      </c>
      <c r="J240">
        <f t="shared" si="75"/>
        <v>97.081025065004852</v>
      </c>
      <c r="K240" s="6">
        <f t="shared" si="76"/>
        <v>190.27880912740952</v>
      </c>
      <c r="M240" s="2">
        <f>'rockfish harvests'!O247</f>
        <v>6239.0473207200412</v>
      </c>
      <c r="N240">
        <f>'rockfish harvests'!P247</f>
        <v>1305580.4963851175</v>
      </c>
      <c r="O240">
        <f>IF([2]species_comp_Region1_forR!$D44&gt;49,[2]species_comp_Region1_forR!$AI44,[2]species_comp_Region1_forR!$AK44)</f>
        <v>0.32442748100000002</v>
      </c>
      <c r="P240">
        <f>IF([2]species_comp_Region1_forR!$D44&gt;49,[2]species_comp_Region1_forR!$AJ44,[2]species_comp_Region1_forR!$AL44)</f>
        <v>2.79203E-4</v>
      </c>
      <c r="Q240" s="13">
        <f t="shared" si="64"/>
        <v>2024.1184061010022</v>
      </c>
      <c r="R240" s="14">
        <f t="shared" si="71"/>
        <v>148649.21001605454</v>
      </c>
      <c r="S240">
        <f t="shared" si="77"/>
        <v>385.55052848628611</v>
      </c>
      <c r="T240" s="6">
        <f t="shared" si="78"/>
        <v>755.67903583312079</v>
      </c>
      <c r="V240" s="13">
        <f t="shared" si="73"/>
        <v>10072.690236920002</v>
      </c>
      <c r="W240">
        <f t="shared" si="74"/>
        <v>158073.93544372663</v>
      </c>
      <c r="X240">
        <f t="shared" si="79"/>
        <v>397.58512980709759</v>
      </c>
      <c r="Y240" s="6">
        <f t="shared" si="80"/>
        <v>779.26685442191126</v>
      </c>
      <c r="Z240" s="14">
        <f t="shared" si="69"/>
        <v>3.9471593035771746E-2</v>
      </c>
    </row>
    <row r="241" spans="1:26" x14ac:dyDescent="0.3">
      <c r="A241" t="str">
        <f>'rockfish harvests'!A248</f>
        <v>SE</v>
      </c>
      <c r="B241">
        <f>'rockfish harvests'!B248</f>
        <v>2019</v>
      </c>
      <c r="C241" t="str">
        <f>'rockfish harvests'!C248</f>
        <v>CSEO</v>
      </c>
      <c r="D241">
        <f>'rockfish harvests'!D248</f>
        <v>59842</v>
      </c>
      <c r="E241">
        <f>'YE harvest'!E249</f>
        <v>8780</v>
      </c>
      <c r="F241">
        <v>0.90160427807486632</v>
      </c>
      <c r="G241" s="49">
        <v>9.4982873481761726E-5</v>
      </c>
      <c r="H241" s="13">
        <f>E241*F241</f>
        <v>7916.0855614973261</v>
      </c>
      <c r="I241">
        <f>(E241^2)*G241</f>
        <v>7322.0777441114406</v>
      </c>
      <c r="K241" s="6"/>
      <c r="M241" s="2">
        <f>'rockfish harvests'!O248</f>
        <v>9834.2503043694014</v>
      </c>
      <c r="N241">
        <f>'rockfish harvests'!P248</f>
        <v>3923387.5515685715</v>
      </c>
      <c r="O241">
        <v>0.32483221476510066</v>
      </c>
      <c r="P241">
        <v>2.9477990190309166E-4</v>
      </c>
      <c r="Q241" s="13">
        <f>M241*O241</f>
        <v>3194.481306922678</v>
      </c>
      <c r="R241" s="14">
        <f t="shared" si="71"/>
        <v>443645.46524336922</v>
      </c>
      <c r="S241"/>
      <c r="T241" s="6"/>
      <c r="V241" s="13">
        <f>Q241+H241</f>
        <v>11110.566868420005</v>
      </c>
      <c r="W241">
        <f>R241+I241</f>
        <v>450967.54298748064</v>
      </c>
      <c r="X241">
        <f t="shared" si="79"/>
        <v>671.54116998697896</v>
      </c>
      <c r="Y241" s="6">
        <f>(1.96*X241)</f>
        <v>1316.2206931744788</v>
      </c>
      <c r="Z241" s="14">
        <f t="shared" si="69"/>
        <v>6.0441665842966709E-2</v>
      </c>
    </row>
    <row r="242" spans="1:26" x14ac:dyDescent="0.3">
      <c r="A242" t="str">
        <f>'rockfish harvests'!A249</f>
        <v>SE</v>
      </c>
      <c r="B242">
        <f>'rockfish harvests'!B249</f>
        <v>2020</v>
      </c>
      <c r="C242" t="str">
        <f>'rockfish harvests'!C249</f>
        <v>CSEO</v>
      </c>
      <c r="D242">
        <f>'rockfish harvests'!D249</f>
        <v>24728</v>
      </c>
      <c r="E242">
        <f>'YE harvest'!E250</f>
        <v>824</v>
      </c>
      <c r="F242" t="s">
        <v>214</v>
      </c>
      <c r="G242" t="s">
        <v>215</v>
      </c>
      <c r="H242" s="13">
        <f t="shared" ref="H242:H243" si="82">E242*F242</f>
        <v>6.0588235294117663</v>
      </c>
      <c r="I242">
        <f t="shared" ref="I242:I243" si="83">(E242^2)*G242</f>
        <v>1.5510989814318419</v>
      </c>
      <c r="J242">
        <f t="shared" ref="J242" si="84">SQRT(I242)</f>
        <v>1.2454312431571009</v>
      </c>
      <c r="K242" s="6">
        <f t="shared" ref="K242" si="85">(1.96*J242)</f>
        <v>2.4410452365879176</v>
      </c>
      <c r="M242" s="2">
        <f>'rockfish harvests'!O249</f>
        <v>5579.5825129317564</v>
      </c>
      <c r="N242">
        <f>'rockfish harvests'!P249</f>
        <v>3148769.5238355137</v>
      </c>
      <c r="O242">
        <v>8.1081081081081086E-3</v>
      </c>
      <c r="P242">
        <v>2.17950316829684E-5</v>
      </c>
      <c r="Q242" s="13">
        <f t="shared" ref="Q242:Q243" si="86">M242*O242</f>
        <v>45.239858212960186</v>
      </c>
      <c r="R242" s="14">
        <f t="shared" si="71"/>
        <v>954.14938397648461</v>
      </c>
      <c r="S242">
        <f t="shared" ref="S242:S243" si="87">SQRT(R242)</f>
        <v>30.889308570709133</v>
      </c>
      <c r="T242" s="6">
        <f t="shared" ref="T242:T243" si="88">(1.96*S242)</f>
        <v>60.543044798589897</v>
      </c>
      <c r="V242" s="13">
        <f t="shared" ref="V242:V243" si="89">Q242+H242</f>
        <v>51.298681742371954</v>
      </c>
      <c r="W242">
        <f t="shared" ref="W242:W243" si="90">R242+I242</f>
        <v>955.70048295791651</v>
      </c>
      <c r="X242">
        <f t="shared" ref="X242:X243" si="91">SQRT(W242)</f>
        <v>30.914405751330825</v>
      </c>
      <c r="Y242" s="6">
        <f t="shared" ref="Y242:Y243" si="92">(1.96*X242)</f>
        <v>60.59223527260842</v>
      </c>
      <c r="Z242" s="14">
        <f t="shared" ref="Z242:Z243" si="93">X242/V242</f>
        <v>0.60263548109455578</v>
      </c>
    </row>
    <row r="243" spans="1:26" x14ac:dyDescent="0.3">
      <c r="A243" t="str">
        <f>'rockfish harvests'!A250</f>
        <v>SE</v>
      </c>
      <c r="B243">
        <f>'rockfish harvests'!B250</f>
        <v>2021</v>
      </c>
      <c r="C243" t="str">
        <f>'rockfish harvests'!C250</f>
        <v>CSEO</v>
      </c>
      <c r="D243">
        <f>'rockfish harvests'!D250</f>
        <v>56521</v>
      </c>
      <c r="E243">
        <f>'YE harvest'!E251</f>
        <v>2821</v>
      </c>
      <c r="F243" t="s">
        <v>216</v>
      </c>
      <c r="G243" t="s">
        <v>217</v>
      </c>
      <c r="H243" s="13">
        <f t="shared" si="82"/>
        <v>44.078125</v>
      </c>
      <c r="I243">
        <f t="shared" si="83"/>
        <v>13.326239468860571</v>
      </c>
      <c r="K243" s="6"/>
      <c r="M243" s="2">
        <f>'rockfish harvests'!O250</f>
        <v>6300.3832456916716</v>
      </c>
      <c r="N243">
        <f>'rockfish harvests'!P250</f>
        <v>1468791.0672018982</v>
      </c>
      <c r="O243">
        <v>8.5106382978723406E-3</v>
      </c>
      <c r="P243">
        <v>1.7991913291332898E-5</v>
      </c>
      <c r="Q243" s="13">
        <f t="shared" si="86"/>
        <v>53.620282942056782</v>
      </c>
      <c r="R243" s="14">
        <f t="shared" si="71"/>
        <v>846.99823703322113</v>
      </c>
      <c r="S243">
        <f t="shared" si="87"/>
        <v>29.103234133567032</v>
      </c>
      <c r="T243" s="6">
        <f t="shared" si="88"/>
        <v>57.042338901791382</v>
      </c>
      <c r="V243" s="13">
        <f t="shared" si="89"/>
        <v>97.698407942056775</v>
      </c>
      <c r="W243">
        <f t="shared" si="90"/>
        <v>860.32447650208167</v>
      </c>
      <c r="X243">
        <f t="shared" si="91"/>
        <v>29.331288353941797</v>
      </c>
      <c r="Y243" s="6">
        <f t="shared" si="92"/>
        <v>57.489325173725923</v>
      </c>
      <c r="Z243" s="14">
        <f t="shared" si="93"/>
        <v>0.30022278736965369</v>
      </c>
    </row>
    <row r="244" spans="1:26" x14ac:dyDescent="0.3">
      <c r="A244" t="s">
        <v>151</v>
      </c>
      <c r="B244">
        <v>2022</v>
      </c>
      <c r="C244" t="s">
        <v>42</v>
      </c>
      <c r="D244">
        <f>'rockfish harvests'!D251</f>
        <v>67729</v>
      </c>
      <c r="E244">
        <f>'YE harvest'!E252</f>
        <v>3398</v>
      </c>
      <c r="F244" t="s">
        <v>218</v>
      </c>
      <c r="G244" t="s">
        <v>219</v>
      </c>
      <c r="H244" s="13">
        <f t="shared" ref="H244" si="94">E244*F244</f>
        <v>191.82258064516125</v>
      </c>
      <c r="I244">
        <f t="shared" ref="I244" si="95">(E244^2)*G244</f>
        <v>64.111042070977632</v>
      </c>
      <c r="K244" s="6"/>
      <c r="M244" s="2">
        <f>'rockfish harvests'!O251</f>
        <v>11225.939425595861</v>
      </c>
      <c r="N244">
        <f>'rockfish harvests'!P251</f>
        <v>5307635.0491281012</v>
      </c>
      <c r="O244" t="s">
        <v>220</v>
      </c>
      <c r="P244" t="s">
        <v>221</v>
      </c>
      <c r="Q244" s="13">
        <f t="shared" ref="Q244" si="96">M244*O244</f>
        <v>292.85059371119604</v>
      </c>
      <c r="R244" s="14">
        <f t="shared" si="71"/>
        <v>9424.9098768940603</v>
      </c>
      <c r="S244"/>
      <c r="T244" s="6"/>
      <c r="V244" s="13">
        <f t="shared" ref="V244" si="97">Q244+H244</f>
        <v>484.67317435635732</v>
      </c>
      <c r="W244">
        <f t="shared" ref="W244" si="98">R244+I244</f>
        <v>9489.0209189650377</v>
      </c>
      <c r="X244">
        <f t="shared" ref="X244" si="99">SQRT(W244)</f>
        <v>97.411605668755087</v>
      </c>
      <c r="Y244" s="6">
        <f t="shared" ref="Y244" si="100">(1.96*X244)</f>
        <v>190.92674711075998</v>
      </c>
      <c r="Z244" s="14">
        <f t="shared" ref="Z244" si="101">X244/V244</f>
        <v>0.20098410810154088</v>
      </c>
    </row>
    <row r="245" spans="1:26" x14ac:dyDescent="0.3">
      <c r="A245" t="str">
        <f>'rockfish harvests'!A252</f>
        <v>SE</v>
      </c>
      <c r="B245">
        <f>'rockfish harvests'!B252</f>
        <v>1998</v>
      </c>
      <c r="C245" t="str">
        <f>'rockfish harvests'!C252</f>
        <v>EWYKT</v>
      </c>
      <c r="D245">
        <f>'rockfish harvests'!D252</f>
        <v>1305</v>
      </c>
      <c r="E245">
        <f>'YE harvest'!E253</f>
        <v>606</v>
      </c>
      <c r="F245" s="32">
        <v>0.98821147200000004</v>
      </c>
      <c r="G245" s="32">
        <v>5.1523900000000002E-4</v>
      </c>
      <c r="H245" s="13">
        <f t="shared" ref="H245:H252" si="102">E245*F245</f>
        <v>598.85615203200007</v>
      </c>
      <c r="I245">
        <f t="shared" si="72"/>
        <v>189.21430940400001</v>
      </c>
      <c r="J245">
        <f t="shared" si="75"/>
        <v>13.75551923425648</v>
      </c>
      <c r="K245" s="6">
        <f t="shared" si="76"/>
        <v>26.960817699142702</v>
      </c>
      <c r="M245" s="2">
        <f>'rockfish harvests'!O252</f>
        <v>340.03895326402039</v>
      </c>
      <c r="N245">
        <f>'rockfish harvests'!P252</f>
        <v>27091.93854220381</v>
      </c>
      <c r="O245" s="50">
        <f t="shared" ref="O245:P265" si="103">O295</f>
        <v>0.32828362700000002</v>
      </c>
      <c r="P245" s="50">
        <f t="shared" si="103"/>
        <v>2.2094531000000001E-2</v>
      </c>
      <c r="Q245" s="13">
        <f t="shared" si="64"/>
        <v>111.62922089879611</v>
      </c>
      <c r="R245" s="14">
        <f t="shared" si="71"/>
        <v>6072.9987408454508</v>
      </c>
      <c r="S245">
        <f t="shared" si="77"/>
        <v>77.929447199665489</v>
      </c>
      <c r="T245" s="6">
        <f t="shared" si="78"/>
        <v>152.74171651134435</v>
      </c>
      <c r="V245" s="13">
        <f t="shared" si="73"/>
        <v>710.48537293079619</v>
      </c>
      <c r="W245">
        <f t="shared" si="74"/>
        <v>6262.213050249451</v>
      </c>
      <c r="X245">
        <f t="shared" si="79"/>
        <v>79.134145918493687</v>
      </c>
      <c r="Y245" s="6">
        <f t="shared" si="80"/>
        <v>155.10292600024763</v>
      </c>
      <c r="Z245" s="14">
        <f t="shared" si="69"/>
        <v>0.11138040124888206</v>
      </c>
    </row>
    <row r="246" spans="1:26" x14ac:dyDescent="0.3">
      <c r="A246" t="str">
        <f>'rockfish harvests'!A253</f>
        <v>SE</v>
      </c>
      <c r="B246">
        <f>'rockfish harvests'!B253</f>
        <v>1999</v>
      </c>
      <c r="C246" t="str">
        <f>'rockfish harvests'!C253</f>
        <v>EWYKT</v>
      </c>
      <c r="D246">
        <f>'rockfish harvests'!D253</f>
        <v>663</v>
      </c>
      <c r="E246">
        <f>'YE harvest'!E254</f>
        <v>116</v>
      </c>
      <c r="F246" s="32">
        <v>0.98821147200000004</v>
      </c>
      <c r="G246" s="32">
        <v>5.1523900000000002E-4</v>
      </c>
      <c r="H246" s="13">
        <f t="shared" si="102"/>
        <v>114.63253075200001</v>
      </c>
      <c r="I246">
        <f t="shared" si="72"/>
        <v>6.9330559840000001</v>
      </c>
      <c r="J246">
        <f t="shared" si="75"/>
        <v>2.6330696884055311</v>
      </c>
      <c r="K246" s="6">
        <f t="shared" si="76"/>
        <v>5.160816589274841</v>
      </c>
      <c r="M246" s="2">
        <f>'rockfish harvests'!O253</f>
        <v>172.7554222329851</v>
      </c>
      <c r="N246">
        <f>'rockfish harvests'!P253</f>
        <v>6992.7196212962144</v>
      </c>
      <c r="O246" s="50">
        <f t="shared" si="103"/>
        <v>0.32828362700000002</v>
      </c>
      <c r="P246" s="50">
        <f t="shared" si="103"/>
        <v>2.2094531000000001E-2</v>
      </c>
      <c r="Q246" s="13">
        <f t="shared" si="64"/>
        <v>56.712776594560793</v>
      </c>
      <c r="R246" s="14">
        <f t="shared" si="71"/>
        <v>1567.506045721404</v>
      </c>
      <c r="S246">
        <f t="shared" si="77"/>
        <v>39.591742140519706</v>
      </c>
      <c r="T246" s="6">
        <f t="shared" si="78"/>
        <v>77.599814595418621</v>
      </c>
      <c r="V246" s="13">
        <f t="shared" si="73"/>
        <v>171.34530734656079</v>
      </c>
      <c r="W246">
        <f t="shared" si="74"/>
        <v>1574.439101705404</v>
      </c>
      <c r="X246">
        <f t="shared" si="79"/>
        <v>39.679202382424521</v>
      </c>
      <c r="Y246" s="6">
        <f t="shared" si="80"/>
        <v>77.771236669552053</v>
      </c>
      <c r="Z246" s="14">
        <f t="shared" si="69"/>
        <v>0.2315744912825064</v>
      </c>
    </row>
    <row r="247" spans="1:26" x14ac:dyDescent="0.3">
      <c r="A247" t="str">
        <f>'rockfish harvests'!A254</f>
        <v>SE</v>
      </c>
      <c r="B247">
        <f>'rockfish harvests'!B254</f>
        <v>2000</v>
      </c>
      <c r="C247" t="str">
        <f>'rockfish harvests'!C254</f>
        <v>EWYKT</v>
      </c>
      <c r="D247">
        <f>'rockfish harvests'!D254</f>
        <v>1199</v>
      </c>
      <c r="E247">
        <f>'YE harvest'!E255</f>
        <v>142</v>
      </c>
      <c r="F247" s="32">
        <v>0.98821147200000004</v>
      </c>
      <c r="G247" s="32">
        <v>5.1523900000000002E-4</v>
      </c>
      <c r="H247" s="13">
        <f t="shared" si="102"/>
        <v>140.32602902400001</v>
      </c>
      <c r="I247">
        <f t="shared" si="72"/>
        <v>10.389279196</v>
      </c>
      <c r="J247">
        <f t="shared" si="75"/>
        <v>3.2232404806343569</v>
      </c>
      <c r="K247" s="6">
        <f t="shared" si="76"/>
        <v>6.3175513420433393</v>
      </c>
      <c r="M247" s="2">
        <f>'rockfish harvests'!O254</f>
        <v>312.41893100655966</v>
      </c>
      <c r="N247">
        <f>'rockfish harvests'!P254</f>
        <v>22869.539754384543</v>
      </c>
      <c r="O247" s="50">
        <f t="shared" si="103"/>
        <v>0.32828362700000002</v>
      </c>
      <c r="P247" s="50">
        <f t="shared" si="103"/>
        <v>2.2094531000000001E-2</v>
      </c>
      <c r="Q247" s="13">
        <f t="shared" si="64"/>
        <v>102.56201981429618</v>
      </c>
      <c r="R247" s="14">
        <f t="shared" si="71"/>
        <v>5126.494950360775</v>
      </c>
      <c r="S247">
        <f t="shared" si="77"/>
        <v>71.599545741301839</v>
      </c>
      <c r="T247" s="6">
        <f t="shared" si="78"/>
        <v>140.33510965295159</v>
      </c>
      <c r="V247" s="13">
        <f t="shared" si="73"/>
        <v>242.88804883829619</v>
      </c>
      <c r="W247">
        <f t="shared" si="74"/>
        <v>5136.8842295567747</v>
      </c>
      <c r="X247">
        <f t="shared" si="79"/>
        <v>71.672060313324153</v>
      </c>
      <c r="Y247" s="6">
        <f t="shared" si="80"/>
        <v>140.47723821411535</v>
      </c>
      <c r="Z247" s="14">
        <f t="shared" si="69"/>
        <v>0.29508269614796961</v>
      </c>
    </row>
    <row r="248" spans="1:26" x14ac:dyDescent="0.3">
      <c r="A248" t="str">
        <f>'rockfish harvests'!A255</f>
        <v>SE</v>
      </c>
      <c r="B248">
        <f>'rockfish harvests'!B255</f>
        <v>2001</v>
      </c>
      <c r="C248" t="str">
        <f>'rockfish harvests'!C255</f>
        <v>EWYKT</v>
      </c>
      <c r="D248">
        <f>'rockfish harvests'!D255</f>
        <v>1043</v>
      </c>
      <c r="E248">
        <f>'YE harvest'!E256</f>
        <v>152</v>
      </c>
      <c r="F248" s="32">
        <v>0.98821147200000004</v>
      </c>
      <c r="G248" s="32">
        <v>5.1523900000000002E-4</v>
      </c>
      <c r="H248" s="13">
        <f t="shared" si="102"/>
        <v>150.20814374400001</v>
      </c>
      <c r="I248">
        <f t="shared" si="72"/>
        <v>11.904081856000001</v>
      </c>
      <c r="J248">
        <f t="shared" si="75"/>
        <v>3.450229246876213</v>
      </c>
      <c r="K248" s="6">
        <f t="shared" si="76"/>
        <v>6.7624493238773775</v>
      </c>
      <c r="M248" s="2">
        <f>'rockfish harvests'!O255</f>
        <v>271.77059636350441</v>
      </c>
      <c r="N248">
        <f>'rockfish harvests'!P255</f>
        <v>17305.640405277591</v>
      </c>
      <c r="O248" s="50">
        <f t="shared" si="103"/>
        <v>0.32828362700000002</v>
      </c>
      <c r="P248" s="50">
        <f t="shared" si="103"/>
        <v>2.2094531000000001E-2</v>
      </c>
      <c r="Q248" s="13">
        <f t="shared" si="64"/>
        <v>89.217837086164238</v>
      </c>
      <c r="R248" s="14">
        <f t="shared" si="71"/>
        <v>3879.276937936896</v>
      </c>
      <c r="S248">
        <f t="shared" si="77"/>
        <v>62.283841708238391</v>
      </c>
      <c r="T248" s="6">
        <f t="shared" si="78"/>
        <v>122.07632974814724</v>
      </c>
      <c r="V248" s="13">
        <f t="shared" si="73"/>
        <v>239.42598083016424</v>
      </c>
      <c r="W248">
        <f t="shared" si="74"/>
        <v>3891.1810197928962</v>
      </c>
      <c r="X248">
        <f t="shared" si="79"/>
        <v>62.379331671579301</v>
      </c>
      <c r="Y248" s="6">
        <f t="shared" si="80"/>
        <v>122.26349007629543</v>
      </c>
      <c r="Z248" s="14">
        <f t="shared" si="69"/>
        <v>0.26053702048245053</v>
      </c>
    </row>
    <row r="249" spans="1:26" x14ac:dyDescent="0.3">
      <c r="A249" t="str">
        <f>'rockfish harvests'!A256</f>
        <v>SE</v>
      </c>
      <c r="B249">
        <f>'rockfish harvests'!B256</f>
        <v>2002</v>
      </c>
      <c r="C249" t="str">
        <f>'rockfish harvests'!C256</f>
        <v>EWYKT</v>
      </c>
      <c r="D249">
        <f>'rockfish harvests'!D256</f>
        <v>893</v>
      </c>
      <c r="E249">
        <f>'YE harvest'!E257</f>
        <v>102</v>
      </c>
      <c r="F249" s="32">
        <v>0.98821147200000004</v>
      </c>
      <c r="G249" s="32">
        <v>5.1523900000000002E-4</v>
      </c>
      <c r="H249" s="13">
        <f t="shared" si="102"/>
        <v>100.79757014400001</v>
      </c>
      <c r="I249">
        <f t="shared" si="72"/>
        <v>5.3605465560000001</v>
      </c>
      <c r="J249">
        <f t="shared" si="75"/>
        <v>2.3152854156669322</v>
      </c>
      <c r="K249" s="6">
        <f t="shared" si="76"/>
        <v>4.5379594147071876</v>
      </c>
      <c r="M249" s="2">
        <f>'rockfish harvests'!O256</f>
        <v>232.6856592067204</v>
      </c>
      <c r="N249">
        <f>'rockfish harvests'!P256</f>
        <v>12685.920229322461</v>
      </c>
      <c r="O249" s="50">
        <f t="shared" si="103"/>
        <v>0.32828362700000002</v>
      </c>
      <c r="P249" s="50">
        <f t="shared" si="103"/>
        <v>2.2094531000000001E-2</v>
      </c>
      <c r="Q249" s="13">
        <f t="shared" si="64"/>
        <v>76.386892155268129</v>
      </c>
      <c r="R249" s="14">
        <f t="shared" si="71"/>
        <v>2843.7085614647244</v>
      </c>
      <c r="S249">
        <f t="shared" si="77"/>
        <v>53.326433984138902</v>
      </c>
      <c r="T249" s="6">
        <f t="shared" si="78"/>
        <v>104.51981060891225</v>
      </c>
      <c r="V249" s="13">
        <f t="shared" si="73"/>
        <v>177.18446229926815</v>
      </c>
      <c r="W249">
        <f t="shared" si="74"/>
        <v>2849.0691080207243</v>
      </c>
      <c r="X249">
        <f t="shared" si="79"/>
        <v>53.376671945904647</v>
      </c>
      <c r="Y249" s="6">
        <f t="shared" si="80"/>
        <v>104.61827701397311</v>
      </c>
      <c r="Z249" s="14">
        <f t="shared" si="69"/>
        <v>0.30124916854024347</v>
      </c>
    </row>
    <row r="250" spans="1:26" x14ac:dyDescent="0.3">
      <c r="A250" t="str">
        <f>'rockfish harvests'!A257</f>
        <v>SE</v>
      </c>
      <c r="B250">
        <f>'rockfish harvests'!B257</f>
        <v>2003</v>
      </c>
      <c r="C250" t="str">
        <f>'rockfish harvests'!C257</f>
        <v>EWYKT</v>
      </c>
      <c r="D250">
        <f>'rockfish harvests'!D257</f>
        <v>1627</v>
      </c>
      <c r="E250">
        <f>'YE harvest'!E258</f>
        <v>443</v>
      </c>
      <c r="F250" s="32">
        <v>0.98821147200000004</v>
      </c>
      <c r="G250" s="32">
        <v>5.1523900000000002E-4</v>
      </c>
      <c r="H250" s="13">
        <f t="shared" si="102"/>
        <v>437.77768209600004</v>
      </c>
      <c r="I250">
        <f t="shared" si="72"/>
        <v>101.115138511</v>
      </c>
      <c r="J250">
        <f t="shared" si="75"/>
        <v>10.055602344514226</v>
      </c>
      <c r="K250" s="6">
        <f t="shared" si="76"/>
        <v>19.708980595247883</v>
      </c>
      <c r="M250" s="2">
        <f>'rockfish harvests'!O257</f>
        <v>423.94128502725016</v>
      </c>
      <c r="N250">
        <f>'rockfish harvests'!P257</f>
        <v>42110.865184765593</v>
      </c>
      <c r="O250" s="50">
        <f t="shared" si="103"/>
        <v>0.32828362700000002</v>
      </c>
      <c r="P250" s="50">
        <f t="shared" si="103"/>
        <v>2.2094531000000001E-2</v>
      </c>
      <c r="Q250" s="13">
        <f t="shared" si="64"/>
        <v>139.17298268378647</v>
      </c>
      <c r="R250" s="14">
        <f t="shared" si="71"/>
        <v>9439.6800304490444</v>
      </c>
      <c r="S250">
        <f t="shared" si="77"/>
        <v>97.158015780732384</v>
      </c>
      <c r="T250" s="6">
        <f t="shared" si="78"/>
        <v>190.42971093023547</v>
      </c>
      <c r="V250" s="13">
        <f t="shared" si="73"/>
        <v>576.95066477978651</v>
      </c>
      <c r="W250">
        <f t="shared" si="74"/>
        <v>9540.795168960045</v>
      </c>
      <c r="X250">
        <f t="shared" si="79"/>
        <v>97.676994061856988</v>
      </c>
      <c r="Y250" s="6">
        <f t="shared" si="80"/>
        <v>191.44690836123968</v>
      </c>
      <c r="Z250" s="14">
        <f t="shared" si="69"/>
        <v>0.16929869402115838</v>
      </c>
    </row>
    <row r="251" spans="1:26" x14ac:dyDescent="0.3">
      <c r="A251" t="str">
        <f>'rockfish harvests'!A258</f>
        <v>SE</v>
      </c>
      <c r="B251">
        <f>'rockfish harvests'!B258</f>
        <v>2004</v>
      </c>
      <c r="C251" t="str">
        <f>'rockfish harvests'!C258</f>
        <v>EWYKT</v>
      </c>
      <c r="D251">
        <f>'rockfish harvests'!D258</f>
        <v>1501</v>
      </c>
      <c r="E251">
        <f>'YE harvest'!E259</f>
        <v>378</v>
      </c>
      <c r="F251" s="32">
        <v>0.98821147200000004</v>
      </c>
      <c r="G251" s="32">
        <v>5.1523900000000002E-4</v>
      </c>
      <c r="H251" s="13">
        <f t="shared" si="102"/>
        <v>373.54393641600001</v>
      </c>
      <c r="I251">
        <f t="shared" si="72"/>
        <v>73.619409275999999</v>
      </c>
      <c r="J251">
        <f t="shared" si="75"/>
        <v>8.5801753639421605</v>
      </c>
      <c r="K251" s="6">
        <f t="shared" si="76"/>
        <v>16.817143713326633</v>
      </c>
      <c r="M251" s="2">
        <f>'rockfish harvests'!O258</f>
        <v>391.10993781555135</v>
      </c>
      <c r="N251">
        <f>'rockfish harvests'!P258</f>
        <v>35841.026777365994</v>
      </c>
      <c r="O251" s="50">
        <f t="shared" si="103"/>
        <v>0.32828362700000002</v>
      </c>
      <c r="P251" s="50">
        <f t="shared" si="103"/>
        <v>2.2094531000000001E-2</v>
      </c>
      <c r="Q251" s="13">
        <f t="shared" si="64"/>
        <v>128.39498894183367</v>
      </c>
      <c r="R251" s="14">
        <f t="shared" si="71"/>
        <v>8034.2169000006088</v>
      </c>
      <c r="S251">
        <f t="shared" si="77"/>
        <v>89.633793292488789</v>
      </c>
      <c r="T251" s="6">
        <f t="shared" si="78"/>
        <v>175.68223485327803</v>
      </c>
      <c r="V251" s="13">
        <f t="shared" si="73"/>
        <v>501.93892535783368</v>
      </c>
      <c r="W251">
        <f t="shared" si="74"/>
        <v>8107.8363092766085</v>
      </c>
      <c r="X251">
        <f t="shared" si="79"/>
        <v>90.043524527178562</v>
      </c>
      <c r="Y251" s="6">
        <f t="shared" si="80"/>
        <v>176.48530807326998</v>
      </c>
      <c r="Z251" s="14">
        <f t="shared" si="69"/>
        <v>0.17939139600099011</v>
      </c>
    </row>
    <row r="252" spans="1:26" x14ac:dyDescent="0.3">
      <c r="A252" t="str">
        <f>'rockfish harvests'!A259</f>
        <v>SE</v>
      </c>
      <c r="B252">
        <f>'rockfish harvests'!B259</f>
        <v>2005</v>
      </c>
      <c r="C252" t="str">
        <f>'rockfish harvests'!C259</f>
        <v>EWYKT</v>
      </c>
      <c r="D252">
        <f>'rockfish harvests'!D259</f>
        <v>1676</v>
      </c>
      <c r="E252">
        <f>'YE harvest'!E260</f>
        <v>284</v>
      </c>
      <c r="F252" s="32">
        <v>0.98821147200000004</v>
      </c>
      <c r="G252" s="32">
        <v>5.1523900000000002E-4</v>
      </c>
      <c r="H252" s="13">
        <f t="shared" si="102"/>
        <v>280.65205804800001</v>
      </c>
      <c r="I252">
        <f t="shared" si="72"/>
        <v>41.557116784000002</v>
      </c>
      <c r="J252">
        <f t="shared" si="75"/>
        <v>6.4464809612687137</v>
      </c>
      <c r="K252" s="6">
        <f t="shared" si="76"/>
        <v>12.635102684086679</v>
      </c>
      <c r="M252" s="2">
        <f>'rockfish harvests'!O259</f>
        <v>436.70903116513273</v>
      </c>
      <c r="N252">
        <f>'rockfish harvests'!P259</f>
        <v>44685.54786836687</v>
      </c>
      <c r="O252" s="50">
        <f t="shared" si="103"/>
        <v>0.32828362700000002</v>
      </c>
      <c r="P252" s="50">
        <f t="shared" si="103"/>
        <v>2.2094531000000001E-2</v>
      </c>
      <c r="Q252" s="13">
        <f t="shared" si="64"/>
        <v>143.36442469454582</v>
      </c>
      <c r="R252" s="14">
        <f t="shared" si="71"/>
        <v>10016.827533985168</v>
      </c>
      <c r="S252">
        <f t="shared" si="77"/>
        <v>100.0841023039382</v>
      </c>
      <c r="T252" s="6">
        <f t="shared" si="78"/>
        <v>196.16484051571885</v>
      </c>
      <c r="V252" s="13">
        <f t="shared" si="73"/>
        <v>424.0164827425458</v>
      </c>
      <c r="W252">
        <f t="shared" si="74"/>
        <v>10058.384650769169</v>
      </c>
      <c r="X252">
        <f t="shared" si="79"/>
        <v>100.2914983972678</v>
      </c>
      <c r="Y252" s="6">
        <f t="shared" si="80"/>
        <v>196.57133685864488</v>
      </c>
      <c r="Z252" s="14">
        <f t="shared" si="69"/>
        <v>0.23652735796632407</v>
      </c>
    </row>
    <row r="253" spans="1:26" x14ac:dyDescent="0.3">
      <c r="A253" t="str">
        <f>'rockfish harvests'!A260</f>
        <v>SE</v>
      </c>
      <c r="B253">
        <f>'rockfish harvests'!B260</f>
        <v>2006</v>
      </c>
      <c r="C253" t="str">
        <f>'rockfish harvests'!C260</f>
        <v>EWYKT</v>
      </c>
      <c r="D253">
        <f>'rockfish harvests'!D260</f>
        <v>2529</v>
      </c>
      <c r="E253">
        <f>'YE harvest'!E261</f>
        <v>440</v>
      </c>
      <c r="F253">
        <f>IF([2]species_comp_Region1_forR!$H318&gt;49,[2]species_comp_Region1_forR!$AM318,[2]species_comp_Region1_forR!$AO318)</f>
        <v>1</v>
      </c>
      <c r="G253">
        <f>IF([2]species_comp_Region1_forR!$H318&gt;49,[2]species_comp_Region1_forR!$AN318,[2]species_comp_Region1_forR!$AP318)</f>
        <v>0</v>
      </c>
      <c r="H253" s="13">
        <f t="shared" ref="H253:H265" si="104">E253*F253</f>
        <v>440</v>
      </c>
      <c r="I253">
        <f t="shared" si="72"/>
        <v>0</v>
      </c>
      <c r="J253">
        <f t="shared" si="75"/>
        <v>0</v>
      </c>
      <c r="K253" s="6">
        <f t="shared" si="76"/>
        <v>0</v>
      </c>
      <c r="M253" s="2">
        <f>'rockfish harvests'!O260</f>
        <v>658.97204046337765</v>
      </c>
      <c r="N253">
        <f>'rockfish harvests'!P260</f>
        <v>101745.85299552699</v>
      </c>
      <c r="O253" s="27">
        <f t="shared" si="103"/>
        <v>0.56060606099999999</v>
      </c>
      <c r="P253" s="27">
        <f t="shared" si="103"/>
        <v>3.7896449999999999E-3</v>
      </c>
      <c r="Q253" s="13">
        <f t="shared" si="64"/>
        <v>369.42371991330674</v>
      </c>
      <c r="R253" s="14">
        <f t="shared" si="71"/>
        <v>34007.812603609986</v>
      </c>
      <c r="S253">
        <f t="shared" si="77"/>
        <v>184.41207282499155</v>
      </c>
      <c r="T253" s="6">
        <f t="shared" si="78"/>
        <v>361.44766273698343</v>
      </c>
      <c r="V253" s="13">
        <f t="shared" si="73"/>
        <v>809.42371991330674</v>
      </c>
      <c r="W253">
        <f t="shared" si="74"/>
        <v>34007.812603609986</v>
      </c>
      <c r="X253">
        <f t="shared" si="79"/>
        <v>184.41207282499155</v>
      </c>
      <c r="Y253" s="6">
        <f t="shared" si="80"/>
        <v>361.44766273698343</v>
      </c>
      <c r="Z253" s="14">
        <f t="shared" si="69"/>
        <v>0.22783131787235367</v>
      </c>
    </row>
    <row r="254" spans="1:26" x14ac:dyDescent="0.3">
      <c r="A254" t="str">
        <f>'rockfish harvests'!A261</f>
        <v>SE</v>
      </c>
      <c r="B254">
        <f>'rockfish harvests'!B261</f>
        <v>2007</v>
      </c>
      <c r="C254" t="str">
        <f>'rockfish harvests'!C261</f>
        <v>EWYKT</v>
      </c>
      <c r="D254">
        <f>'rockfish harvests'!D261</f>
        <v>2290</v>
      </c>
      <c r="E254">
        <f>'YE harvest'!E262</f>
        <v>334</v>
      </c>
      <c r="F254">
        <f>IF([2]species_comp_Region1_forR!$H319&gt;49,[2]species_comp_Region1_forR!$AM319,[2]species_comp_Region1_forR!$AO319)</f>
        <v>1</v>
      </c>
      <c r="G254">
        <f>IF([2]species_comp_Region1_forR!$H319&gt;49,[2]species_comp_Region1_forR!$AN319,[2]species_comp_Region1_forR!$AP319)</f>
        <v>0</v>
      </c>
      <c r="H254" s="13">
        <f t="shared" si="104"/>
        <v>334</v>
      </c>
      <c r="I254">
        <f t="shared" si="72"/>
        <v>0</v>
      </c>
      <c r="J254">
        <f t="shared" si="75"/>
        <v>0</v>
      </c>
      <c r="K254" s="6">
        <f t="shared" si="76"/>
        <v>0</v>
      </c>
      <c r="M254" s="2">
        <f>'rockfish harvests'!O261</f>
        <v>596.69670726023514</v>
      </c>
      <c r="N254">
        <f>'rockfish harvests'!P261</f>
        <v>83423.810519029968</v>
      </c>
      <c r="O254" s="27">
        <f t="shared" si="103"/>
        <v>0.63934426200000005</v>
      </c>
      <c r="P254" s="27">
        <f t="shared" si="103"/>
        <v>3.8430529999999999E-3</v>
      </c>
      <c r="Q254" s="13">
        <f t="shared" si="64"/>
        <v>381.49461594112512</v>
      </c>
      <c r="R254" s="14">
        <f t="shared" si="71"/>
        <v>35789.316796790226</v>
      </c>
      <c r="S254">
        <f t="shared" si="77"/>
        <v>189.18064593607409</v>
      </c>
      <c r="T254" s="6">
        <f t="shared" si="78"/>
        <v>370.79406603470522</v>
      </c>
      <c r="V254" s="13">
        <f t="shared" si="73"/>
        <v>715.49461594112518</v>
      </c>
      <c r="W254">
        <f t="shared" si="74"/>
        <v>35789.316796790226</v>
      </c>
      <c r="X254">
        <f t="shared" si="79"/>
        <v>189.18064593607409</v>
      </c>
      <c r="Y254" s="6">
        <f t="shared" si="80"/>
        <v>370.79406603470522</v>
      </c>
      <c r="Z254" s="14">
        <f t="shared" si="69"/>
        <v>0.26440540812069635</v>
      </c>
    </row>
    <row r="255" spans="1:26" x14ac:dyDescent="0.3">
      <c r="A255" t="str">
        <f>'rockfish harvests'!A262</f>
        <v>SE</v>
      </c>
      <c r="B255">
        <f>'rockfish harvests'!B262</f>
        <v>2008</v>
      </c>
      <c r="C255" t="str">
        <f>'rockfish harvests'!C262</f>
        <v>EWYKT</v>
      </c>
      <c r="D255">
        <f>'rockfish harvests'!D262</f>
        <v>2857</v>
      </c>
      <c r="E255">
        <f>'YE harvest'!E263</f>
        <v>401</v>
      </c>
      <c r="F255">
        <f>IF([2]species_comp_Region1_forR!$H320&gt;49,[2]species_comp_Region1_forR!$AM320,[2]species_comp_Region1_forR!$AO320)</f>
        <v>1</v>
      </c>
      <c r="G255">
        <f>IF([2]species_comp_Region1_forR!$H320&gt;49,[2]species_comp_Region1_forR!$AN320,[2]species_comp_Region1_forR!$AP320)</f>
        <v>0</v>
      </c>
      <c r="H255" s="13">
        <f t="shared" si="104"/>
        <v>401</v>
      </c>
      <c r="I255">
        <f t="shared" si="72"/>
        <v>0</v>
      </c>
      <c r="J255">
        <f t="shared" si="75"/>
        <v>0</v>
      </c>
      <c r="K255" s="6">
        <f t="shared" si="76"/>
        <v>0</v>
      </c>
      <c r="M255" s="2">
        <f>'rockfish harvests'!O262</f>
        <v>744.43776971287843</v>
      </c>
      <c r="N255">
        <f>'rockfish harvests'!P262</f>
        <v>129849.277997606</v>
      </c>
      <c r="O255" s="27">
        <f t="shared" si="103"/>
        <v>0.27722772299999998</v>
      </c>
      <c r="P255" s="27">
        <f t="shared" si="103"/>
        <v>2.003725E-3</v>
      </c>
      <c r="Q255" s="13">
        <f t="shared" si="64"/>
        <v>206.37878781269964</v>
      </c>
      <c r="R255" s="14">
        <f t="shared" si="71"/>
        <v>11350.215360053304</v>
      </c>
      <c r="S255">
        <f t="shared" si="77"/>
        <v>106.53738949332907</v>
      </c>
      <c r="T255" s="6">
        <f t="shared" si="78"/>
        <v>208.81328340692497</v>
      </c>
      <c r="V255" s="13">
        <f t="shared" si="73"/>
        <v>607.37878781269967</v>
      </c>
      <c r="W255">
        <f t="shared" si="74"/>
        <v>11350.215360053304</v>
      </c>
      <c r="X255">
        <f t="shared" si="79"/>
        <v>106.53738949332907</v>
      </c>
      <c r="Y255" s="6">
        <f t="shared" si="80"/>
        <v>208.81328340692497</v>
      </c>
      <c r="Z255" s="14">
        <f t="shared" si="69"/>
        <v>0.17540518640269426</v>
      </c>
    </row>
    <row r="256" spans="1:26" x14ac:dyDescent="0.3">
      <c r="A256" t="str">
        <f>'rockfish harvests'!A263</f>
        <v>SE</v>
      </c>
      <c r="B256">
        <f>'rockfish harvests'!B263</f>
        <v>2009</v>
      </c>
      <c r="C256" t="str">
        <f>'rockfish harvests'!C263</f>
        <v>EWYKT</v>
      </c>
      <c r="D256">
        <f>'rockfish harvests'!D263</f>
        <v>2494</v>
      </c>
      <c r="E256">
        <f>'YE harvest'!E264</f>
        <v>301</v>
      </c>
      <c r="F256">
        <f>IF([2]species_comp_Region1_forR!$H321&gt;49,[2]species_comp_Region1_forR!$AM321,[2]species_comp_Region1_forR!$AO321)</f>
        <v>1</v>
      </c>
      <c r="G256">
        <f>IF([2]species_comp_Region1_forR!$H321&gt;49,[2]species_comp_Region1_forR!$AN321,[2]species_comp_Region1_forR!$AP321)</f>
        <v>0</v>
      </c>
      <c r="H256" s="13">
        <f t="shared" si="104"/>
        <v>301</v>
      </c>
      <c r="I256">
        <f t="shared" si="72"/>
        <v>0</v>
      </c>
      <c r="J256">
        <f t="shared" si="75"/>
        <v>0</v>
      </c>
      <c r="K256" s="6">
        <f t="shared" si="76"/>
        <v>0</v>
      </c>
      <c r="M256" s="2">
        <f>'rockfish harvests'!O263</f>
        <v>649.85222179346101</v>
      </c>
      <c r="N256">
        <f>'rockfish harvests'!P263</f>
        <v>98949.124670686113</v>
      </c>
      <c r="O256" s="27">
        <f t="shared" si="103"/>
        <v>0.448717949</v>
      </c>
      <c r="P256" s="27">
        <f t="shared" si="103"/>
        <v>3.212599E-3</v>
      </c>
      <c r="Q256" s="13">
        <f t="shared" si="64"/>
        <v>291.60035611625494</v>
      </c>
      <c r="R256" s="14">
        <f t="shared" si="71"/>
        <v>21597.778171076319</v>
      </c>
      <c r="S256">
        <f t="shared" si="77"/>
        <v>146.96182555710283</v>
      </c>
      <c r="T256" s="6">
        <f t="shared" si="78"/>
        <v>288.04517809192151</v>
      </c>
      <c r="V256" s="13">
        <f t="shared" si="73"/>
        <v>592.60035611625494</v>
      </c>
      <c r="W256">
        <f t="shared" si="74"/>
        <v>21597.778171076319</v>
      </c>
      <c r="X256">
        <f t="shared" si="79"/>
        <v>146.96182555710283</v>
      </c>
      <c r="Y256" s="6">
        <f t="shared" si="80"/>
        <v>288.04517809192151</v>
      </c>
      <c r="Z256" s="14">
        <f t="shared" si="69"/>
        <v>0.24799483166066846</v>
      </c>
    </row>
    <row r="257" spans="1:32" x14ac:dyDescent="0.3">
      <c r="A257" t="str">
        <f>'rockfish harvests'!A264</f>
        <v>SE</v>
      </c>
      <c r="B257">
        <f>'rockfish harvests'!B264</f>
        <v>2010</v>
      </c>
      <c r="C257" t="str">
        <f>'rockfish harvests'!C264</f>
        <v>EWYKT</v>
      </c>
      <c r="D257">
        <f>'rockfish harvests'!D264</f>
        <v>2435</v>
      </c>
      <c r="E257">
        <f>'YE harvest'!E265</f>
        <v>503</v>
      </c>
      <c r="F257">
        <f>IF([2]species_comp_Region1_forR!$H322&gt;49,[2]species_comp_Region1_forR!$AM322,[2]species_comp_Region1_forR!$AO322)</f>
        <v>1</v>
      </c>
      <c r="G257">
        <f>IF([2]species_comp_Region1_forR!$H322&gt;49,[2]species_comp_Region1_forR!$AN322,[2]species_comp_Region1_forR!$AP322)</f>
        <v>0</v>
      </c>
      <c r="H257" s="13">
        <f t="shared" si="104"/>
        <v>503</v>
      </c>
      <c r="I257">
        <f t="shared" si="72"/>
        <v>0</v>
      </c>
      <c r="J257">
        <f t="shared" si="75"/>
        <v>0</v>
      </c>
      <c r="K257" s="6">
        <f t="shared" si="76"/>
        <v>0</v>
      </c>
      <c r="M257" s="2">
        <f>'rockfish harvests'!O264</f>
        <v>634.4788131784594</v>
      </c>
      <c r="N257">
        <f>'rockfish harvests'!P264</f>
        <v>94322.866254399312</v>
      </c>
      <c r="O257" s="27">
        <f t="shared" si="103"/>
        <v>0.42592592600000001</v>
      </c>
      <c r="P257" s="27">
        <f t="shared" si="103"/>
        <v>1.518714E-3</v>
      </c>
      <c r="Q257" s="13">
        <f t="shared" si="64"/>
        <v>270.24097603041633</v>
      </c>
      <c r="R257" s="14">
        <f t="shared" si="71"/>
        <v>17866.012253849312</v>
      </c>
      <c r="S257">
        <f t="shared" si="77"/>
        <v>133.66380308015073</v>
      </c>
      <c r="T257" s="6">
        <f t="shared" si="78"/>
        <v>261.98105403709542</v>
      </c>
      <c r="V257" s="13">
        <f t="shared" si="73"/>
        <v>773.24097603041628</v>
      </c>
      <c r="W257">
        <f t="shared" si="74"/>
        <v>17866.012253849312</v>
      </c>
      <c r="X257">
        <f t="shared" si="79"/>
        <v>133.66380308015073</v>
      </c>
      <c r="Y257" s="6">
        <f t="shared" si="80"/>
        <v>261.98105403709542</v>
      </c>
      <c r="Z257" s="14">
        <f t="shared" si="69"/>
        <v>0.1728617691296444</v>
      </c>
    </row>
    <row r="258" spans="1:32" x14ac:dyDescent="0.3">
      <c r="A258" t="str">
        <f>'rockfish harvests'!A265</f>
        <v>SE</v>
      </c>
      <c r="B258">
        <f>'rockfish harvests'!B265</f>
        <v>2011</v>
      </c>
      <c r="C258" t="str">
        <f>'rockfish harvests'!C265</f>
        <v>EWYKT</v>
      </c>
      <c r="D258">
        <f>'rockfish harvests'!D265</f>
        <v>2848</v>
      </c>
      <c r="E258">
        <f>'YE harvest'!E266</f>
        <v>485</v>
      </c>
      <c r="F258">
        <f>IF([2]species_comp_Region1_forR!$H323&gt;49,[2]species_comp_Region1_forR!$AM323,[2]species_comp_Region1_forR!$AO323)</f>
        <v>0.97685185200000002</v>
      </c>
      <c r="G258">
        <f>IF([2]species_comp_Region1_forR!$H323&gt;49,[2]species_comp_Region1_forR!$AN323,[2]species_comp_Region1_forR!$AP323)</f>
        <v>1.0517400000000001E-4</v>
      </c>
      <c r="H258" s="13">
        <f t="shared" si="104"/>
        <v>473.77314822</v>
      </c>
      <c r="I258">
        <f t="shared" si="72"/>
        <v>24.73955415</v>
      </c>
      <c r="J258">
        <f t="shared" si="75"/>
        <v>4.9738872273102457</v>
      </c>
      <c r="K258" s="6">
        <f t="shared" si="76"/>
        <v>9.7488189655280806</v>
      </c>
      <c r="M258" s="2">
        <f>'rockfish harvests'!O265</f>
        <v>1436.4366812227072</v>
      </c>
      <c r="N258">
        <f>'rockfish harvests'!P265</f>
        <v>404683.38862902793</v>
      </c>
      <c r="O258" s="27">
        <f t="shared" si="103"/>
        <v>0.37575757599999998</v>
      </c>
      <c r="P258" s="27">
        <f t="shared" si="103"/>
        <v>1.430267E-3</v>
      </c>
      <c r="Q258" s="13">
        <f t="shared" si="64"/>
        <v>539.75196541372918</v>
      </c>
      <c r="R258" s="14">
        <f t="shared" si="71"/>
        <v>60668.714795276959</v>
      </c>
      <c r="S258">
        <f t="shared" si="77"/>
        <v>246.31020034760428</v>
      </c>
      <c r="T258" s="6">
        <f t="shared" si="78"/>
        <v>482.76799268130441</v>
      </c>
      <c r="V258" s="13">
        <f t="shared" si="73"/>
        <v>1013.5251136337292</v>
      </c>
      <c r="W258">
        <f t="shared" si="74"/>
        <v>60693.45434942696</v>
      </c>
      <c r="X258">
        <f t="shared" si="79"/>
        <v>246.36041554890056</v>
      </c>
      <c r="Y258" s="6">
        <f t="shared" si="80"/>
        <v>482.86641447584509</v>
      </c>
      <c r="Z258" s="14">
        <f t="shared" si="69"/>
        <v>0.24307282792987706</v>
      </c>
    </row>
    <row r="259" spans="1:32" x14ac:dyDescent="0.3">
      <c r="A259" t="str">
        <f>'rockfish harvests'!A266</f>
        <v>SE</v>
      </c>
      <c r="B259">
        <f>'rockfish harvests'!B266</f>
        <v>2012</v>
      </c>
      <c r="C259" t="str">
        <f>'rockfish harvests'!C266</f>
        <v>EWYKT</v>
      </c>
      <c r="D259">
        <f>'rockfish harvests'!D266</f>
        <v>3241</v>
      </c>
      <c r="E259">
        <f>'YE harvest'!E267</f>
        <v>514</v>
      </c>
      <c r="F259">
        <f>IF([2]species_comp_Region1_forR!$H324&gt;49,[2]species_comp_Region1_forR!$AM324,[2]species_comp_Region1_forR!$AO324)</f>
        <v>0.92682926799999998</v>
      </c>
      <c r="G259">
        <f>IF([2]species_comp_Region1_forR!$H324&gt;49,[2]species_comp_Region1_forR!$AN324,[2]species_comp_Region1_forR!$AP324)</f>
        <v>2.3712200000000001E-4</v>
      </c>
      <c r="H259" s="13">
        <f t="shared" si="104"/>
        <v>476.390243752</v>
      </c>
      <c r="I259">
        <f t="shared" si="72"/>
        <v>62.646683912</v>
      </c>
      <c r="J259">
        <f t="shared" si="75"/>
        <v>7.9149658187512095</v>
      </c>
      <c r="K259" s="6">
        <f t="shared" si="76"/>
        <v>15.51333300475237</v>
      </c>
      <c r="M259" s="2">
        <f>'rockfish harvests'!O266</f>
        <v>535.14427701186287</v>
      </c>
      <c r="N259">
        <f>'rockfish harvests'!P266</f>
        <v>48300.340637739224</v>
      </c>
      <c r="O259" s="27">
        <f t="shared" si="103"/>
        <v>0.28793774300000002</v>
      </c>
      <c r="P259" s="27">
        <f t="shared" si="103"/>
        <v>8.0089699999999996E-4</v>
      </c>
      <c r="Q259" s="13">
        <f t="shared" si="64"/>
        <v>154.08823530216259</v>
      </c>
      <c r="R259" s="14">
        <f t="shared" si="71"/>
        <v>4272.5355873145854</v>
      </c>
      <c r="S259">
        <f t="shared" si="77"/>
        <v>65.364635601482433</v>
      </c>
      <c r="T259" s="6">
        <f t="shared" si="78"/>
        <v>128.11468577890557</v>
      </c>
      <c r="V259" s="13">
        <f t="shared" si="73"/>
        <v>630.47847905416256</v>
      </c>
      <c r="W259">
        <f t="shared" si="74"/>
        <v>4335.1822712265857</v>
      </c>
      <c r="X259">
        <f t="shared" si="79"/>
        <v>65.842101054162796</v>
      </c>
      <c r="Y259" s="6">
        <f t="shared" si="80"/>
        <v>129.05051806615907</v>
      </c>
      <c r="Z259" s="14">
        <f t="shared" si="69"/>
        <v>0.10443195642924791</v>
      </c>
    </row>
    <row r="260" spans="1:32" x14ac:dyDescent="0.3">
      <c r="A260" t="str">
        <f>'rockfish harvests'!A267</f>
        <v>SE</v>
      </c>
      <c r="B260">
        <f>'rockfish harvests'!B267</f>
        <v>2013</v>
      </c>
      <c r="C260" t="str">
        <f>'rockfish harvests'!C267</f>
        <v>EWYKT</v>
      </c>
      <c r="D260">
        <f>'rockfish harvests'!D267</f>
        <v>3884</v>
      </c>
      <c r="E260">
        <f>'YE harvest'!E268</f>
        <v>452</v>
      </c>
      <c r="F260">
        <f>IF([2]species_comp_Region1_forR!$H325&gt;49,[2]species_comp_Region1_forR!$AM325,[2]species_comp_Region1_forR!$AO325)</f>
        <v>1</v>
      </c>
      <c r="G260">
        <f>IF([2]species_comp_Region1_forR!$H325&gt;49,[2]species_comp_Region1_forR!$AN325,[2]species_comp_Region1_forR!$AP325)</f>
        <v>0</v>
      </c>
      <c r="H260" s="13">
        <f t="shared" si="104"/>
        <v>452</v>
      </c>
      <c r="I260">
        <f t="shared" si="72"/>
        <v>0</v>
      </c>
      <c r="J260">
        <f t="shared" si="75"/>
        <v>0</v>
      </c>
      <c r="K260" s="6">
        <f t="shared" si="76"/>
        <v>0</v>
      </c>
      <c r="M260" s="2">
        <f>'rockfish harvests'!O267</f>
        <v>591.36648814078035</v>
      </c>
      <c r="N260">
        <f>'rockfish harvests'!P267</f>
        <v>87012.297802534755</v>
      </c>
      <c r="O260" s="27">
        <f t="shared" si="103"/>
        <v>0.27777777799999998</v>
      </c>
      <c r="P260" s="27">
        <f t="shared" si="103"/>
        <v>6.57762E-4</v>
      </c>
      <c r="Q260" s="13">
        <f t="shared" si="64"/>
        <v>164.26846905940931</v>
      </c>
      <c r="R260" s="14">
        <f t="shared" si="71"/>
        <v>7001.1740539687798</v>
      </c>
      <c r="S260">
        <f t="shared" si="77"/>
        <v>83.673018673696603</v>
      </c>
      <c r="T260" s="6">
        <f t="shared" si="78"/>
        <v>163.99911660044535</v>
      </c>
      <c r="V260" s="13">
        <f t="shared" si="73"/>
        <v>616.26846905940931</v>
      </c>
      <c r="W260">
        <f t="shared" si="74"/>
        <v>7001.1740539687798</v>
      </c>
      <c r="X260">
        <f t="shared" si="79"/>
        <v>83.673018673696603</v>
      </c>
      <c r="Y260" s="6">
        <f t="shared" si="80"/>
        <v>163.99911660044535</v>
      </c>
      <c r="Z260" s="14">
        <f t="shared" si="69"/>
        <v>0.13577364878233025</v>
      </c>
    </row>
    <row r="261" spans="1:32" x14ac:dyDescent="0.3">
      <c r="A261" t="str">
        <f>'rockfish harvests'!A268</f>
        <v>SE</v>
      </c>
      <c r="B261">
        <f>'rockfish harvests'!B268</f>
        <v>2014</v>
      </c>
      <c r="C261" t="str">
        <f>'rockfish harvests'!C268</f>
        <v>EWYKT</v>
      </c>
      <c r="D261">
        <f>'rockfish harvests'!D268</f>
        <v>4695</v>
      </c>
      <c r="E261">
        <f>'YE harvest'!E269</f>
        <v>675</v>
      </c>
      <c r="F261">
        <f>IF([2]species_comp_Region1_forR!$H326&gt;49,[2]species_comp_Region1_forR!$AM326,[2]species_comp_Region1_forR!$AO326)</f>
        <v>1</v>
      </c>
      <c r="G261">
        <f>IF([2]species_comp_Region1_forR!$H326&gt;49,[2]species_comp_Region1_forR!$AN326,[2]species_comp_Region1_forR!$AP326)</f>
        <v>0</v>
      </c>
      <c r="H261" s="13">
        <f t="shared" si="104"/>
        <v>675</v>
      </c>
      <c r="I261">
        <f t="shared" si="72"/>
        <v>0</v>
      </c>
      <c r="J261">
        <f t="shared" si="75"/>
        <v>0</v>
      </c>
      <c r="K261" s="6">
        <f t="shared" si="76"/>
        <v>0</v>
      </c>
      <c r="M261" s="2">
        <f>'rockfish harvests'!O268</f>
        <v>1023.1397849462364</v>
      </c>
      <c r="N261">
        <f>'rockfish harvests'!P268</f>
        <v>234030.60206548884</v>
      </c>
      <c r="O261" s="27">
        <f t="shared" si="103"/>
        <v>0.16745283</v>
      </c>
      <c r="P261" s="27">
        <f t="shared" si="103"/>
        <v>3.2958E-4</v>
      </c>
      <c r="Q261" s="13">
        <f t="shared" si="64"/>
        <v>171.32765247483869</v>
      </c>
      <c r="R261" s="14">
        <f t="shared" si="71"/>
        <v>6984.4645600164149</v>
      </c>
      <c r="S261">
        <f t="shared" si="77"/>
        <v>83.573109072335072</v>
      </c>
      <c r="T261" s="6">
        <f t="shared" si="78"/>
        <v>163.80329378177674</v>
      </c>
      <c r="V261" s="13">
        <f t="shared" si="73"/>
        <v>846.32765247483871</v>
      </c>
      <c r="W261">
        <f t="shared" si="74"/>
        <v>6984.4645600164149</v>
      </c>
      <c r="X261">
        <f t="shared" si="79"/>
        <v>83.573109072335072</v>
      </c>
      <c r="Y261" s="6">
        <f t="shared" si="80"/>
        <v>163.80329378177674</v>
      </c>
      <c r="Z261" s="14">
        <f t="shared" si="69"/>
        <v>9.8747936248980941E-2</v>
      </c>
    </row>
    <row r="262" spans="1:32" x14ac:dyDescent="0.3">
      <c r="A262" t="str">
        <f>'rockfish harvests'!A269</f>
        <v>SE</v>
      </c>
      <c r="B262">
        <f>'rockfish harvests'!B269</f>
        <v>2015</v>
      </c>
      <c r="C262" t="str">
        <f>'rockfish harvests'!C269</f>
        <v>EWYKT</v>
      </c>
      <c r="D262">
        <f>'rockfish harvests'!D269</f>
        <v>5729</v>
      </c>
      <c r="E262">
        <f>'YE harvest'!E270</f>
        <v>1014</v>
      </c>
      <c r="F262">
        <f>IF([2]species_comp_Region1_forR!$H327&gt;49,[2]species_comp_Region1_forR!$AM327,[2]species_comp_Region1_forR!$AO327)</f>
        <v>1</v>
      </c>
      <c r="G262">
        <f>IF([2]species_comp_Region1_forR!$H327&gt;49,[2]species_comp_Region1_forR!$AN327,[2]species_comp_Region1_forR!$AP327)</f>
        <v>0</v>
      </c>
      <c r="H262" s="13">
        <f t="shared" si="104"/>
        <v>1014</v>
      </c>
      <c r="I262">
        <f t="shared" si="72"/>
        <v>0</v>
      </c>
      <c r="J262">
        <f t="shared" si="75"/>
        <v>0</v>
      </c>
      <c r="K262" s="6">
        <f t="shared" si="76"/>
        <v>0</v>
      </c>
      <c r="M262" s="2">
        <f>'rockfish harvests'!O269</f>
        <v>2397.5678935972783</v>
      </c>
      <c r="N262">
        <f>'rockfish harvests'!P269</f>
        <v>1115072.9274274483</v>
      </c>
      <c r="O262" s="27">
        <f t="shared" si="103"/>
        <v>0.35143770000000002</v>
      </c>
      <c r="P262" s="27">
        <f t="shared" si="103"/>
        <v>7.3054200000000004E-4</v>
      </c>
      <c r="Q262" s="13">
        <f t="shared" si="64"/>
        <v>842.5957461196723</v>
      </c>
      <c r="R262" s="14">
        <f t="shared" si="71"/>
        <v>142734.942107779</v>
      </c>
      <c r="S262">
        <f t="shared" si="77"/>
        <v>377.80278202757984</v>
      </c>
      <c r="T262" s="6">
        <f t="shared" si="78"/>
        <v>740.49345277405644</v>
      </c>
      <c r="V262" s="13">
        <f t="shared" si="73"/>
        <v>1856.5957461196722</v>
      </c>
      <c r="W262">
        <f t="shared" si="74"/>
        <v>142734.942107779</v>
      </c>
      <c r="X262">
        <f t="shared" si="79"/>
        <v>377.80278202757984</v>
      </c>
      <c r="Y262" s="6">
        <f t="shared" si="80"/>
        <v>740.49345277405644</v>
      </c>
      <c r="Z262" s="14">
        <f t="shared" si="69"/>
        <v>0.20349221569487938</v>
      </c>
    </row>
    <row r="263" spans="1:32" x14ac:dyDescent="0.3">
      <c r="A263" t="str">
        <f>'rockfish harvests'!A270</f>
        <v>SE</v>
      </c>
      <c r="B263">
        <f>'rockfish harvests'!B270</f>
        <v>2016</v>
      </c>
      <c r="C263" t="str">
        <f>'rockfish harvests'!C270</f>
        <v>EWYKT</v>
      </c>
      <c r="D263">
        <f>'rockfish harvests'!D270</f>
        <v>7499</v>
      </c>
      <c r="E263">
        <f>'YE harvest'!E271</f>
        <v>1262</v>
      </c>
      <c r="F263">
        <f>IF([2]species_comp_Region1_forR!$H328&gt;49,[2]species_comp_Region1_forR!$AM328,[2]species_comp_Region1_forR!$AO328)</f>
        <v>1</v>
      </c>
      <c r="G263">
        <f>IF([2]species_comp_Region1_forR!$H328&gt;49,[2]species_comp_Region1_forR!$AN328,[2]species_comp_Region1_forR!$AP328)</f>
        <v>0</v>
      </c>
      <c r="H263" s="13">
        <f t="shared" si="104"/>
        <v>1262</v>
      </c>
      <c r="I263">
        <f t="shared" si="72"/>
        <v>0</v>
      </c>
      <c r="J263">
        <f t="shared" si="75"/>
        <v>0</v>
      </c>
      <c r="K263" s="6">
        <f t="shared" si="76"/>
        <v>0</v>
      </c>
      <c r="M263" s="2">
        <f>'rockfish harvests'!O270</f>
        <v>2107.8674308497375</v>
      </c>
      <c r="N263">
        <f>'rockfish harvests'!P270</f>
        <v>521828.91183042602</v>
      </c>
      <c r="O263" s="27">
        <f t="shared" si="103"/>
        <v>0.25896414299999998</v>
      </c>
      <c r="P263" s="27">
        <f t="shared" si="103"/>
        <v>3.8303700000000003E-4</v>
      </c>
      <c r="Q263" s="13">
        <f t="shared" si="64"/>
        <v>545.86208278761399</v>
      </c>
      <c r="R263" s="14">
        <f t="shared" si="71"/>
        <v>36896.86692523391</v>
      </c>
      <c r="S263">
        <f t="shared" si="77"/>
        <v>192.0855718819972</v>
      </c>
      <c r="T263" s="6">
        <f t="shared" si="78"/>
        <v>376.48772088871448</v>
      </c>
      <c r="V263" s="13">
        <f t="shared" si="73"/>
        <v>1807.8620827876139</v>
      </c>
      <c r="W263">
        <f t="shared" si="74"/>
        <v>36896.86692523391</v>
      </c>
      <c r="X263">
        <f t="shared" si="79"/>
        <v>192.0855718819972</v>
      </c>
      <c r="Y263" s="6">
        <f t="shared" si="80"/>
        <v>376.48772088871448</v>
      </c>
      <c r="Z263" s="14">
        <f t="shared" si="69"/>
        <v>0.10625012478043284</v>
      </c>
    </row>
    <row r="264" spans="1:32" x14ac:dyDescent="0.3">
      <c r="A264" t="str">
        <f>'rockfish harvests'!A271</f>
        <v>SE</v>
      </c>
      <c r="B264">
        <f>'rockfish harvests'!B271</f>
        <v>2017</v>
      </c>
      <c r="C264" t="str">
        <f>'rockfish harvests'!C271</f>
        <v>EWYKT</v>
      </c>
      <c r="D264">
        <f>'rockfish harvests'!D271</f>
        <v>6324</v>
      </c>
      <c r="E264">
        <f>'YE harvest'!E272</f>
        <v>797</v>
      </c>
      <c r="F264">
        <f>IF([2]species_comp_Region1_forR!$H329&gt;49,[2]species_comp_Region1_forR!$AM329,[2]species_comp_Region1_forR!$AO329)</f>
        <v>0.988416988</v>
      </c>
      <c r="G264">
        <f>IF([2]species_comp_Region1_forR!$H329&gt;49,[2]species_comp_Region1_forR!$AN329,[2]species_comp_Region1_forR!$AP329)</f>
        <v>4.4375400000000002E-5</v>
      </c>
      <c r="H264" s="13">
        <f t="shared" si="104"/>
        <v>787.76833943600002</v>
      </c>
      <c r="I264">
        <f t="shared" si="72"/>
        <v>28.1876534586</v>
      </c>
      <c r="J264">
        <f t="shared" si="75"/>
        <v>5.3092045975456621</v>
      </c>
      <c r="K264" s="6">
        <f t="shared" si="76"/>
        <v>10.406041011189497</v>
      </c>
      <c r="M264" s="2">
        <f>'rockfish harvests'!O271</f>
        <v>1256.0488400488402</v>
      </c>
      <c r="N264">
        <f>'rockfish harvests'!P271</f>
        <v>191271.46761998921</v>
      </c>
      <c r="O264" s="27">
        <f t="shared" si="103"/>
        <v>0.16959064300000001</v>
      </c>
      <c r="P264" s="27">
        <f t="shared" si="103"/>
        <v>2.7505800000000001E-4</v>
      </c>
      <c r="Q264" s="13">
        <f t="shared" si="64"/>
        <v>213.01413042328699</v>
      </c>
      <c r="R264" s="14">
        <f t="shared" si="71"/>
        <v>5987.7144302689749</v>
      </c>
      <c r="S264">
        <f t="shared" si="77"/>
        <v>77.380323275810724</v>
      </c>
      <c r="T264" s="6">
        <f t="shared" si="78"/>
        <v>151.66543362058903</v>
      </c>
      <c r="V264" s="13">
        <f t="shared" si="73"/>
        <v>1000.7824698592869</v>
      </c>
      <c r="W264">
        <f t="shared" si="74"/>
        <v>6015.9020837275748</v>
      </c>
      <c r="X264">
        <f t="shared" si="79"/>
        <v>77.56224651031954</v>
      </c>
      <c r="Y264" s="6">
        <f t="shared" si="80"/>
        <v>152.02200316022629</v>
      </c>
      <c r="Z264" s="14">
        <f t="shared" si="69"/>
        <v>7.750160384126735E-2</v>
      </c>
    </row>
    <row r="265" spans="1:32" x14ac:dyDescent="0.3">
      <c r="A265" t="str">
        <f>'rockfish harvests'!A272</f>
        <v>SE</v>
      </c>
      <c r="B265">
        <f>'rockfish harvests'!B272</f>
        <v>2018</v>
      </c>
      <c r="C265" t="str">
        <f>'rockfish harvests'!C272</f>
        <v>EWYKT</v>
      </c>
      <c r="D265">
        <f>'rockfish harvests'!D272</f>
        <v>8659</v>
      </c>
      <c r="E265">
        <f>'YE harvest'!E273</f>
        <v>977</v>
      </c>
      <c r="F265">
        <f>IF([2]species_comp_Region1_forR!$H330&gt;49,[2]species_comp_Region1_forR!$AM330,[2]species_comp_Region1_forR!$AO330)</f>
        <v>0.94980695000000004</v>
      </c>
      <c r="G265">
        <f>IF([2]species_comp_Region1_forR!$H330&gt;49,[2]species_comp_Region1_forR!$AN330,[2]species_comp_Region1_forR!$AP330)</f>
        <v>1.8478200000000001E-4</v>
      </c>
      <c r="H265" s="13">
        <f t="shared" si="104"/>
        <v>927.96139015000006</v>
      </c>
      <c r="I265">
        <f t="shared" si="72"/>
        <v>176.37977767800001</v>
      </c>
      <c r="J265">
        <f t="shared" si="75"/>
        <v>13.280804858064892</v>
      </c>
      <c r="K265" s="6">
        <f t="shared" si="76"/>
        <v>26.030377521807189</v>
      </c>
      <c r="M265" s="2">
        <f>'rockfish harvests'!O272</f>
        <v>1971.3795063043872</v>
      </c>
      <c r="N265">
        <f>'rockfish harvests'!P272</f>
        <v>502872.73387700756</v>
      </c>
      <c r="O265" s="27">
        <f>O315</f>
        <v>0.18895966</v>
      </c>
      <c r="P265" s="27">
        <f t="shared" si="103"/>
        <v>3.26072E-4</v>
      </c>
      <c r="Q265" s="13">
        <f t="shared" si="64"/>
        <v>372.51120124224485</v>
      </c>
      <c r="R265" s="14">
        <f t="shared" si="71"/>
        <v>19386.648128037243</v>
      </c>
      <c r="S265">
        <f t="shared" si="77"/>
        <v>139.23594409504051</v>
      </c>
      <c r="T265" s="6">
        <f t="shared" si="78"/>
        <v>272.90245042627942</v>
      </c>
      <c r="V265" s="13">
        <f t="shared" si="73"/>
        <v>1300.4725913922448</v>
      </c>
      <c r="W265">
        <f t="shared" si="74"/>
        <v>19563.027905715244</v>
      </c>
      <c r="X265">
        <f t="shared" si="79"/>
        <v>139.86789447802252</v>
      </c>
      <c r="Y265" s="6">
        <f t="shared" si="80"/>
        <v>274.14107317692412</v>
      </c>
      <c r="Z265" s="14">
        <f t="shared" si="69"/>
        <v>0.10755158963272296</v>
      </c>
    </row>
    <row r="266" spans="1:32" x14ac:dyDescent="0.3">
      <c r="A266" t="str">
        <f>'rockfish harvests'!A273</f>
        <v>SE</v>
      </c>
      <c r="B266">
        <f>'rockfish harvests'!B273</f>
        <v>2019</v>
      </c>
      <c r="C266" t="str">
        <f>'rockfish harvests'!C273</f>
        <v>EWYKT</v>
      </c>
      <c r="D266">
        <f>'rockfish harvests'!D273</f>
        <v>7908</v>
      </c>
      <c r="E266">
        <f>'YE harvest'!E274</f>
        <v>739</v>
      </c>
      <c r="F266">
        <v>0.99315068493150682</v>
      </c>
      <c r="G266">
        <v>2.3375951723662165E-5</v>
      </c>
      <c r="H266" s="13">
        <f>E266*F266</f>
        <v>733.93835616438355</v>
      </c>
      <c r="I266">
        <f>(E266^2)*G266</f>
        <v>12.766098131278106</v>
      </c>
      <c r="K266" s="6"/>
      <c r="M266" s="2">
        <f>'rockfish harvests'!O273</f>
        <v>3002.4944735311237</v>
      </c>
      <c r="N266">
        <f>'rockfish harvests'!P273</f>
        <v>1226769.4446075337</v>
      </c>
      <c r="O266" s="43">
        <v>0.12582781456953643</v>
      </c>
      <c r="P266" s="43">
        <v>2.4335215851812122E-4</v>
      </c>
      <c r="Q266" s="13">
        <f>M266*O266</f>
        <v>377.79731786153212</v>
      </c>
      <c r="R266" s="14">
        <f t="shared" si="71"/>
        <v>21915.347800112715</v>
      </c>
      <c r="S266">
        <f>SQRT(R266)</f>
        <v>148.03833219849756</v>
      </c>
      <c r="T266" s="6">
        <f>(1.96*S266)</f>
        <v>290.15513110905522</v>
      </c>
      <c r="V266" s="13">
        <f>Q266+H266</f>
        <v>1111.7356740259156</v>
      </c>
      <c r="W266">
        <f>R266+I266</f>
        <v>21928.113898243992</v>
      </c>
      <c r="X266">
        <f>SQRT(W266)</f>
        <v>148.08144346353458</v>
      </c>
      <c r="Y266" s="6">
        <f>(1.96*X266)</f>
        <v>290.23962918852777</v>
      </c>
      <c r="Z266" s="14">
        <f t="shared" si="69"/>
        <v>0.13319842739892385</v>
      </c>
    </row>
    <row r="267" spans="1:32" x14ac:dyDescent="0.3">
      <c r="A267" t="str">
        <f>'rockfish harvests'!A274</f>
        <v>SE</v>
      </c>
      <c r="B267">
        <f>'rockfish harvests'!B274</f>
        <v>2020</v>
      </c>
      <c r="C267" t="str">
        <f>'rockfish harvests'!C274</f>
        <v>EWYKT</v>
      </c>
      <c r="D267">
        <f>'rockfish harvests'!D274</f>
        <v>4059</v>
      </c>
      <c r="E267">
        <f>'YE harvest'!E275</f>
        <v>76</v>
      </c>
      <c r="F267" s="108" t="str">
        <f>F317</f>
        <v>0.00735294117647059</v>
      </c>
      <c r="G267" s="108" t="str">
        <f>G317</f>
        <v>2.28446805399873e-06</v>
      </c>
      <c r="H267" s="13">
        <f t="shared" ref="H267:H269" si="105">E267*F267</f>
        <v>0.55882352941176483</v>
      </c>
      <c r="I267">
        <f t="shared" ref="I267:I269" si="106">(E267^2)*G267</f>
        <v>1.3195087479896665E-2</v>
      </c>
      <c r="J267">
        <f t="shared" ref="J267" si="107">SQRT(I267)</f>
        <v>0.11486987194167436</v>
      </c>
      <c r="K267" s="6">
        <f t="shared" ref="K267" si="108">(1.96*J267)</f>
        <v>0.22514494900568174</v>
      </c>
      <c r="M267" s="2">
        <f>'rockfish harvests'!O274</f>
        <v>914.63838771593146</v>
      </c>
      <c r="N267">
        <f>'rockfish harvests'!P274</f>
        <v>109543.02664472036</v>
      </c>
      <c r="O267" s="43">
        <v>1.1235955056179775E-2</v>
      </c>
      <c r="P267" s="43">
        <v>1.2624668602449185E-4</v>
      </c>
      <c r="Q267" s="13">
        <f t="shared" ref="Q267:Q268" si="109">M267*O267</f>
        <v>10.276835817032937</v>
      </c>
      <c r="R267" s="14">
        <f t="shared" si="71"/>
        <v>133.27224259222817</v>
      </c>
      <c r="S267">
        <f t="shared" ref="S267:S268" si="110">SQRT(R267)</f>
        <v>11.544359774029401</v>
      </c>
      <c r="T267" s="6">
        <f t="shared" ref="T267:T268" si="111">(1.96*S267)</f>
        <v>22.626945157097627</v>
      </c>
      <c r="V267" s="13">
        <f t="shared" ref="V267:V268" si="112">Q267+H267</f>
        <v>10.835659346444702</v>
      </c>
      <c r="W267">
        <f t="shared" ref="W267:W268" si="113">R267+I267</f>
        <v>133.28543767970805</v>
      </c>
      <c r="X267">
        <f t="shared" ref="X267:X268" si="114">SQRT(W267)</f>
        <v>11.544931254871466</v>
      </c>
      <c r="Y267" s="6">
        <f t="shared" ref="Y267:Y268" si="115">(1.96*X267)</f>
        <v>22.628065259548073</v>
      </c>
      <c r="Z267" s="14">
        <f t="shared" ref="Z267:Z268" si="116">X267/V267</f>
        <v>1.0654571988422177</v>
      </c>
    </row>
    <row r="268" spans="1:32" x14ac:dyDescent="0.3">
      <c r="A268" t="str">
        <f>'rockfish harvests'!A275</f>
        <v>SE</v>
      </c>
      <c r="B268">
        <f>'rockfish harvests'!B275</f>
        <v>2021</v>
      </c>
      <c r="C268" t="str">
        <f>'rockfish harvests'!C275</f>
        <v>EWYKT</v>
      </c>
      <c r="D268">
        <f>'rockfish harvests'!D275</f>
        <v>7343</v>
      </c>
      <c r="E268">
        <f>'YE harvest'!E276</f>
        <v>118</v>
      </c>
      <c r="F268" s="108">
        <f t="shared" ref="F268:G268" si="117">F318</f>
        <v>1.4471780028943559E-2</v>
      </c>
      <c r="G268" s="108">
        <f t="shared" si="117"/>
        <v>2.0670069002518015E-5</v>
      </c>
      <c r="H268" s="13">
        <f t="shared" si="105"/>
        <v>1.70767004341534</v>
      </c>
      <c r="I268">
        <f t="shared" si="106"/>
        <v>0.28781004079106082</v>
      </c>
      <c r="K268" s="6"/>
      <c r="M268" s="2">
        <f>'rockfish harvests'!O275</f>
        <v>1513.750779741571</v>
      </c>
      <c r="N268">
        <f>'rockfish harvests'!P275</f>
        <v>303380.23971291271</v>
      </c>
      <c r="O268" t="s">
        <v>223</v>
      </c>
      <c r="P268" t="s">
        <v>224</v>
      </c>
      <c r="Q268" s="13">
        <f t="shared" si="109"/>
        <v>5.1313585753951614</v>
      </c>
      <c r="R268" s="14">
        <f t="shared" si="71"/>
        <v>33.303095691974022</v>
      </c>
      <c r="S268">
        <f t="shared" si="110"/>
        <v>5.7708834412049965</v>
      </c>
      <c r="T268" s="6">
        <f t="shared" si="111"/>
        <v>11.310931544761793</v>
      </c>
      <c r="V268" s="13">
        <f t="shared" si="112"/>
        <v>6.8390286188105014</v>
      </c>
      <c r="W268">
        <f t="shared" si="113"/>
        <v>33.59090573276508</v>
      </c>
      <c r="X268">
        <f t="shared" si="114"/>
        <v>5.7957661903121211</v>
      </c>
      <c r="Y268" s="6">
        <f t="shared" si="115"/>
        <v>11.359701733011757</v>
      </c>
      <c r="Z268" s="14">
        <f t="shared" si="116"/>
        <v>0.84745458943848773</v>
      </c>
    </row>
    <row r="269" spans="1:32" x14ac:dyDescent="0.3">
      <c r="A269" t="s">
        <v>151</v>
      </c>
      <c r="B269">
        <v>2022</v>
      </c>
      <c r="C269" t="s">
        <v>83</v>
      </c>
      <c r="D269">
        <f>'rockfish harvests'!D276</f>
        <v>6780</v>
      </c>
      <c r="E269">
        <f>'YE harvest'!E277</f>
        <v>191</v>
      </c>
      <c r="F269" s="108">
        <f t="shared" ref="F269:G269" si="118">F319</f>
        <v>0</v>
      </c>
      <c r="G269" s="108">
        <f t="shared" si="118"/>
        <v>0</v>
      </c>
      <c r="H269" s="13">
        <f t="shared" si="105"/>
        <v>0</v>
      </c>
      <c r="I269">
        <f t="shared" si="106"/>
        <v>0</v>
      </c>
      <c r="K269" s="6"/>
      <c r="M269" s="2">
        <f>'rockfish harvests'!O276</f>
        <v>2639.4706368899915</v>
      </c>
      <c r="N269">
        <f>'rockfish harvests'!P276</f>
        <v>966290.79621620791</v>
      </c>
      <c r="O269" t="s">
        <v>225</v>
      </c>
      <c r="P269" t="s">
        <v>181</v>
      </c>
      <c r="Q269" s="13">
        <f t="shared" ref="Q269" si="119">M269*O269</f>
        <v>46.923922433599905</v>
      </c>
      <c r="R269" s="14">
        <f t="shared" si="71"/>
        <v>613.91580648083016</v>
      </c>
      <c r="S269">
        <f t="shared" ref="S269" si="120">SQRT(R269)</f>
        <v>24.777324441529803</v>
      </c>
      <c r="T269" s="6"/>
      <c r="V269" s="13">
        <f t="shared" ref="V269" si="121">Q269+H269</f>
        <v>46.923922433599905</v>
      </c>
      <c r="W269">
        <f t="shared" ref="W269" si="122">R269+I269</f>
        <v>613.91580648083016</v>
      </c>
      <c r="X269">
        <f t="shared" ref="X269" si="123">SQRT(W269)</f>
        <v>24.777324441529803</v>
      </c>
      <c r="Y269" s="6">
        <f t="shared" ref="Y269" si="124">(1.96*X269)</f>
        <v>48.56355590539841</v>
      </c>
      <c r="Z269" s="14">
        <f t="shared" ref="Z269" si="125">X269/V269</f>
        <v>0.52803182591121123</v>
      </c>
      <c r="AF269" t="s">
        <v>222</v>
      </c>
    </row>
    <row r="270" spans="1:32" x14ac:dyDescent="0.3">
      <c r="A270" t="str">
        <f>'rockfish harvests'!A277</f>
        <v>SE</v>
      </c>
      <c r="B270">
        <f>'rockfish harvests'!B277</f>
        <v>1998</v>
      </c>
      <c r="C270" t="str">
        <f>'rockfish harvests'!C277</f>
        <v>NSEI</v>
      </c>
      <c r="D270">
        <f>'rockfish harvests'!D277</f>
        <v>5285</v>
      </c>
      <c r="E270">
        <f>'YE harvest'!E278</f>
        <v>2741</v>
      </c>
      <c r="F270" s="32">
        <v>0.82692465400000004</v>
      </c>
      <c r="G270" s="32">
        <v>1.161425E-2</v>
      </c>
      <c r="H270" s="13">
        <f t="shared" ref="H270:H277" si="126">E270*F270</f>
        <v>2266.6004766139999</v>
      </c>
      <c r="I270">
        <f t="shared" si="72"/>
        <v>87258.801004249995</v>
      </c>
      <c r="J270">
        <f t="shared" si="75"/>
        <v>295.39600708921233</v>
      </c>
      <c r="K270" s="6">
        <f t="shared" si="76"/>
        <v>578.97617389485617</v>
      </c>
      <c r="M270" s="2">
        <f>'rockfish harvests'!O277</f>
        <v>3144.4015142904627</v>
      </c>
      <c r="N270">
        <f>'rockfish harvests'!P277</f>
        <v>781648.06612226402</v>
      </c>
      <c r="O270" s="32">
        <v>0.37719102199999999</v>
      </c>
      <c r="P270" s="32">
        <v>1.2598580999999999E-2</v>
      </c>
      <c r="Q270" s="13">
        <f t="shared" si="64"/>
        <v>1186.0400207535672</v>
      </c>
      <c r="R270" s="14">
        <f t="shared" si="71"/>
        <v>245620.58132038714</v>
      </c>
      <c r="S270">
        <f t="shared" si="77"/>
        <v>495.60123216189356</v>
      </c>
      <c r="T270" s="6">
        <f t="shared" si="78"/>
        <v>971.37841503731136</v>
      </c>
      <c r="V270" s="13">
        <f t="shared" si="73"/>
        <v>3452.6404973675671</v>
      </c>
      <c r="W270">
        <f t="shared" si="74"/>
        <v>332879.38232463715</v>
      </c>
      <c r="X270">
        <f t="shared" si="79"/>
        <v>576.95700214542603</v>
      </c>
      <c r="Y270" s="6">
        <f t="shared" si="80"/>
        <v>1130.8357242050349</v>
      </c>
      <c r="Z270" s="14">
        <f t="shared" si="69"/>
        <v>0.16710601714407319</v>
      </c>
    </row>
    <row r="271" spans="1:32" x14ac:dyDescent="0.3">
      <c r="A271" t="str">
        <f>'rockfish harvests'!A278</f>
        <v>SE</v>
      </c>
      <c r="B271">
        <f>'rockfish harvests'!B278</f>
        <v>1999</v>
      </c>
      <c r="C271" t="str">
        <f>'rockfish harvests'!C278</f>
        <v>NSEI</v>
      </c>
      <c r="D271">
        <f>'rockfish harvests'!D278</f>
        <v>6363</v>
      </c>
      <c r="E271">
        <f>'YE harvest'!E279</f>
        <v>2506</v>
      </c>
      <c r="F271" s="32">
        <v>0.82692465400000004</v>
      </c>
      <c r="G271" s="32">
        <v>1.161425E-2</v>
      </c>
      <c r="H271" s="13">
        <f t="shared" si="126"/>
        <v>2072.2731829240001</v>
      </c>
      <c r="I271">
        <f t="shared" si="72"/>
        <v>72937.908112999998</v>
      </c>
      <c r="J271">
        <f t="shared" si="75"/>
        <v>270.07019108557688</v>
      </c>
      <c r="K271" s="6">
        <f t="shared" si="76"/>
        <v>529.33757452773068</v>
      </c>
      <c r="M271" s="2">
        <f>'rockfish harvests'!O278</f>
        <v>3785.7761278013659</v>
      </c>
      <c r="N271">
        <f>'rockfish harvests'!P278</f>
        <v>1133039.6837394333</v>
      </c>
      <c r="O271" s="32">
        <v>0.37719102199999999</v>
      </c>
      <c r="P271" s="32">
        <v>1.2598580999999999E-2</v>
      </c>
      <c r="Q271" s="13">
        <f t="shared" si="64"/>
        <v>1427.9607667085997</v>
      </c>
      <c r="R271" s="14">
        <f t="shared" si="71"/>
        <v>356039.85711853136</v>
      </c>
      <c r="S271">
        <f t="shared" si="77"/>
        <v>596.69075501345867</v>
      </c>
      <c r="T271" s="6">
        <f t="shared" si="78"/>
        <v>1169.513879826379</v>
      </c>
      <c r="V271" s="13">
        <f t="shared" si="73"/>
        <v>3500.2339496325999</v>
      </c>
      <c r="W271">
        <f t="shared" si="74"/>
        <v>428977.76523153135</v>
      </c>
      <c r="X271">
        <f t="shared" si="79"/>
        <v>654.96394193232607</v>
      </c>
      <c r="Y271" s="6">
        <f t="shared" si="80"/>
        <v>1283.729326187359</v>
      </c>
      <c r="Z271" s="14">
        <f t="shared" si="69"/>
        <v>0.18712004721886491</v>
      </c>
    </row>
    <row r="272" spans="1:32" x14ac:dyDescent="0.3">
      <c r="A272" t="str">
        <f>'rockfish harvests'!A279</f>
        <v>SE</v>
      </c>
      <c r="B272">
        <f>'rockfish harvests'!B279</f>
        <v>2000</v>
      </c>
      <c r="C272" t="str">
        <f>'rockfish harvests'!C279</f>
        <v>NSEI</v>
      </c>
      <c r="D272">
        <f>'rockfish harvests'!D279</f>
        <v>9746</v>
      </c>
      <c r="E272">
        <f>'YE harvest'!E280</f>
        <v>4164</v>
      </c>
      <c r="F272" s="32">
        <v>0.82692465400000004</v>
      </c>
      <c r="G272" s="32">
        <v>1.161425E-2</v>
      </c>
      <c r="H272" s="13">
        <f t="shared" si="126"/>
        <v>3443.3142592560002</v>
      </c>
      <c r="I272">
        <f t="shared" si="72"/>
        <v>201378.272868</v>
      </c>
      <c r="J272">
        <f t="shared" si="75"/>
        <v>448.75190569846052</v>
      </c>
      <c r="K272" s="6">
        <f t="shared" si="76"/>
        <v>879.5537351689826</v>
      </c>
      <c r="M272" s="2">
        <f>'rockfish harvests'!O279</f>
        <v>5798.550077251628</v>
      </c>
      <c r="N272">
        <f>'rockfish harvests'!P279</f>
        <v>2658116.9727772144</v>
      </c>
      <c r="O272" s="32">
        <v>0.37719102199999999</v>
      </c>
      <c r="P272" s="32">
        <v>1.2598580999999999E-2</v>
      </c>
      <c r="Q272" s="13">
        <f t="shared" ref="Q272:Q347" si="127">M272*O272</f>
        <v>2187.1610297567204</v>
      </c>
      <c r="R272" s="14">
        <f t="shared" si="71"/>
        <v>835271.35083962895</v>
      </c>
      <c r="S272">
        <f t="shared" si="77"/>
        <v>913.9318086376187</v>
      </c>
      <c r="T272" s="6">
        <f t="shared" si="78"/>
        <v>1791.3063449297326</v>
      </c>
      <c r="V272" s="13">
        <f t="shared" si="73"/>
        <v>5630.4752890127202</v>
      </c>
      <c r="W272">
        <f t="shared" si="74"/>
        <v>1036649.6237076289</v>
      </c>
      <c r="X272">
        <f t="shared" si="79"/>
        <v>1018.1599204975753</v>
      </c>
      <c r="Y272" s="6">
        <f t="shared" si="80"/>
        <v>1995.5934441752474</v>
      </c>
      <c r="Z272" s="14">
        <f t="shared" si="69"/>
        <v>0.18083019074507034</v>
      </c>
    </row>
    <row r="273" spans="1:26" x14ac:dyDescent="0.3">
      <c r="A273" t="str">
        <f>'rockfish harvests'!A280</f>
        <v>SE</v>
      </c>
      <c r="B273">
        <f>'rockfish harvests'!B280</f>
        <v>2001</v>
      </c>
      <c r="C273" t="str">
        <f>'rockfish harvests'!C280</f>
        <v>NSEI</v>
      </c>
      <c r="D273">
        <f>'rockfish harvests'!D280</f>
        <v>7242</v>
      </c>
      <c r="E273">
        <f>'YE harvest'!E281</f>
        <v>3333</v>
      </c>
      <c r="F273" s="32">
        <v>0.82692465400000004</v>
      </c>
      <c r="G273" s="32">
        <v>1.161425E-2</v>
      </c>
      <c r="H273" s="13">
        <f t="shared" si="126"/>
        <v>2756.1398717820002</v>
      </c>
      <c r="I273">
        <f t="shared" si="72"/>
        <v>129021.41406825</v>
      </c>
      <c r="J273">
        <f t="shared" si="75"/>
        <v>359.19550953241327</v>
      </c>
      <c r="K273" s="6">
        <f t="shared" si="76"/>
        <v>704.02319868353004</v>
      </c>
      <c r="M273" s="2">
        <f>'rockfish harvests'!O280</f>
        <v>4308.7522736975479</v>
      </c>
      <c r="N273">
        <f>'rockfish harvests'!P280</f>
        <v>1467703.4510787677</v>
      </c>
      <c r="O273" s="32">
        <v>0.37719102199999999</v>
      </c>
      <c r="P273" s="32">
        <v>1.2598580999999999E-2</v>
      </c>
      <c r="Q273" s="13">
        <f t="shared" si="127"/>
        <v>1625.2226736608018</v>
      </c>
      <c r="R273" s="14">
        <f t="shared" si="71"/>
        <v>461202.66969804914</v>
      </c>
      <c r="S273">
        <f t="shared" si="77"/>
        <v>679.11903941654373</v>
      </c>
      <c r="T273" s="6">
        <f t="shared" si="78"/>
        <v>1331.0733172564258</v>
      </c>
      <c r="V273" s="13">
        <f t="shared" si="73"/>
        <v>4381.362545442802</v>
      </c>
      <c r="W273">
        <f t="shared" si="74"/>
        <v>590224.08376629918</v>
      </c>
      <c r="X273">
        <f t="shared" si="79"/>
        <v>768.26042704690917</v>
      </c>
      <c r="Y273" s="6">
        <f t="shared" si="80"/>
        <v>1505.790437011942</v>
      </c>
      <c r="Z273" s="14">
        <f t="shared" si="69"/>
        <v>0.17534737631926897</v>
      </c>
    </row>
    <row r="274" spans="1:26" x14ac:dyDescent="0.3">
      <c r="A274" t="str">
        <f>'rockfish harvests'!A281</f>
        <v>SE</v>
      </c>
      <c r="B274">
        <f>'rockfish harvests'!B281</f>
        <v>2002</v>
      </c>
      <c r="C274" t="str">
        <f>'rockfish harvests'!C281</f>
        <v>NSEI</v>
      </c>
      <c r="D274">
        <f>'rockfish harvests'!D281</f>
        <v>4958</v>
      </c>
      <c r="E274">
        <f>'YE harvest'!E282</f>
        <v>1838</v>
      </c>
      <c r="F274" s="32">
        <v>0.82692465400000004</v>
      </c>
      <c r="G274" s="32">
        <v>1.161425E-2</v>
      </c>
      <c r="H274" s="13">
        <f t="shared" si="126"/>
        <v>1519.8875140520001</v>
      </c>
      <c r="I274">
        <f t="shared" si="72"/>
        <v>39235.770377000001</v>
      </c>
      <c r="J274">
        <f t="shared" si="75"/>
        <v>198.08021197737042</v>
      </c>
      <c r="K274" s="6">
        <f t="shared" si="76"/>
        <v>388.23721547564605</v>
      </c>
      <c r="M274" s="2">
        <f>'rockfish harvests'!O281</f>
        <v>2949.8472484109971</v>
      </c>
      <c r="N274">
        <f>'rockfish harvests'!P281</f>
        <v>687914.27130295534</v>
      </c>
      <c r="O274" s="32">
        <v>0.37719102199999999</v>
      </c>
      <c r="P274" s="32">
        <v>1.2598580999999999E-2</v>
      </c>
      <c r="Q274" s="13">
        <f t="shared" si="127"/>
        <v>1112.6558983720317</v>
      </c>
      <c r="R274" s="14">
        <f t="shared" si="71"/>
        <v>216166.21410484382</v>
      </c>
      <c r="S274">
        <f t="shared" si="77"/>
        <v>464.93678506313501</v>
      </c>
      <c r="T274" s="6">
        <f t="shared" si="78"/>
        <v>911.27609872374455</v>
      </c>
      <c r="V274" s="13">
        <f t="shared" si="73"/>
        <v>2632.5434124240319</v>
      </c>
      <c r="W274">
        <f t="shared" si="74"/>
        <v>255401.98448184383</v>
      </c>
      <c r="X274">
        <f t="shared" si="79"/>
        <v>505.37311412642822</v>
      </c>
      <c r="Y274" s="6">
        <f t="shared" si="80"/>
        <v>990.53130368779932</v>
      </c>
      <c r="Z274" s="14">
        <f t="shared" si="69"/>
        <v>0.19197142646969054</v>
      </c>
    </row>
    <row r="275" spans="1:26" x14ac:dyDescent="0.3">
      <c r="A275" t="str">
        <f>'rockfish harvests'!A282</f>
        <v>SE</v>
      </c>
      <c r="B275">
        <f>'rockfish harvests'!B282</f>
        <v>2003</v>
      </c>
      <c r="C275" t="str">
        <f>'rockfish harvests'!C282</f>
        <v>NSEI</v>
      </c>
      <c r="D275">
        <f>'rockfish harvests'!D282</f>
        <v>6069</v>
      </c>
      <c r="E275">
        <f>'YE harvest'!E283</f>
        <v>2518</v>
      </c>
      <c r="F275" s="32">
        <v>0.82692465400000004</v>
      </c>
      <c r="G275" s="32">
        <v>1.161425E-2</v>
      </c>
      <c r="H275" s="13">
        <f t="shared" si="126"/>
        <v>2082.1962787719999</v>
      </c>
      <c r="I275">
        <f t="shared" si="72"/>
        <v>73638.108016999991</v>
      </c>
      <c r="J275">
        <f t="shared" si="75"/>
        <v>271.36342424320929</v>
      </c>
      <c r="K275" s="6">
        <f t="shared" si="76"/>
        <v>531.87231151669016</v>
      </c>
      <c r="M275" s="2">
        <f>'rockfish harvests'!O282</f>
        <v>3610.8557786620295</v>
      </c>
      <c r="N275">
        <f>'rockfish harvests'!P282</f>
        <v>1030755.2356043656</v>
      </c>
      <c r="O275" s="32">
        <v>0.37719102199999999</v>
      </c>
      <c r="P275" s="32">
        <v>1.2598580999999999E-2</v>
      </c>
      <c r="Q275" s="13">
        <f t="shared" si="127"/>
        <v>1361.9823814481367</v>
      </c>
      <c r="R275" s="14">
        <f t="shared" si="71"/>
        <v>323898.58190805762</v>
      </c>
      <c r="S275">
        <f t="shared" si="77"/>
        <v>569.12088514485004</v>
      </c>
      <c r="T275" s="6">
        <f t="shared" si="78"/>
        <v>1115.4769348839061</v>
      </c>
      <c r="V275" s="13">
        <f t="shared" si="73"/>
        <v>3444.1786602201364</v>
      </c>
      <c r="W275">
        <f t="shared" si="74"/>
        <v>397536.68992505758</v>
      </c>
      <c r="X275">
        <f t="shared" si="79"/>
        <v>630.50510697777668</v>
      </c>
      <c r="Y275" s="6">
        <f t="shared" si="80"/>
        <v>1235.7900096764422</v>
      </c>
      <c r="Z275" s="14">
        <f t="shared" si="69"/>
        <v>0.18306399556446867</v>
      </c>
    </row>
    <row r="276" spans="1:26" x14ac:dyDescent="0.3">
      <c r="A276" t="str">
        <f>'rockfish harvests'!A283</f>
        <v>SE</v>
      </c>
      <c r="B276">
        <f>'rockfish harvests'!B283</f>
        <v>2004</v>
      </c>
      <c r="C276" t="str">
        <f>'rockfish harvests'!C283</f>
        <v>NSEI</v>
      </c>
      <c r="D276">
        <f>'rockfish harvests'!D283</f>
        <v>6052</v>
      </c>
      <c r="E276">
        <f>'YE harvest'!E284</f>
        <v>2724</v>
      </c>
      <c r="F276" s="32">
        <v>0.82692465400000004</v>
      </c>
      <c r="G276" s="32">
        <v>1.161425E-2</v>
      </c>
      <c r="H276" s="13">
        <f t="shared" si="126"/>
        <v>2252.5427574959999</v>
      </c>
      <c r="I276">
        <f t="shared" si="72"/>
        <v>86179.779108000002</v>
      </c>
      <c r="J276">
        <f t="shared" si="75"/>
        <v>293.5639267825664</v>
      </c>
      <c r="K276" s="6">
        <f t="shared" si="76"/>
        <v>575.38529649383008</v>
      </c>
      <c r="M276" s="2">
        <f>'rockfish harvests'!O283</f>
        <v>3600.7413367049921</v>
      </c>
      <c r="N276">
        <f>'rockfish harvests'!P283</f>
        <v>1024988.7840591522</v>
      </c>
      <c r="O276" s="32">
        <v>0.37719102199999999</v>
      </c>
      <c r="P276" s="32">
        <v>1.2598580999999999E-2</v>
      </c>
      <c r="Q276" s="13">
        <f t="shared" si="127"/>
        <v>1358.1673047494021</v>
      </c>
      <c r="R276" s="14">
        <f t="shared" si="71"/>
        <v>322086.56542381336</v>
      </c>
      <c r="S276">
        <f t="shared" si="77"/>
        <v>567.5267089959849</v>
      </c>
      <c r="T276" s="6">
        <f t="shared" si="78"/>
        <v>1112.3523496321304</v>
      </c>
      <c r="V276" s="13">
        <f t="shared" si="73"/>
        <v>3610.7100622454018</v>
      </c>
      <c r="W276">
        <f t="shared" si="74"/>
        <v>408266.34453181335</v>
      </c>
      <c r="X276">
        <f t="shared" si="79"/>
        <v>638.95723216175691</v>
      </c>
      <c r="Y276" s="6">
        <f t="shared" si="80"/>
        <v>1252.3561750370436</v>
      </c>
      <c r="Z276" s="14">
        <f t="shared" si="69"/>
        <v>0.17696165605842273</v>
      </c>
    </row>
    <row r="277" spans="1:26" x14ac:dyDescent="0.3">
      <c r="A277" t="str">
        <f>'rockfish harvests'!A284</f>
        <v>SE</v>
      </c>
      <c r="B277">
        <f>'rockfish harvests'!B284</f>
        <v>2005</v>
      </c>
      <c r="C277" t="str">
        <f>'rockfish harvests'!C284</f>
        <v>NSEI</v>
      </c>
      <c r="D277">
        <f>'rockfish harvests'!D284</f>
        <v>7678</v>
      </c>
      <c r="E277">
        <f>'YE harvest'!E285</f>
        <v>3213</v>
      </c>
      <c r="F277" s="32">
        <v>0.82692465400000004</v>
      </c>
      <c r="G277" s="32">
        <v>1.161425E-2</v>
      </c>
      <c r="H277" s="13">
        <f t="shared" si="126"/>
        <v>2656.9089133020002</v>
      </c>
      <c r="I277">
        <f t="shared" si="72"/>
        <v>119898.18840824999</v>
      </c>
      <c r="J277">
        <f t="shared" si="75"/>
        <v>346.26317795608878</v>
      </c>
      <c r="K277" s="6">
        <f t="shared" si="76"/>
        <v>678.67582879393399</v>
      </c>
      <c r="M277" s="2">
        <f>'rockfish harvests'!O284</f>
        <v>4568.1579615368355</v>
      </c>
      <c r="N277">
        <f>'rockfish harvests'!P284</f>
        <v>1649747.5421593867</v>
      </c>
      <c r="O277" s="32">
        <v>0.37719102199999999</v>
      </c>
      <c r="P277" s="32">
        <v>1.2598580999999999E-2</v>
      </c>
      <c r="Q277" s="13">
        <f t="shared" si="127"/>
        <v>1723.0681701695157</v>
      </c>
      <c r="R277" s="14">
        <f t="shared" si="71"/>
        <v>518407.15521412925</v>
      </c>
      <c r="S277">
        <f t="shared" si="77"/>
        <v>720.00496888155521</v>
      </c>
      <c r="T277" s="6">
        <f t="shared" si="78"/>
        <v>1411.2097390078482</v>
      </c>
      <c r="V277" s="13">
        <f t="shared" si="73"/>
        <v>4379.9770834715164</v>
      </c>
      <c r="W277">
        <f t="shared" si="74"/>
        <v>638305.34362237924</v>
      </c>
      <c r="X277">
        <f t="shared" si="79"/>
        <v>798.94013769642288</v>
      </c>
      <c r="Y277" s="6">
        <f t="shared" si="80"/>
        <v>1565.9226698849889</v>
      </c>
      <c r="Z277" s="14">
        <f t="shared" si="69"/>
        <v>0.18240737850235342</v>
      </c>
    </row>
    <row r="278" spans="1:26" x14ac:dyDescent="0.3">
      <c r="A278" t="str">
        <f>'rockfish harvests'!A285</f>
        <v>SE</v>
      </c>
      <c r="B278">
        <f>'rockfish harvests'!B285</f>
        <v>2006</v>
      </c>
      <c r="C278" t="str">
        <f>'rockfish harvests'!C285</f>
        <v>NSEI</v>
      </c>
      <c r="D278">
        <f>'rockfish harvests'!D285</f>
        <v>6437</v>
      </c>
      <c r="E278">
        <f>'YE harvest'!E286</f>
        <v>2961</v>
      </c>
      <c r="F278">
        <f>IF([2]species_comp_Region1_forR!$H142&gt;49,[2]species_comp_Region1_forR!$AM142,[2]species_comp_Region1_forR!$AO142)</f>
        <v>0.92877492900000003</v>
      </c>
      <c r="G278">
        <f>IF([2]species_comp_Region1_forR!$H142&gt;49,[2]species_comp_Region1_forR!$AN142,[2]species_comp_Region1_forR!$AP142)</f>
        <v>1.89006E-4</v>
      </c>
      <c r="H278" s="13">
        <f t="shared" ref="H278:H290" si="128">E278*F278</f>
        <v>2750.1025647689999</v>
      </c>
      <c r="I278">
        <f t="shared" si="72"/>
        <v>1657.1140741260001</v>
      </c>
      <c r="J278">
        <f t="shared" si="75"/>
        <v>40.707666036337677</v>
      </c>
      <c r="K278" s="6">
        <f t="shared" si="76"/>
        <v>79.787025431221849</v>
      </c>
      <c r="M278" s="2">
        <f>'rockfish harvests'!O285</f>
        <v>3829.8036986731713</v>
      </c>
      <c r="N278">
        <f>'rockfish harvests'!P285</f>
        <v>1159546.8293526676</v>
      </c>
      <c r="O278">
        <f>IF([2]species_comp_Region1_forR!$D164&gt;49,[2]species_comp_Region1_forR!$AI164,[2]species_comp_Region1_forR!$AK164)</f>
        <v>0.34210526299999999</v>
      </c>
      <c r="P278">
        <f>IF([2]species_comp_Region1_forR!$D164&gt;49,[2]species_comp_Region1_forR!$AJ164,[2]species_comp_Region1_forR!$AL164)</f>
        <v>1.190843E-3</v>
      </c>
      <c r="Q278" s="13">
        <f t="shared" si="127"/>
        <v>1310.196001572958</v>
      </c>
      <c r="R278" s="14">
        <f t="shared" si="71"/>
        <v>154556.13996380169</v>
      </c>
      <c r="S278">
        <f t="shared" si="77"/>
        <v>393.13628675537149</v>
      </c>
      <c r="T278" s="6">
        <f t="shared" si="78"/>
        <v>770.54712204052805</v>
      </c>
      <c r="V278" s="13">
        <f t="shared" si="73"/>
        <v>4060.2985663419577</v>
      </c>
      <c r="W278">
        <f t="shared" si="74"/>
        <v>156213.25403792769</v>
      </c>
      <c r="X278">
        <f t="shared" si="79"/>
        <v>395.23822441399528</v>
      </c>
      <c r="Y278" s="6">
        <f t="shared" si="80"/>
        <v>774.66691985143075</v>
      </c>
      <c r="Z278" s="14">
        <f t="shared" si="69"/>
        <v>9.734215796107748E-2</v>
      </c>
    </row>
    <row r="279" spans="1:26" x14ac:dyDescent="0.3">
      <c r="A279" t="str">
        <f>'rockfish harvests'!A286</f>
        <v>SE</v>
      </c>
      <c r="B279">
        <f>'rockfish harvests'!B286</f>
        <v>2007</v>
      </c>
      <c r="C279" t="str">
        <f>'rockfish harvests'!C286</f>
        <v>NSEI</v>
      </c>
      <c r="D279">
        <f>'rockfish harvests'!D286</f>
        <v>7499</v>
      </c>
      <c r="E279">
        <f>'YE harvest'!E287</f>
        <v>3335</v>
      </c>
      <c r="F279">
        <f>IF([2]species_comp_Region1_forR!$H143&gt;49,[2]species_comp_Region1_forR!$AM143,[2]species_comp_Region1_forR!$AO143)</f>
        <v>0.96666666700000003</v>
      </c>
      <c r="G279">
        <f>IF([2]species_comp_Region1_forR!$H143&gt;49,[2]species_comp_Region1_forR!$AN143,[2]species_comp_Region1_forR!$AP143)</f>
        <v>8.9755500000000005E-5</v>
      </c>
      <c r="H279" s="13">
        <f t="shared" si="128"/>
        <v>3223.8333344450002</v>
      </c>
      <c r="I279">
        <f t="shared" si="72"/>
        <v>998.28086598750008</v>
      </c>
      <c r="J279">
        <f t="shared" si="75"/>
        <v>31.595583013888191</v>
      </c>
      <c r="K279" s="6">
        <f t="shared" si="76"/>
        <v>61.927342707220852</v>
      </c>
      <c r="M279" s="2">
        <f>'rockfish harvests'!O286</f>
        <v>4461.6588374009807</v>
      </c>
      <c r="N279">
        <f>'rockfish harvests'!P286</f>
        <v>1573721.8750711286</v>
      </c>
      <c r="O279">
        <f>IF([2]species_comp_Region1_forR!$D165&gt;49,[2]species_comp_Region1_forR!$AI165,[2]species_comp_Region1_forR!$AK165)</f>
        <v>0.43062201</v>
      </c>
      <c r="P279">
        <f>IF([2]species_comp_Region1_forR!$D165&gt;49,[2]species_comp_Region1_forR!$AJ165,[2]species_comp_Region1_forR!$AL165)</f>
        <v>1.178782E-3</v>
      </c>
      <c r="Q279" s="13">
        <f t="shared" si="127"/>
        <v>1921.2884964958735</v>
      </c>
      <c r="R279" s="14">
        <f t="shared" si="71"/>
        <v>317143.99293811677</v>
      </c>
      <c r="S279">
        <f t="shared" si="77"/>
        <v>563.15538969108411</v>
      </c>
      <c r="T279" s="6">
        <f t="shared" si="78"/>
        <v>1103.7845637945247</v>
      </c>
      <c r="V279" s="13">
        <f t="shared" si="73"/>
        <v>5145.1218309408741</v>
      </c>
      <c r="W279">
        <f t="shared" si="74"/>
        <v>318142.27380410425</v>
      </c>
      <c r="X279">
        <f t="shared" si="79"/>
        <v>564.04102138417579</v>
      </c>
      <c r="Y279" s="6">
        <f t="shared" si="80"/>
        <v>1105.5204019129844</v>
      </c>
      <c r="Z279" s="14">
        <f t="shared" si="69"/>
        <v>0.10962636841604802</v>
      </c>
    </row>
    <row r="280" spans="1:26" x14ac:dyDescent="0.3">
      <c r="A280" t="str">
        <f>'rockfish harvests'!A287</f>
        <v>SE</v>
      </c>
      <c r="B280">
        <f>'rockfish harvests'!B287</f>
        <v>2008</v>
      </c>
      <c r="C280" t="str">
        <f>'rockfish harvests'!C287</f>
        <v>NSEI</v>
      </c>
      <c r="D280">
        <f>'rockfish harvests'!D287</f>
        <v>10923</v>
      </c>
      <c r="E280">
        <f>'YE harvest'!E288</f>
        <v>4095</v>
      </c>
      <c r="F280">
        <f>IF([2]species_comp_Region1_forR!$H144&gt;49,[2]species_comp_Region1_forR!$AM144,[2]species_comp_Region1_forR!$AO144)</f>
        <v>0.947265625</v>
      </c>
      <c r="G280">
        <f>IF([2]species_comp_Region1_forR!$H144&gt;49,[2]species_comp_Region1_forR!$AN144,[2]species_comp_Region1_forR!$AP144)</f>
        <v>9.7756299999999998E-5</v>
      </c>
      <c r="H280" s="13">
        <f t="shared" si="128"/>
        <v>3879.052734375</v>
      </c>
      <c r="I280">
        <f t="shared" si="72"/>
        <v>1639.2778386074999</v>
      </c>
      <c r="J280">
        <f t="shared" si="75"/>
        <v>40.487996228604594</v>
      </c>
      <c r="K280" s="6">
        <f t="shared" si="76"/>
        <v>79.356472608065005</v>
      </c>
      <c r="M280" s="2">
        <f>'rockfish harvests'!O287</f>
        <v>6498.8264409829208</v>
      </c>
      <c r="N280">
        <f>'rockfish harvests'!P287</f>
        <v>3338913.2975072474</v>
      </c>
      <c r="O280">
        <f>IF([2]species_comp_Region1_forR!$D166&gt;49,[2]species_comp_Region1_forR!$AI166,[2]species_comp_Region1_forR!$AK166)</f>
        <v>0.57558139500000005</v>
      </c>
      <c r="P280">
        <f>IF([2]species_comp_Region1_forR!$D166&gt;49,[2]species_comp_Region1_forR!$AJ166,[2]species_comp_Region1_forR!$AL166)</f>
        <v>1.4285820000000001E-3</v>
      </c>
      <c r="Q280" s="13">
        <f t="shared" si="127"/>
        <v>3740.603588763835</v>
      </c>
      <c r="R280" s="14">
        <f t="shared" si="71"/>
        <v>1171267.4573045291</v>
      </c>
      <c r="S280">
        <f t="shared" si="77"/>
        <v>1082.2511064002333</v>
      </c>
      <c r="T280" s="6">
        <f t="shared" si="78"/>
        <v>2121.2121685444572</v>
      </c>
      <c r="V280" s="13">
        <f t="shared" si="73"/>
        <v>7619.6563231388354</v>
      </c>
      <c r="W280">
        <f t="shared" si="74"/>
        <v>1172906.7351431367</v>
      </c>
      <c r="X280">
        <f t="shared" si="79"/>
        <v>1083.0081879391018</v>
      </c>
      <c r="Y280" s="6">
        <f t="shared" si="80"/>
        <v>2122.6960483606395</v>
      </c>
      <c r="Z280" s="14">
        <f t="shared" si="69"/>
        <v>0.14213346928132425</v>
      </c>
    </row>
    <row r="281" spans="1:26" x14ac:dyDescent="0.3">
      <c r="A281" t="str">
        <f>'rockfish harvests'!A288</f>
        <v>SE</v>
      </c>
      <c r="B281">
        <f>'rockfish harvests'!B288</f>
        <v>2009</v>
      </c>
      <c r="C281" t="str">
        <f>'rockfish harvests'!C288</f>
        <v>NSEI</v>
      </c>
      <c r="D281">
        <f>'rockfish harvests'!D288</f>
        <v>9325</v>
      </c>
      <c r="E281">
        <f>'YE harvest'!E289</f>
        <v>3331</v>
      </c>
      <c r="F281">
        <f>IF([2]species_comp_Region1_forR!$H145&gt;49,[2]species_comp_Region1_forR!$AM145,[2]species_comp_Region1_forR!$AO145)</f>
        <v>0.87542087499999999</v>
      </c>
      <c r="G281">
        <f>IF([2]species_comp_Region1_forR!$H145&gt;49,[2]species_comp_Region1_forR!$AN145,[2]species_comp_Region1_forR!$AP145)</f>
        <v>3.6844299999999998E-4</v>
      </c>
      <c r="H281" s="13">
        <f t="shared" si="128"/>
        <v>2916.0269346249997</v>
      </c>
      <c r="I281">
        <f t="shared" si="72"/>
        <v>4088.0817815229998</v>
      </c>
      <c r="J281">
        <f t="shared" si="75"/>
        <v>63.93810899239201</v>
      </c>
      <c r="K281" s="6">
        <f t="shared" si="76"/>
        <v>125.31869362508834</v>
      </c>
      <c r="M281" s="2">
        <f>'rockfish harvests'!O288</f>
        <v>5548.0688970214906</v>
      </c>
      <c r="N281">
        <f>'rockfish harvests'!P288</f>
        <v>2433430.5466266801</v>
      </c>
      <c r="O281">
        <f>IF([2]species_comp_Region1_forR!$D167&gt;49,[2]species_comp_Region1_forR!$AI167,[2]species_comp_Region1_forR!$AK167)</f>
        <v>0.56108597299999996</v>
      </c>
      <c r="P281">
        <f>IF([2]species_comp_Region1_forR!$D167&gt;49,[2]species_comp_Region1_forR!$AJ167,[2]species_comp_Region1_forR!$AL167)</f>
        <v>1.119402E-3</v>
      </c>
      <c r="Q281" s="13">
        <f t="shared" si="127"/>
        <v>3112.9436353563397</v>
      </c>
      <c r="R281" s="14">
        <f t="shared" si="71"/>
        <v>803266.82255943783</v>
      </c>
      <c r="S281">
        <f t="shared" si="77"/>
        <v>896.25153978079049</v>
      </c>
      <c r="T281" s="6">
        <f t="shared" si="78"/>
        <v>1756.6530179703493</v>
      </c>
      <c r="V281" s="13">
        <f t="shared" si="73"/>
        <v>6028.9705699813394</v>
      </c>
      <c r="W281">
        <f t="shared" si="74"/>
        <v>807354.90434096078</v>
      </c>
      <c r="X281">
        <f t="shared" si="79"/>
        <v>898.52930076929647</v>
      </c>
      <c r="Y281" s="6">
        <f t="shared" si="80"/>
        <v>1761.117429507821</v>
      </c>
      <c r="Z281" s="14">
        <f t="shared" si="69"/>
        <v>0.14903527730640051</v>
      </c>
    </row>
    <row r="282" spans="1:26" x14ac:dyDescent="0.3">
      <c r="A282" t="str">
        <f>'rockfish harvests'!A289</f>
        <v>SE</v>
      </c>
      <c r="B282">
        <f>'rockfish harvests'!B289</f>
        <v>2010</v>
      </c>
      <c r="C282" t="str">
        <f>'rockfish harvests'!C289</f>
        <v>NSEI</v>
      </c>
      <c r="D282">
        <f>'rockfish harvests'!D289</f>
        <v>11942</v>
      </c>
      <c r="E282">
        <f>'YE harvest'!E290</f>
        <v>4469</v>
      </c>
      <c r="F282">
        <f>IF([2]species_comp_Region1_forR!$H146&gt;49,[2]species_comp_Region1_forR!$AM146,[2]species_comp_Region1_forR!$AO146)</f>
        <v>0.91214470299999995</v>
      </c>
      <c r="G282">
        <f>IF([2]species_comp_Region1_forR!$H146&gt;49,[2]species_comp_Region1_forR!$AN146,[2]species_comp_Region1_forR!$AP146)</f>
        <v>2.07608E-4</v>
      </c>
      <c r="H282" s="13">
        <f t="shared" si="128"/>
        <v>4076.3746777069996</v>
      </c>
      <c r="I282">
        <f t="shared" si="72"/>
        <v>4146.3388792879996</v>
      </c>
      <c r="J282">
        <f t="shared" si="75"/>
        <v>64.392071556116278</v>
      </c>
      <c r="K282" s="6">
        <f t="shared" si="76"/>
        <v>126.20846024998791</v>
      </c>
      <c r="M282" s="2">
        <f>'rockfish harvests'!O289</f>
        <v>7105.0979912311668</v>
      </c>
      <c r="N282">
        <f>'rockfish harvests'!P289</f>
        <v>3990941.9253061144</v>
      </c>
      <c r="O282">
        <f>IF([2]species_comp_Region1_forR!$D168&gt;49,[2]species_comp_Region1_forR!$AI168,[2]species_comp_Region1_forR!$AK168)</f>
        <v>0.540342298</v>
      </c>
      <c r="P282">
        <f>IF([2]species_comp_Region1_forR!$D168&gt;49,[2]species_comp_Region1_forR!$AJ168,[2]species_comp_Region1_forR!$AL168)</f>
        <v>6.0875600000000001E-4</v>
      </c>
      <c r="Q282" s="13">
        <f t="shared" si="127"/>
        <v>3839.1849760970326</v>
      </c>
      <c r="R282" s="14">
        <f t="shared" si="71"/>
        <v>1198395.4961529141</v>
      </c>
      <c r="S282">
        <f t="shared" si="77"/>
        <v>1094.712517583002</v>
      </c>
      <c r="T282" s="6">
        <f t="shared" si="78"/>
        <v>2145.6365344626838</v>
      </c>
      <c r="V282" s="13">
        <f t="shared" si="73"/>
        <v>7915.5596538040318</v>
      </c>
      <c r="W282">
        <f t="shared" si="74"/>
        <v>1202541.8350322021</v>
      </c>
      <c r="X282">
        <f t="shared" si="79"/>
        <v>1096.6046849399295</v>
      </c>
      <c r="Y282" s="6">
        <f t="shared" si="80"/>
        <v>2149.3451824822619</v>
      </c>
      <c r="Z282" s="14">
        <f t="shared" si="69"/>
        <v>0.13853785871134544</v>
      </c>
    </row>
    <row r="283" spans="1:26" x14ac:dyDescent="0.3">
      <c r="A283" t="str">
        <f>'rockfish harvests'!A290</f>
        <v>SE</v>
      </c>
      <c r="B283">
        <f>'rockfish harvests'!B290</f>
        <v>2011</v>
      </c>
      <c r="C283" t="str">
        <f>'rockfish harvests'!C290</f>
        <v>NSEI</v>
      </c>
      <c r="D283">
        <f>'rockfish harvests'!D290</f>
        <v>13281</v>
      </c>
      <c r="E283">
        <f>'YE harvest'!E291</f>
        <v>4956</v>
      </c>
      <c r="F283">
        <f>IF([2]species_comp_Region1_forR!$H147&gt;49,[2]species_comp_Region1_forR!$AM147,[2]species_comp_Region1_forR!$AO147)</f>
        <v>0.86666666699999995</v>
      </c>
      <c r="G283">
        <f>IF([2]species_comp_Region1_forR!$H147&gt;49,[2]species_comp_Region1_forR!$AN147,[2]species_comp_Region1_forR!$AP147)</f>
        <v>4.5494300000000002E-4</v>
      </c>
      <c r="H283" s="13">
        <f t="shared" si="128"/>
        <v>4295.2000016519996</v>
      </c>
      <c r="I283">
        <f t="shared" si="72"/>
        <v>11174.280849648001</v>
      </c>
      <c r="J283">
        <f t="shared" si="75"/>
        <v>105.70847104015837</v>
      </c>
      <c r="K283" s="6">
        <f t="shared" si="76"/>
        <v>207.18860323871041</v>
      </c>
      <c r="M283" s="2">
        <f>'rockfish harvests'!O290</f>
        <v>7853.144125958821</v>
      </c>
      <c r="N283">
        <f>'rockfish harvests'!P290</f>
        <v>2883554.5471730651</v>
      </c>
      <c r="O283">
        <f>IF([2]species_comp_Region1_forR!$D169&gt;49,[2]species_comp_Region1_forR!$AI169,[2]species_comp_Region1_forR!$AK169)</f>
        <v>0.42528735600000001</v>
      </c>
      <c r="P283">
        <f>IF([2]species_comp_Region1_forR!$D169&gt;49,[2]species_comp_Region1_forR!$AJ169,[2]species_comp_Region1_forR!$AL169)</f>
        <v>7.0437500000000003E-4</v>
      </c>
      <c r="Q283" s="13">
        <f t="shared" si="127"/>
        <v>3339.842901615958</v>
      </c>
      <c r="R283" s="14">
        <f t="shared" si="71"/>
        <v>567017.82292485388</v>
      </c>
      <c r="S283">
        <f t="shared" si="77"/>
        <v>753.00585849304912</v>
      </c>
      <c r="T283" s="6">
        <f t="shared" si="78"/>
        <v>1475.8914826463763</v>
      </c>
      <c r="V283" s="13">
        <f t="shared" si="73"/>
        <v>7635.0429032679576</v>
      </c>
      <c r="W283">
        <f t="shared" si="74"/>
        <v>578192.10377450194</v>
      </c>
      <c r="X283">
        <f t="shared" si="79"/>
        <v>760.38944217716619</v>
      </c>
      <c r="Y283" s="6">
        <f t="shared" si="80"/>
        <v>1490.3633066672458</v>
      </c>
      <c r="Z283" s="14">
        <f t="shared" si="69"/>
        <v>9.9592032659266874E-2</v>
      </c>
    </row>
    <row r="284" spans="1:26" x14ac:dyDescent="0.3">
      <c r="A284" t="str">
        <f>'rockfish harvests'!A291</f>
        <v>SE</v>
      </c>
      <c r="B284">
        <f>'rockfish harvests'!B291</f>
        <v>2012</v>
      </c>
      <c r="C284" t="str">
        <f>'rockfish harvests'!C291</f>
        <v>NSEI</v>
      </c>
      <c r="D284">
        <f>'rockfish harvests'!D291</f>
        <v>15243</v>
      </c>
      <c r="E284">
        <f>'YE harvest'!E292</f>
        <v>6060</v>
      </c>
      <c r="F284">
        <f>IF([2]species_comp_Region1_forR!$H148&gt;49,[2]species_comp_Region1_forR!$AM148,[2]species_comp_Region1_forR!$AO148)</f>
        <v>0.87692307700000005</v>
      </c>
      <c r="G284">
        <f>IF([2]species_comp_Region1_forR!$H148&gt;49,[2]species_comp_Region1_forR!$AN148,[2]species_comp_Region1_forR!$AP148)</f>
        <v>3.3311400000000002E-4</v>
      </c>
      <c r="H284" s="13">
        <f t="shared" si="128"/>
        <v>5314.15384662</v>
      </c>
      <c r="I284">
        <f t="shared" si="72"/>
        <v>12233.145290400002</v>
      </c>
      <c r="J284">
        <f t="shared" si="75"/>
        <v>110.60355008045629</v>
      </c>
      <c r="K284" s="6">
        <f t="shared" si="76"/>
        <v>216.78295815769431</v>
      </c>
      <c r="M284" s="2">
        <f>'rockfish harvests'!O291</f>
        <v>15088.837840909095</v>
      </c>
      <c r="N284">
        <f>'rockfish harvests'!P291</f>
        <v>11116596.990618348</v>
      </c>
      <c r="O284">
        <f>IF([2]species_comp_Region1_forR!$D170&gt;49,[2]species_comp_Region1_forR!$AI170,[2]species_comp_Region1_forR!$AK170)</f>
        <v>0.34435797699999998</v>
      </c>
      <c r="P284">
        <f>IF([2]species_comp_Region1_forR!$D170&gt;49,[2]species_comp_Region1_forR!$AJ170,[2]species_comp_Region1_forR!$AL170)</f>
        <v>4.4010799999999998E-4</v>
      </c>
      <c r="Q284" s="13">
        <f t="shared" si="127"/>
        <v>5195.961674176503</v>
      </c>
      <c r="R284" s="14">
        <f t="shared" si="71"/>
        <v>1423326.156449009</v>
      </c>
      <c r="S284">
        <f t="shared" si="77"/>
        <v>1193.0323367155681</v>
      </c>
      <c r="T284" s="6">
        <f t="shared" si="78"/>
        <v>2338.3433799625136</v>
      </c>
      <c r="V284" s="13">
        <f t="shared" si="73"/>
        <v>10510.115520796502</v>
      </c>
      <c r="W284">
        <f t="shared" si="74"/>
        <v>1435559.3017394089</v>
      </c>
      <c r="X284">
        <f t="shared" si="79"/>
        <v>1198.1482803640829</v>
      </c>
      <c r="Y284" s="6">
        <f t="shared" si="80"/>
        <v>2348.3706295136026</v>
      </c>
      <c r="Z284" s="14">
        <f t="shared" si="69"/>
        <v>0.11399953482845086</v>
      </c>
    </row>
    <row r="285" spans="1:26" x14ac:dyDescent="0.3">
      <c r="A285" t="str">
        <f>'rockfish harvests'!A292</f>
        <v>SE</v>
      </c>
      <c r="B285">
        <f>'rockfish harvests'!B292</f>
        <v>2013</v>
      </c>
      <c r="C285" t="str">
        <f>'rockfish harvests'!C292</f>
        <v>NSEI</v>
      </c>
      <c r="D285">
        <f>'rockfish harvests'!D292</f>
        <v>14770</v>
      </c>
      <c r="E285">
        <f>'YE harvest'!E293</f>
        <v>5187</v>
      </c>
      <c r="F285">
        <f>IF([2]species_comp_Region1_forR!$H149&gt;49,[2]species_comp_Region1_forR!$AM149,[2]species_comp_Region1_forR!$AO149)</f>
        <v>0.70031545699999997</v>
      </c>
      <c r="G285">
        <f>IF([2]species_comp_Region1_forR!$H149&gt;49,[2]species_comp_Region1_forR!$AN149,[2]species_comp_Region1_forR!$AP149)</f>
        <v>6.6415699999999996E-4</v>
      </c>
      <c r="H285" s="13">
        <f t="shared" si="128"/>
        <v>3632.5362754590001</v>
      </c>
      <c r="I285">
        <f t="shared" si="72"/>
        <v>17869.123496132997</v>
      </c>
      <c r="J285">
        <f t="shared" si="75"/>
        <v>133.67544088624879</v>
      </c>
      <c r="K285" s="6">
        <f t="shared" si="76"/>
        <v>262.00386413704763</v>
      </c>
      <c r="M285" s="2">
        <f>'rockfish harvests'!O292</f>
        <v>8172.238805970148</v>
      </c>
      <c r="N285">
        <f>'rockfish harvests'!P292</f>
        <v>2814788.8573717903</v>
      </c>
      <c r="O285">
        <f>IF([2]species_comp_Region1_forR!$D171&gt;49,[2]species_comp_Region1_forR!$AI171,[2]species_comp_Region1_forR!$AK171)</f>
        <v>0.26653102699999998</v>
      </c>
      <c r="P285">
        <f>IF([2]species_comp_Region1_forR!$D171&gt;49,[2]species_comp_Region1_forR!$AJ171,[2]species_comp_Region1_forR!$AL171)</f>
        <v>1.9907599999999999E-4</v>
      </c>
      <c r="Q285" s="13">
        <f t="shared" si="127"/>
        <v>2178.1552018444772</v>
      </c>
      <c r="R285" s="14">
        <f t="shared" ref="R285:R348" si="129">(M285^2)*P285+(O285^2)*N285+(P285*N285)</f>
        <v>213814.93443596546</v>
      </c>
      <c r="S285">
        <f t="shared" si="77"/>
        <v>462.4012699333399</v>
      </c>
      <c r="T285" s="6">
        <f t="shared" si="78"/>
        <v>906.30648906934618</v>
      </c>
      <c r="V285" s="13">
        <f t="shared" si="73"/>
        <v>5810.6914773034769</v>
      </c>
      <c r="W285">
        <f t="shared" si="74"/>
        <v>231684.05793209845</v>
      </c>
      <c r="X285">
        <f t="shared" si="79"/>
        <v>481.33570190886365</v>
      </c>
      <c r="Y285" s="6">
        <f t="shared" si="80"/>
        <v>943.41797574137274</v>
      </c>
      <c r="Z285" s="14">
        <f t="shared" si="69"/>
        <v>8.2836217305454568E-2</v>
      </c>
    </row>
    <row r="286" spans="1:26" x14ac:dyDescent="0.3">
      <c r="A286" t="str">
        <f>'rockfish harvests'!A293</f>
        <v>SE</v>
      </c>
      <c r="B286">
        <f>'rockfish harvests'!B293</f>
        <v>2014</v>
      </c>
      <c r="C286" t="str">
        <f>'rockfish harvests'!C293</f>
        <v>NSEI</v>
      </c>
      <c r="D286">
        <f>'rockfish harvests'!D293</f>
        <v>19857</v>
      </c>
      <c r="E286">
        <f>'YE harvest'!E294</f>
        <v>6286</v>
      </c>
      <c r="F286">
        <f>IF([2]species_comp_Region1_forR!$H150&gt;49,[2]species_comp_Region1_forR!$AM150,[2]species_comp_Region1_forR!$AO150)</f>
        <v>0.76947040499999997</v>
      </c>
      <c r="G286">
        <f>IF([2]species_comp_Region1_forR!$H150&gt;49,[2]species_comp_Region1_forR!$AN150,[2]species_comp_Region1_forR!$AP150)</f>
        <v>5.5433000000000001E-4</v>
      </c>
      <c r="H286" s="13">
        <f t="shared" si="128"/>
        <v>4836.8909658299999</v>
      </c>
      <c r="I286">
        <f t="shared" si="72"/>
        <v>21903.68253668</v>
      </c>
      <c r="J286">
        <f t="shared" si="75"/>
        <v>147.99892748489768</v>
      </c>
      <c r="K286" s="6">
        <f t="shared" si="76"/>
        <v>290.07789787039945</v>
      </c>
      <c r="M286" s="2">
        <f>'rockfish harvests'!O293</f>
        <v>12419.119924151324</v>
      </c>
      <c r="N286">
        <f>'rockfish harvests'!P293</f>
        <v>9528568.3691134229</v>
      </c>
      <c r="O286">
        <f>IF([2]species_comp_Region1_forR!$D172&gt;49,[2]species_comp_Region1_forR!$AI172,[2]species_comp_Region1_forR!$AK172)</f>
        <v>0.34105075699999998</v>
      </c>
      <c r="P286">
        <f>IF([2]species_comp_Region1_forR!$D172&gt;49,[2]species_comp_Region1_forR!$AJ172,[2]species_comp_Region1_forR!$AL172)</f>
        <v>2.00299E-4</v>
      </c>
      <c r="Q286" s="13">
        <f t="shared" si="127"/>
        <v>4235.5502514055916</v>
      </c>
      <c r="R286" s="14">
        <f t="shared" si="129"/>
        <v>1141122.9133917878</v>
      </c>
      <c r="S286">
        <f t="shared" si="77"/>
        <v>1068.2335481493678</v>
      </c>
      <c r="T286" s="6">
        <f t="shared" si="78"/>
        <v>2093.7377543727607</v>
      </c>
      <c r="V286" s="13">
        <f t="shared" si="73"/>
        <v>9072.4412172355915</v>
      </c>
      <c r="W286">
        <f t="shared" si="74"/>
        <v>1163026.5959284678</v>
      </c>
      <c r="X286">
        <f t="shared" si="79"/>
        <v>1078.4371080079115</v>
      </c>
      <c r="Y286" s="6">
        <f t="shared" si="80"/>
        <v>2113.7367316955065</v>
      </c>
      <c r="Z286" s="14">
        <f t="shared" si="69"/>
        <v>0.11886956136559192</v>
      </c>
    </row>
    <row r="287" spans="1:26" x14ac:dyDescent="0.3">
      <c r="A287" t="str">
        <f>'rockfish harvests'!A294</f>
        <v>SE</v>
      </c>
      <c r="B287">
        <f>'rockfish harvests'!B294</f>
        <v>2015</v>
      </c>
      <c r="C287" t="str">
        <f>'rockfish harvests'!C294</f>
        <v>NSEI</v>
      </c>
      <c r="D287">
        <f>'rockfish harvests'!D294</f>
        <v>22095</v>
      </c>
      <c r="E287">
        <f>'YE harvest'!E295</f>
        <v>8119</v>
      </c>
      <c r="F287">
        <f>IF([2]species_comp_Region1_forR!$H151&gt;49,[2]species_comp_Region1_forR!$AM151,[2]species_comp_Region1_forR!$AO151)</f>
        <v>0.87191011200000001</v>
      </c>
      <c r="G287">
        <f>IF([2]species_comp_Region1_forR!$H151&gt;49,[2]species_comp_Region1_forR!$AN151,[2]species_comp_Region1_forR!$AP151)</f>
        <v>2.5153799999999999E-4</v>
      </c>
      <c r="H287" s="13">
        <f t="shared" si="128"/>
        <v>7079.0381993279998</v>
      </c>
      <c r="I287">
        <f t="shared" si="72"/>
        <v>16580.922381617998</v>
      </c>
      <c r="J287">
        <f t="shared" si="75"/>
        <v>128.76693046593135</v>
      </c>
      <c r="K287" s="6">
        <f t="shared" si="76"/>
        <v>252.38318371322543</v>
      </c>
      <c r="M287" s="2">
        <f>'rockfish harvests'!O294</f>
        <v>9668.8857001484394</v>
      </c>
      <c r="N287">
        <f>'rockfish harvests'!P294</f>
        <v>4304414.6066964231</v>
      </c>
      <c r="O287">
        <f>IF([2]species_comp_Region1_forR!$D173&gt;49,[2]species_comp_Region1_forR!$AI173,[2]species_comp_Region1_forR!$AK173)</f>
        <v>0.3125</v>
      </c>
      <c r="P287">
        <f>IF([2]species_comp_Region1_forR!$D173&gt;49,[2]species_comp_Region1_forR!$AJ173,[2]species_comp_Region1_forR!$AL173)</f>
        <v>1.7682599999999999E-4</v>
      </c>
      <c r="Q287" s="13">
        <f t="shared" si="127"/>
        <v>3021.5267812963875</v>
      </c>
      <c r="R287" s="14">
        <f t="shared" si="129"/>
        <v>437645.11562423117</v>
      </c>
      <c r="S287">
        <f t="shared" si="77"/>
        <v>661.54751577209572</v>
      </c>
      <c r="T287" s="6">
        <f t="shared" si="78"/>
        <v>1296.6331309133077</v>
      </c>
      <c r="V287" s="13">
        <f t="shared" si="73"/>
        <v>10100.564980624387</v>
      </c>
      <c r="W287">
        <f t="shared" si="74"/>
        <v>454226.03800584917</v>
      </c>
      <c r="X287">
        <f t="shared" si="79"/>
        <v>673.96293518697985</v>
      </c>
      <c r="Y287" s="6">
        <f t="shared" si="80"/>
        <v>1320.9673529664806</v>
      </c>
      <c r="Z287" s="14">
        <f t="shared" si="69"/>
        <v>6.6725270960567337E-2</v>
      </c>
    </row>
    <row r="288" spans="1:26" x14ac:dyDescent="0.3">
      <c r="A288" t="str">
        <f>'rockfish harvests'!A295</f>
        <v>SE</v>
      </c>
      <c r="B288">
        <f>'rockfish harvests'!B295</f>
        <v>2016</v>
      </c>
      <c r="C288" t="str">
        <f>'rockfish harvests'!C295</f>
        <v>NSEI</v>
      </c>
      <c r="D288">
        <f>'rockfish harvests'!D295</f>
        <v>25877</v>
      </c>
      <c r="E288">
        <f>'YE harvest'!E296</f>
        <v>9231</v>
      </c>
      <c r="F288">
        <f>IF([2]species_comp_Region1_forR!$H152&gt;49,[2]species_comp_Region1_forR!$AM152,[2]species_comp_Region1_forR!$AO152)</f>
        <v>0.67078189300000002</v>
      </c>
      <c r="G288">
        <f>IF([2]species_comp_Region1_forR!$H152&gt;49,[2]species_comp_Region1_forR!$AN152,[2]species_comp_Region1_forR!$AP152)</f>
        <v>4.55327E-4</v>
      </c>
      <c r="H288" s="13">
        <f t="shared" si="128"/>
        <v>6191.9876542829998</v>
      </c>
      <c r="I288">
        <f t="shared" si="72"/>
        <v>38799.033370047</v>
      </c>
      <c r="J288">
        <f t="shared" si="75"/>
        <v>196.97470236060011</v>
      </c>
      <c r="K288" s="6">
        <f t="shared" si="76"/>
        <v>386.07041662677619</v>
      </c>
      <c r="M288" s="2">
        <f>'rockfish harvests'!O295</f>
        <v>14189.291818701371</v>
      </c>
      <c r="N288">
        <f>'rockfish harvests'!P295</f>
        <v>6762576.6255513411</v>
      </c>
      <c r="O288">
        <f>IF([2]species_comp_Region1_forR!$D174&gt;49,[2]species_comp_Region1_forR!$AI174,[2]species_comp_Region1_forR!$AK174)</f>
        <v>0.30892448500000003</v>
      </c>
      <c r="P288">
        <f>IF([2]species_comp_Region1_forR!$D174&gt;49,[2]species_comp_Region1_forR!$AJ174,[2]species_comp_Region1_forR!$AL174)</f>
        <v>1.6296999999999999E-4</v>
      </c>
      <c r="Q288" s="13">
        <f t="shared" si="127"/>
        <v>4383.4196676070351</v>
      </c>
      <c r="R288" s="14">
        <f t="shared" si="129"/>
        <v>679295.84500625485</v>
      </c>
      <c r="S288">
        <f t="shared" si="77"/>
        <v>824.19405785667664</v>
      </c>
      <c r="T288" s="6">
        <f t="shared" si="78"/>
        <v>1615.4203533990863</v>
      </c>
      <c r="V288" s="13">
        <f t="shared" si="73"/>
        <v>10575.407321890034</v>
      </c>
      <c r="W288">
        <f t="shared" si="74"/>
        <v>718094.87837630184</v>
      </c>
      <c r="X288">
        <f t="shared" si="79"/>
        <v>847.40479015421067</v>
      </c>
      <c r="Y288" s="6">
        <f t="shared" si="80"/>
        <v>1660.9133887022529</v>
      </c>
      <c r="Z288" s="14">
        <f t="shared" si="69"/>
        <v>8.0129754283805948E-2</v>
      </c>
    </row>
    <row r="289" spans="1:26" x14ac:dyDescent="0.3">
      <c r="A289" t="str">
        <f>'rockfish harvests'!A296</f>
        <v>SE</v>
      </c>
      <c r="B289">
        <f>'rockfish harvests'!B296</f>
        <v>2017</v>
      </c>
      <c r="C289" t="str">
        <f>'rockfish harvests'!C296</f>
        <v>NSEI</v>
      </c>
      <c r="D289">
        <f>'rockfish harvests'!D296</f>
        <v>24305</v>
      </c>
      <c r="E289">
        <f>'YE harvest'!E297</f>
        <v>5102</v>
      </c>
      <c r="F289">
        <f>IF([2]species_comp_Region1_forR!$H153&gt;49,[2]species_comp_Region1_forR!$AM153,[2]species_comp_Region1_forR!$AO153)</f>
        <v>0.725978648</v>
      </c>
      <c r="G289">
        <f>IF([2]species_comp_Region1_forR!$H153&gt;49,[2]species_comp_Region1_forR!$AN153,[2]species_comp_Region1_forR!$AP153)</f>
        <v>7.1047700000000005E-4</v>
      </c>
      <c r="H289" s="13">
        <f t="shared" si="128"/>
        <v>3703.9430620960002</v>
      </c>
      <c r="I289">
        <f t="shared" si="72"/>
        <v>18494.003342708002</v>
      </c>
      <c r="J289">
        <f t="shared" si="75"/>
        <v>135.99265915007325</v>
      </c>
      <c r="K289" s="6">
        <f t="shared" si="76"/>
        <v>266.54561193414355</v>
      </c>
      <c r="M289" s="2">
        <f>'rockfish harvests'!O296</f>
        <v>16806.228360636691</v>
      </c>
      <c r="N289">
        <f>'rockfish harvests'!P296</f>
        <v>14540377.874931889</v>
      </c>
      <c r="O289">
        <f>IF([2]species_comp_Region1_forR!$D175&gt;49,[2]species_comp_Region1_forR!$AI175,[2]species_comp_Region1_forR!$AK175)</f>
        <v>0.23880597000000001</v>
      </c>
      <c r="P289">
        <f>IF([2]species_comp_Region1_forR!$D175&gt;49,[2]species_comp_Region1_forR!$AJ175,[2]species_comp_Region1_forR!$AL175)</f>
        <v>1.59734E-4</v>
      </c>
      <c r="Q289" s="13">
        <f t="shared" si="127"/>
        <v>4013.4276657033547</v>
      </c>
      <c r="R289" s="14">
        <f t="shared" si="129"/>
        <v>876652.25625093083</v>
      </c>
      <c r="S289">
        <f t="shared" si="77"/>
        <v>936.29709828180648</v>
      </c>
      <c r="T289" s="6">
        <f t="shared" si="78"/>
        <v>1835.1423126323407</v>
      </c>
      <c r="V289" s="13">
        <f t="shared" si="73"/>
        <v>7717.3707277993544</v>
      </c>
      <c r="W289">
        <f t="shared" si="74"/>
        <v>895146.25959363882</v>
      </c>
      <c r="X289">
        <f t="shared" si="79"/>
        <v>946.12169386059361</v>
      </c>
      <c r="Y289" s="6">
        <f t="shared" si="80"/>
        <v>1854.3985199667634</v>
      </c>
      <c r="Z289" s="14">
        <f t="shared" si="69"/>
        <v>0.12259637734552437</v>
      </c>
    </row>
    <row r="290" spans="1:26" x14ac:dyDescent="0.3">
      <c r="A290" t="str">
        <f>'rockfish harvests'!A297</f>
        <v>SE</v>
      </c>
      <c r="B290">
        <f>'rockfish harvests'!B297</f>
        <v>2018</v>
      </c>
      <c r="C290" t="str">
        <f>'rockfish harvests'!C297</f>
        <v>NSEI</v>
      </c>
      <c r="D290">
        <f>'rockfish harvests'!D297</f>
        <v>34673</v>
      </c>
      <c r="E290">
        <f>'YE harvest'!E298</f>
        <v>6405</v>
      </c>
      <c r="F290">
        <f>IF([2]species_comp_Region1_forR!$H154&gt;49,[2]species_comp_Region1_forR!$AM154,[2]species_comp_Region1_forR!$AO154)</f>
        <v>0.82954545499999999</v>
      </c>
      <c r="G290">
        <f>IF([2]species_comp_Region1_forR!$H154&gt;49,[2]species_comp_Region1_forR!$AN154,[2]species_comp_Region1_forR!$AP154)</f>
        <v>2.6831100000000003E-4</v>
      </c>
      <c r="H290" s="13">
        <f t="shared" si="128"/>
        <v>5313.2386392749995</v>
      </c>
      <c r="I290">
        <f t="shared" si="72"/>
        <v>11007.197171775</v>
      </c>
      <c r="J290">
        <f t="shared" si="75"/>
        <v>104.91519037667996</v>
      </c>
      <c r="K290" s="6">
        <f t="shared" si="76"/>
        <v>205.63377313829272</v>
      </c>
      <c r="M290" s="2">
        <f>'rockfish harvests'!O297</f>
        <v>15349.26901059274</v>
      </c>
      <c r="N290">
        <f>'rockfish harvests'!P297</f>
        <v>8197994.4604236083</v>
      </c>
      <c r="O290">
        <f>IF([2]species_comp_Region1_forR!$D176&gt;49,[2]species_comp_Region1_forR!$AI176,[2]species_comp_Region1_forR!$AK176)</f>
        <v>0.32617342900000001</v>
      </c>
      <c r="P290">
        <f>IF([2]species_comp_Region1_forR!$D176&gt;49,[2]species_comp_Region1_forR!$AJ176,[2]species_comp_Region1_forR!$AL176)</f>
        <v>1.74988E-4</v>
      </c>
      <c r="Q290" s="13">
        <f t="shared" si="127"/>
        <v>5006.5237058284711</v>
      </c>
      <c r="R290" s="14">
        <f t="shared" si="129"/>
        <v>914839.03368676885</v>
      </c>
      <c r="S290">
        <f t="shared" si="77"/>
        <v>956.47218134495097</v>
      </c>
      <c r="T290" s="6">
        <f t="shared" si="78"/>
        <v>1874.6854754361038</v>
      </c>
      <c r="V290" s="13">
        <f t="shared" si="73"/>
        <v>10319.762345103471</v>
      </c>
      <c r="W290">
        <f t="shared" si="74"/>
        <v>925846.23085854389</v>
      </c>
      <c r="X290">
        <f t="shared" si="79"/>
        <v>962.20903698652921</v>
      </c>
      <c r="Y290" s="6">
        <f t="shared" si="80"/>
        <v>1885.9297124935972</v>
      </c>
      <c r="Z290" s="14">
        <f t="shared" ref="Z290:Z362" si="130">X290/V290</f>
        <v>9.3239456957366754E-2</v>
      </c>
    </row>
    <row r="291" spans="1:26" x14ac:dyDescent="0.3">
      <c r="A291" t="str">
        <f>'rockfish harvests'!A298</f>
        <v>SE</v>
      </c>
      <c r="B291">
        <f>'rockfish harvests'!B298</f>
        <v>2019</v>
      </c>
      <c r="C291" t="str">
        <f>'rockfish harvests'!C298</f>
        <v>NSEI</v>
      </c>
      <c r="D291">
        <f>'rockfish harvests'!D298</f>
        <v>36293</v>
      </c>
      <c r="E291">
        <f>'YE harvest'!E299</f>
        <v>6197</v>
      </c>
      <c r="F291">
        <v>0.52329192546583847</v>
      </c>
      <c r="G291">
        <v>3.8795876548692665E-4</v>
      </c>
      <c r="H291" s="13">
        <f>E291*F291</f>
        <v>3242.8400621118012</v>
      </c>
      <c r="I291">
        <f>(E291^2)*G291</f>
        <v>14898.706370870237</v>
      </c>
      <c r="K291" s="6"/>
      <c r="M291" s="2">
        <f>'rockfish harvests'!O298</f>
        <v>23183.361216730038</v>
      </c>
      <c r="N291">
        <f>'rockfish harvests'!P298</f>
        <v>24125308.819017805</v>
      </c>
      <c r="O291">
        <v>0.24787685774946921</v>
      </c>
      <c r="P291">
        <v>9.9008986267508551E-5</v>
      </c>
      <c r="Q291" s="13">
        <f>M291*O291</f>
        <v>5746.6187304739533</v>
      </c>
      <c r="R291" s="14">
        <f t="shared" si="129"/>
        <v>1537932.6281054697</v>
      </c>
      <c r="S291">
        <f>SQRT(R291)</f>
        <v>1240.1341169831067</v>
      </c>
      <c r="T291" s="6">
        <f>(1.96*S291)</f>
        <v>2430.662869286889</v>
      </c>
      <c r="V291" s="13">
        <f>Q291+H291</f>
        <v>8989.4587925857541</v>
      </c>
      <c r="W291">
        <f>R291+I291</f>
        <v>1552831.3344763401</v>
      </c>
      <c r="X291">
        <f>SQRT(W291)</f>
        <v>1246.126532289695</v>
      </c>
      <c r="Y291" s="6">
        <f>(1.96*X291)</f>
        <v>2442.4080032878023</v>
      </c>
      <c r="Z291" s="14">
        <f t="shared" si="130"/>
        <v>0.13862086261716491</v>
      </c>
    </row>
    <row r="292" spans="1:26" x14ac:dyDescent="0.3">
      <c r="A292" t="str">
        <f>'rockfish harvests'!A299</f>
        <v>SE</v>
      </c>
      <c r="B292">
        <f>'rockfish harvests'!B299</f>
        <v>2020</v>
      </c>
      <c r="C292" t="str">
        <f>'rockfish harvests'!C299</f>
        <v>NSEI</v>
      </c>
      <c r="D292">
        <f>'rockfish harvests'!D299</f>
        <v>17585</v>
      </c>
      <c r="E292">
        <f>'YE harvest'!E300</f>
        <v>283</v>
      </c>
      <c r="F292" t="s">
        <v>226</v>
      </c>
      <c r="G292" t="s">
        <v>227</v>
      </c>
      <c r="H292" s="13">
        <f t="shared" ref="H292:H293" si="131">E292*F292</f>
        <v>102.90909090909101</v>
      </c>
      <c r="I292">
        <f t="shared" ref="I292:I293" si="132">(E292^2)*G292</f>
        <v>28.251511791977382</v>
      </c>
      <c r="J292">
        <f t="shared" ref="J292" si="133">SQRT(I292)</f>
        <v>5.315215121890871</v>
      </c>
      <c r="K292" s="6">
        <f t="shared" ref="K292" si="134">(1.96*J292)</f>
        <v>10.417821638906107</v>
      </c>
      <c r="M292" s="2">
        <f>'rockfish harvests'!O299</f>
        <v>4858.3978904449577</v>
      </c>
      <c r="N292">
        <f>'rockfish harvests'!P299</f>
        <v>1472700.4379098967</v>
      </c>
      <c r="O292" t="s">
        <v>297</v>
      </c>
      <c r="P292" t="s">
        <v>298</v>
      </c>
      <c r="Q292" s="13">
        <f t="shared" ref="Q292:Q293" si="135">M292*O292</f>
        <v>353.57612679788087</v>
      </c>
      <c r="R292" s="14">
        <f t="shared" si="129"/>
        <v>12373.437636520639</v>
      </c>
      <c r="S292">
        <f t="shared" ref="S292:S293" si="136">SQRT(R292)</f>
        <v>111.23595478315741</v>
      </c>
      <c r="T292" s="6">
        <f t="shared" ref="T292:T293" si="137">(1.96*S292)</f>
        <v>218.02247137498853</v>
      </c>
      <c r="V292" s="13">
        <f t="shared" ref="V292:V293" si="138">Q292+H292</f>
        <v>456.48521770697187</v>
      </c>
      <c r="W292">
        <f t="shared" ref="W292:W293" si="139">R292+I292</f>
        <v>12401.689148312616</v>
      </c>
      <c r="X292">
        <f t="shared" ref="X292:X293" si="140">SQRT(W292)</f>
        <v>111.36287149814616</v>
      </c>
      <c r="Y292" s="6">
        <f t="shared" ref="Y292:Y293" si="141">(1.96*X292)</f>
        <v>218.27122813636649</v>
      </c>
      <c r="Z292" s="14">
        <f t="shared" si="130"/>
        <v>0.24395723492985594</v>
      </c>
    </row>
    <row r="293" spans="1:26" x14ac:dyDescent="0.3">
      <c r="A293" t="str">
        <f>'rockfish harvests'!A300</f>
        <v>SE</v>
      </c>
      <c r="B293">
        <f>'rockfish harvests'!B300</f>
        <v>2021</v>
      </c>
      <c r="C293" t="str">
        <f>'rockfish harvests'!C300</f>
        <v>NSEI</v>
      </c>
      <c r="D293">
        <f>'rockfish harvests'!D300</f>
        <v>33151</v>
      </c>
      <c r="E293">
        <f>'YE harvest'!E301</f>
        <v>1940</v>
      </c>
      <c r="F293" t="s">
        <v>228</v>
      </c>
      <c r="G293" t="s">
        <v>229</v>
      </c>
      <c r="H293" s="13">
        <f t="shared" si="131"/>
        <v>32.881355932203427</v>
      </c>
      <c r="I293">
        <f t="shared" si="132"/>
        <v>34.417479111160425</v>
      </c>
      <c r="K293" s="6"/>
      <c r="M293" s="2">
        <f>'rockfish harvests'!O300</f>
        <v>7926.4899805809182</v>
      </c>
      <c r="N293">
        <f>'rockfish harvests'!P300</f>
        <v>3864104.3574178377</v>
      </c>
      <c r="O293" t="s">
        <v>299</v>
      </c>
      <c r="P293" t="s">
        <v>300</v>
      </c>
      <c r="Q293" s="13">
        <f t="shared" si="135"/>
        <v>377.45190383718648</v>
      </c>
      <c r="R293" s="14">
        <f t="shared" si="129"/>
        <v>15980.856488840316</v>
      </c>
      <c r="S293">
        <f t="shared" si="136"/>
        <v>126.41541238646622</v>
      </c>
      <c r="T293" s="6">
        <f t="shared" si="137"/>
        <v>247.77420827747378</v>
      </c>
      <c r="V293" s="13">
        <f t="shared" si="138"/>
        <v>410.33325976938988</v>
      </c>
      <c r="W293">
        <f t="shared" si="139"/>
        <v>16015.273967951476</v>
      </c>
      <c r="X293">
        <f t="shared" si="140"/>
        <v>126.55146766415425</v>
      </c>
      <c r="Y293" s="6">
        <f t="shared" si="141"/>
        <v>248.04087662174231</v>
      </c>
      <c r="Z293" s="14">
        <f t="shared" si="130"/>
        <v>0.30841143059004539</v>
      </c>
    </row>
    <row r="294" spans="1:26" x14ac:dyDescent="0.3">
      <c r="A294" t="s">
        <v>151</v>
      </c>
      <c r="B294">
        <v>2022</v>
      </c>
      <c r="C294" t="s">
        <v>38</v>
      </c>
      <c r="D294">
        <f>'rockfish harvests'!D301</f>
        <v>34168</v>
      </c>
      <c r="E294">
        <f>'YE harvest'!E302</f>
        <v>2848</v>
      </c>
      <c r="F294" t="s">
        <v>230</v>
      </c>
      <c r="G294" t="s">
        <v>231</v>
      </c>
      <c r="H294" s="13">
        <f t="shared" ref="H294" si="142">E294*F294</f>
        <v>353.24031007751944</v>
      </c>
      <c r="I294">
        <f t="shared" ref="I294" si="143">(E294^2)*G294</f>
        <v>304.19388554957328</v>
      </c>
      <c r="K294" s="6"/>
      <c r="M294" s="2">
        <f>'rockfish harvests'!O301</f>
        <v>23959.726273535314</v>
      </c>
      <c r="N294">
        <f>'rockfish harvests'!P301</f>
        <v>56312393.20575878</v>
      </c>
      <c r="O294" t="s">
        <v>232</v>
      </c>
      <c r="P294" t="s">
        <v>233</v>
      </c>
      <c r="Q294" s="13">
        <f t="shared" ref="Q294" si="144">M294*O294</f>
        <v>1685.865601336174</v>
      </c>
      <c r="R294" s="14">
        <f t="shared" si="129"/>
        <v>308123.09429970838</v>
      </c>
      <c r="S294">
        <f t="shared" ref="S294" si="145">SQRT(R294)</f>
        <v>555.08836620821762</v>
      </c>
      <c r="T294" s="6"/>
      <c r="V294" s="13">
        <f t="shared" ref="V294" si="146">Q294+H294</f>
        <v>2039.1059114136933</v>
      </c>
      <c r="W294">
        <f t="shared" ref="W294" si="147">R294+I294</f>
        <v>308427.28818525793</v>
      </c>
      <c r="X294">
        <f t="shared" ref="X294" si="148">SQRT(W294)</f>
        <v>555.36230353280007</v>
      </c>
      <c r="Y294" s="6">
        <f t="shared" ref="Y294" si="149">(1.96*X294)</f>
        <v>1088.510114924288</v>
      </c>
      <c r="Z294" s="14">
        <f t="shared" ref="Z294" si="150">X294/V294</f>
        <v>0.2723557910475442</v>
      </c>
    </row>
    <row r="295" spans="1:26" x14ac:dyDescent="0.3">
      <c r="A295" t="str">
        <f>'rockfish harvests'!A302</f>
        <v>SE</v>
      </c>
      <c r="B295">
        <f>'rockfish harvests'!B302</f>
        <v>1998</v>
      </c>
      <c r="C295" t="str">
        <f>'rockfish harvests'!C302</f>
        <v>NSEO</v>
      </c>
      <c r="D295">
        <f>'rockfish harvests'!D302</f>
        <v>1123</v>
      </c>
      <c r="E295">
        <f>'YE harvest'!E303</f>
        <v>522</v>
      </c>
      <c r="F295" s="32">
        <v>0.915492906</v>
      </c>
      <c r="G295" s="32">
        <v>3.095375E-3</v>
      </c>
      <c r="H295" s="13">
        <f t="shared" ref="H295:H302" si="151">E295*F295</f>
        <v>477.88729693199997</v>
      </c>
      <c r="I295">
        <f t="shared" si="72"/>
        <v>843.44016150000004</v>
      </c>
      <c r="J295">
        <f t="shared" si="75"/>
        <v>29.04204127639791</v>
      </c>
      <c r="K295" s="6">
        <f t="shared" si="76"/>
        <v>56.922400901739906</v>
      </c>
      <c r="M295" s="2">
        <f>'rockfish harvests'!O302</f>
        <v>595.65533897155365</v>
      </c>
      <c r="N295">
        <f>'rockfish harvests'!P302</f>
        <v>93360.34279041113</v>
      </c>
      <c r="O295" s="32">
        <v>0.32828362700000002</v>
      </c>
      <c r="P295" s="32">
        <v>2.2094531000000001E-2</v>
      </c>
      <c r="Q295" s="13">
        <f t="shared" si="127"/>
        <v>195.54389511949609</v>
      </c>
      <c r="R295" s="14">
        <f t="shared" si="129"/>
        <v>19963.46649895934</v>
      </c>
      <c r="S295">
        <f t="shared" si="77"/>
        <v>141.29213176592438</v>
      </c>
      <c r="T295" s="6">
        <f t="shared" si="78"/>
        <v>276.9325782612118</v>
      </c>
      <c r="V295" s="13">
        <f t="shared" si="73"/>
        <v>673.43119205149605</v>
      </c>
      <c r="W295">
        <f t="shared" si="74"/>
        <v>20806.906660459339</v>
      </c>
      <c r="X295">
        <f t="shared" si="79"/>
        <v>144.24599356813809</v>
      </c>
      <c r="Y295" s="6">
        <f t="shared" si="80"/>
        <v>282.72214739355064</v>
      </c>
      <c r="Z295" s="14">
        <f t="shared" si="130"/>
        <v>0.21419559306232411</v>
      </c>
    </row>
    <row r="296" spans="1:26" x14ac:dyDescent="0.3">
      <c r="A296" t="str">
        <f>'rockfish harvests'!A303</f>
        <v>SE</v>
      </c>
      <c r="B296">
        <f>'rockfish harvests'!B303</f>
        <v>1999</v>
      </c>
      <c r="C296" t="str">
        <f>'rockfish harvests'!C303</f>
        <v>NSEO</v>
      </c>
      <c r="D296">
        <f>'rockfish harvests'!D303</f>
        <v>1071</v>
      </c>
      <c r="E296">
        <f>'YE harvest'!E304</f>
        <v>587</v>
      </c>
      <c r="F296" s="32">
        <v>0.915492906</v>
      </c>
      <c r="G296" s="32">
        <v>3.095375E-3</v>
      </c>
      <c r="H296" s="13">
        <f t="shared" si="151"/>
        <v>537.39433582200002</v>
      </c>
      <c r="I296">
        <f t="shared" si="72"/>
        <v>1066.5702683750001</v>
      </c>
      <c r="J296">
        <f t="shared" si="75"/>
        <v>32.658387412347842</v>
      </c>
      <c r="K296" s="6">
        <f t="shared" si="76"/>
        <v>64.01043932820177</v>
      </c>
      <c r="M296" s="2">
        <f>'rockfish harvests'!O303</f>
        <v>568.07379166387705</v>
      </c>
      <c r="N296">
        <f>'rockfish harvests'!P303</f>
        <v>84914.501969787365</v>
      </c>
      <c r="O296" s="32">
        <v>0.32828362700000002</v>
      </c>
      <c r="P296" s="32">
        <v>2.2094531000000001E-2</v>
      </c>
      <c r="Q296" s="13">
        <f t="shared" si="127"/>
        <v>186.48932473105992</v>
      </c>
      <c r="R296" s="14">
        <f t="shared" si="129"/>
        <v>18157.472055937829</v>
      </c>
      <c r="S296">
        <f t="shared" si="77"/>
        <v>134.74966440009351</v>
      </c>
      <c r="T296" s="6">
        <f t="shared" si="78"/>
        <v>264.10934222418325</v>
      </c>
      <c r="V296" s="13">
        <f t="shared" si="73"/>
        <v>723.88366055305994</v>
      </c>
      <c r="W296">
        <f t="shared" si="74"/>
        <v>19224.042324312828</v>
      </c>
      <c r="X296">
        <f t="shared" si="79"/>
        <v>138.65079272875732</v>
      </c>
      <c r="Y296" s="6">
        <f t="shared" si="80"/>
        <v>271.75555374836438</v>
      </c>
      <c r="Z296" s="14">
        <f t="shared" si="130"/>
        <v>0.19153739790566024</v>
      </c>
    </row>
    <row r="297" spans="1:26" x14ac:dyDescent="0.3">
      <c r="A297" t="str">
        <f>'rockfish harvests'!A304</f>
        <v>SE</v>
      </c>
      <c r="B297">
        <f>'rockfish harvests'!B304</f>
        <v>2000</v>
      </c>
      <c r="C297" t="str">
        <f>'rockfish harvests'!C304</f>
        <v>NSEO</v>
      </c>
      <c r="D297">
        <f>'rockfish harvests'!D304</f>
        <v>2883</v>
      </c>
      <c r="E297">
        <f>'YE harvest'!E305</f>
        <v>1426</v>
      </c>
      <c r="F297" s="32">
        <v>0.915492906</v>
      </c>
      <c r="G297" s="32">
        <v>3.095375E-3</v>
      </c>
      <c r="H297" s="13">
        <f t="shared" si="151"/>
        <v>1305.492883956</v>
      </c>
      <c r="I297">
        <f t="shared" si="72"/>
        <v>6294.3707734999998</v>
      </c>
      <c r="J297">
        <f t="shared" si="75"/>
        <v>79.337070613301577</v>
      </c>
      <c r="K297" s="6">
        <f t="shared" si="76"/>
        <v>155.50065840207108</v>
      </c>
      <c r="M297" s="2">
        <f>'rockfish harvests'!O304</f>
        <v>1529.1846324621447</v>
      </c>
      <c r="N297">
        <f>'rockfish harvests'!P304</f>
        <v>615307.50161743129</v>
      </c>
      <c r="O297" s="32">
        <v>0.32828362700000002</v>
      </c>
      <c r="P297" s="32">
        <v>2.2094531000000001E-2</v>
      </c>
      <c r="Q297" s="13">
        <f t="shared" si="127"/>
        <v>502.00627749733485</v>
      </c>
      <c r="R297" s="14">
        <f t="shared" si="129"/>
        <v>131572.68201846821</v>
      </c>
      <c r="S297">
        <f t="shared" si="77"/>
        <v>362.72948876327689</v>
      </c>
      <c r="T297" s="6">
        <f t="shared" si="78"/>
        <v>710.94979797602264</v>
      </c>
      <c r="V297" s="13">
        <f t="shared" si="73"/>
        <v>1807.4991614533349</v>
      </c>
      <c r="W297">
        <f t="shared" si="74"/>
        <v>137867.05279196822</v>
      </c>
      <c r="X297">
        <f t="shared" si="79"/>
        <v>371.30452837525189</v>
      </c>
      <c r="Y297" s="6">
        <f t="shared" si="80"/>
        <v>727.75687561549364</v>
      </c>
      <c r="Z297" s="14">
        <f t="shared" si="130"/>
        <v>0.20542445401562531</v>
      </c>
    </row>
    <row r="298" spans="1:26" x14ac:dyDescent="0.3">
      <c r="A298" t="str">
        <f>'rockfish harvests'!A305</f>
        <v>SE</v>
      </c>
      <c r="B298">
        <f>'rockfish harvests'!B305</f>
        <v>2001</v>
      </c>
      <c r="C298" t="str">
        <f>'rockfish harvests'!C305</f>
        <v>NSEO</v>
      </c>
      <c r="D298">
        <f>'rockfish harvests'!D305</f>
        <v>2839</v>
      </c>
      <c r="E298">
        <f>'YE harvest'!E306</f>
        <v>1604</v>
      </c>
      <c r="F298" s="32">
        <v>0.915492906</v>
      </c>
      <c r="G298" s="32">
        <v>3.095375E-3</v>
      </c>
      <c r="H298" s="13">
        <f t="shared" si="151"/>
        <v>1468.4506212240001</v>
      </c>
      <c r="I298">
        <f t="shared" si="72"/>
        <v>7963.8303260000002</v>
      </c>
      <c r="J298">
        <f t="shared" si="75"/>
        <v>89.240295416364461</v>
      </c>
      <c r="K298" s="6">
        <f t="shared" si="76"/>
        <v>174.91097901607435</v>
      </c>
      <c r="M298" s="2">
        <f>'rockfish harvests'!O305</f>
        <v>1505.8464001248803</v>
      </c>
      <c r="N298">
        <f>'rockfish harvests'!P305</f>
        <v>596669.32361688081</v>
      </c>
      <c r="O298" s="32">
        <v>0.32828362700000002</v>
      </c>
      <c r="P298" s="32">
        <v>2.2094531000000001E-2</v>
      </c>
      <c r="Q298" s="13">
        <f t="shared" si="127"/>
        <v>494.34471793788902</v>
      </c>
      <c r="R298" s="14">
        <f t="shared" si="129"/>
        <v>127587.23561805245</v>
      </c>
      <c r="S298">
        <f t="shared" si="77"/>
        <v>357.19355483834312</v>
      </c>
      <c r="T298" s="6">
        <f t="shared" si="78"/>
        <v>700.09936748315249</v>
      </c>
      <c r="V298" s="13">
        <f t="shared" si="73"/>
        <v>1962.7953391618892</v>
      </c>
      <c r="W298">
        <f t="shared" si="74"/>
        <v>135551.06594405245</v>
      </c>
      <c r="X298">
        <f t="shared" si="79"/>
        <v>368.17260346752101</v>
      </c>
      <c r="Y298" s="6">
        <f t="shared" si="80"/>
        <v>721.61830279634114</v>
      </c>
      <c r="Z298" s="14">
        <f t="shared" si="130"/>
        <v>0.1875756458769309</v>
      </c>
    </row>
    <row r="299" spans="1:26" x14ac:dyDescent="0.3">
      <c r="A299" t="str">
        <f>'rockfish harvests'!A306</f>
        <v>SE</v>
      </c>
      <c r="B299">
        <f>'rockfish harvests'!B306</f>
        <v>2002</v>
      </c>
      <c r="C299" t="str">
        <f>'rockfish harvests'!C306</f>
        <v>NSEO</v>
      </c>
      <c r="D299">
        <f>'rockfish harvests'!D306</f>
        <v>2029</v>
      </c>
      <c r="E299">
        <f>'YE harvest'!E307</f>
        <v>1342</v>
      </c>
      <c r="F299" s="32">
        <v>0.915492906</v>
      </c>
      <c r="G299" s="32">
        <v>3.095375E-3</v>
      </c>
      <c r="H299" s="13">
        <f t="shared" si="151"/>
        <v>1228.591479852</v>
      </c>
      <c r="I299">
        <f t="shared" ref="I299:I365" si="152">(E299^2)*G299</f>
        <v>5574.6589414999999</v>
      </c>
      <c r="J299">
        <f t="shared" si="75"/>
        <v>74.66363868376628</v>
      </c>
      <c r="K299" s="6">
        <f t="shared" si="76"/>
        <v>146.3407318201819</v>
      </c>
      <c r="M299" s="2">
        <f>'rockfish harvests'!O306</f>
        <v>1076.2107593706878</v>
      </c>
      <c r="N299">
        <f>'rockfish harvests'!P306</f>
        <v>304766.3537779394</v>
      </c>
      <c r="O299" s="32">
        <v>0.32828362700000002</v>
      </c>
      <c r="P299" s="32">
        <v>2.2094531000000001E-2</v>
      </c>
      <c r="Q299" s="13">
        <f t="shared" si="127"/>
        <v>353.30237150263366</v>
      </c>
      <c r="R299" s="14">
        <f t="shared" si="129"/>
        <v>65168.921962021544</v>
      </c>
      <c r="S299">
        <f t="shared" si="77"/>
        <v>255.28204394751612</v>
      </c>
      <c r="T299" s="6">
        <f t="shared" si="78"/>
        <v>500.35280613713155</v>
      </c>
      <c r="V299" s="13">
        <f t="shared" ref="V299:V365" si="153">Q299+H299</f>
        <v>1581.8938513546336</v>
      </c>
      <c r="W299">
        <f t="shared" ref="W299:W365" si="154">R299+I299</f>
        <v>70743.58090352155</v>
      </c>
      <c r="X299">
        <f t="shared" si="79"/>
        <v>265.97665480925491</v>
      </c>
      <c r="Y299" s="6">
        <f t="shared" si="80"/>
        <v>521.31424342613957</v>
      </c>
      <c r="Z299" s="14">
        <f t="shared" si="130"/>
        <v>0.16813811785252808</v>
      </c>
    </row>
    <row r="300" spans="1:26" x14ac:dyDescent="0.3">
      <c r="A300" t="str">
        <f>'rockfish harvests'!A307</f>
        <v>SE</v>
      </c>
      <c r="B300">
        <f>'rockfish harvests'!B307</f>
        <v>2003</v>
      </c>
      <c r="C300" t="str">
        <f>'rockfish harvests'!C307</f>
        <v>NSEO</v>
      </c>
      <c r="D300">
        <f>'rockfish harvests'!D307</f>
        <v>3083</v>
      </c>
      <c r="E300">
        <f>'YE harvest'!E308</f>
        <v>1659</v>
      </c>
      <c r="F300" s="32">
        <v>0.915492906</v>
      </c>
      <c r="G300" s="32">
        <v>3.095375E-3</v>
      </c>
      <c r="H300" s="13">
        <f t="shared" si="151"/>
        <v>1518.8027310540001</v>
      </c>
      <c r="I300">
        <f t="shared" si="152"/>
        <v>8519.3418003749994</v>
      </c>
      <c r="J300">
        <f t="shared" ref="J300:J365" si="155">SQRT(I300)</f>
        <v>92.300280608322097</v>
      </c>
      <c r="K300" s="6">
        <f t="shared" ref="K300:K365" si="156">(1.96*J300)</f>
        <v>180.90854999231132</v>
      </c>
      <c r="M300" s="2">
        <f>'rockfish harvests'!O307</f>
        <v>1635.26750672244</v>
      </c>
      <c r="N300">
        <f>'rockfish harvests'!P307</f>
        <v>703639.11639872531</v>
      </c>
      <c r="O300" s="32">
        <v>0.32828362700000002</v>
      </c>
      <c r="P300" s="32">
        <v>2.2094531000000001E-2</v>
      </c>
      <c r="Q300" s="13">
        <f t="shared" si="127"/>
        <v>536.83154822208951</v>
      </c>
      <c r="R300" s="14">
        <f t="shared" si="129"/>
        <v>150460.84352023239</v>
      </c>
      <c r="S300">
        <f t="shared" ref="S300:S365" si="157">SQRT(R300)</f>
        <v>387.8928247857034</v>
      </c>
      <c r="T300" s="6">
        <f t="shared" ref="T300:T365" si="158">(1.96*S300)</f>
        <v>760.26993657997866</v>
      </c>
      <c r="V300" s="13">
        <f t="shared" si="153"/>
        <v>2055.6342792760897</v>
      </c>
      <c r="W300">
        <f t="shared" si="154"/>
        <v>158980.18532060739</v>
      </c>
      <c r="X300">
        <f t="shared" ref="X300:X365" si="159">SQRT(W300)</f>
        <v>398.72319385835505</v>
      </c>
      <c r="Y300" s="6">
        <f t="shared" ref="Y300:Y365" si="160">(1.96*X300)</f>
        <v>781.49745996237584</v>
      </c>
      <c r="Z300" s="14">
        <f t="shared" si="130"/>
        <v>0.19396601714521372</v>
      </c>
    </row>
    <row r="301" spans="1:26" x14ac:dyDescent="0.3">
      <c r="A301" t="str">
        <f>'rockfish harvests'!A308</f>
        <v>SE</v>
      </c>
      <c r="B301">
        <f>'rockfish harvests'!B308</f>
        <v>2004</v>
      </c>
      <c r="C301" t="str">
        <f>'rockfish harvests'!C308</f>
        <v>NSEO</v>
      </c>
      <c r="D301">
        <f>'rockfish harvests'!D308</f>
        <v>2923</v>
      </c>
      <c r="E301">
        <f>'YE harvest'!E309</f>
        <v>1924</v>
      </c>
      <c r="F301" s="32">
        <v>0.915492906</v>
      </c>
      <c r="G301" s="32">
        <v>3.095375E-3</v>
      </c>
      <c r="H301" s="13">
        <f t="shared" si="151"/>
        <v>1761.4083511439999</v>
      </c>
      <c r="I301">
        <f t="shared" si="152"/>
        <v>11458.384886</v>
      </c>
      <c r="J301">
        <f t="shared" si="155"/>
        <v>107.04384562411796</v>
      </c>
      <c r="K301" s="6">
        <f t="shared" si="156"/>
        <v>209.80593742327122</v>
      </c>
      <c r="M301" s="2">
        <f>'rockfish harvests'!O308</f>
        <v>1550.4012073142039</v>
      </c>
      <c r="N301">
        <f>'rockfish harvests'!P308</f>
        <v>632500.03783668019</v>
      </c>
      <c r="O301" s="32">
        <v>0.32828362700000002</v>
      </c>
      <c r="P301" s="32">
        <v>2.2094531000000001E-2</v>
      </c>
      <c r="Q301" s="13">
        <f t="shared" si="127"/>
        <v>508.9713316422858</v>
      </c>
      <c r="R301" s="14">
        <f t="shared" si="129"/>
        <v>135249.00336205668</v>
      </c>
      <c r="S301">
        <f t="shared" si="157"/>
        <v>367.76215596776223</v>
      </c>
      <c r="T301" s="6">
        <f t="shared" si="158"/>
        <v>720.81382569681398</v>
      </c>
      <c r="V301" s="13">
        <f t="shared" si="153"/>
        <v>2270.3796827862857</v>
      </c>
      <c r="W301">
        <f t="shared" si="154"/>
        <v>146707.3882480567</v>
      </c>
      <c r="X301">
        <f t="shared" si="159"/>
        <v>383.02400479350729</v>
      </c>
      <c r="Y301" s="6">
        <f t="shared" si="160"/>
        <v>750.72704939527432</v>
      </c>
      <c r="Z301" s="14">
        <f t="shared" si="130"/>
        <v>0.16870482399818143</v>
      </c>
    </row>
    <row r="302" spans="1:26" x14ac:dyDescent="0.3">
      <c r="A302" t="str">
        <f>'rockfish harvests'!A309</f>
        <v>SE</v>
      </c>
      <c r="B302">
        <f>'rockfish harvests'!B309</f>
        <v>2005</v>
      </c>
      <c r="C302" t="str">
        <f>'rockfish harvests'!C309</f>
        <v>NSEO</v>
      </c>
      <c r="D302">
        <f>'rockfish harvests'!D309</f>
        <v>2796</v>
      </c>
      <c r="E302">
        <f>'YE harvest'!E310</f>
        <v>1608</v>
      </c>
      <c r="F302" s="32">
        <v>0.915492906</v>
      </c>
      <c r="G302" s="32">
        <v>3.095375E-3</v>
      </c>
      <c r="H302" s="13">
        <f t="shared" si="151"/>
        <v>1472.1125928480001</v>
      </c>
      <c r="I302">
        <f t="shared" si="152"/>
        <v>8003.5997040000002</v>
      </c>
      <c r="J302">
        <f t="shared" si="155"/>
        <v>89.462839793961379</v>
      </c>
      <c r="K302" s="6">
        <f t="shared" si="156"/>
        <v>175.34716599616431</v>
      </c>
      <c r="M302" s="2">
        <f>'rockfish harvests'!O309</f>
        <v>1483.0385821589171</v>
      </c>
      <c r="N302">
        <f>'rockfish harvests'!P309</f>
        <v>578731.68372450606</v>
      </c>
      <c r="O302" s="32">
        <v>0.32828362700000002</v>
      </c>
      <c r="P302" s="32">
        <v>2.2094531000000001E-2</v>
      </c>
      <c r="Q302" s="13">
        <f t="shared" si="127"/>
        <v>486.85728473206683</v>
      </c>
      <c r="R302" s="14">
        <f t="shared" si="129"/>
        <v>123751.58696511498</v>
      </c>
      <c r="S302">
        <f t="shared" si="157"/>
        <v>351.7834375935214</v>
      </c>
      <c r="T302" s="6">
        <f t="shared" si="158"/>
        <v>689.4955376833019</v>
      </c>
      <c r="V302" s="13">
        <f t="shared" si="153"/>
        <v>1958.9698775800668</v>
      </c>
      <c r="W302">
        <f t="shared" si="154"/>
        <v>131755.18666911498</v>
      </c>
      <c r="X302">
        <f t="shared" si="159"/>
        <v>362.98097287477066</v>
      </c>
      <c r="Y302" s="6">
        <f t="shared" si="160"/>
        <v>711.44270683455045</v>
      </c>
      <c r="Z302" s="14">
        <f t="shared" si="130"/>
        <v>0.1852917581985305</v>
      </c>
    </row>
    <row r="303" spans="1:26" x14ac:dyDescent="0.3">
      <c r="A303" t="str">
        <f>'rockfish harvests'!A310</f>
        <v>SE</v>
      </c>
      <c r="B303">
        <f>'rockfish harvests'!B310</f>
        <v>2006</v>
      </c>
      <c r="C303" t="str">
        <f>'rockfish harvests'!C310</f>
        <v>NSEO</v>
      </c>
      <c r="D303">
        <f>'rockfish harvests'!D310</f>
        <v>3058</v>
      </c>
      <c r="E303">
        <f>'YE harvest'!E311</f>
        <v>1651</v>
      </c>
      <c r="F303">
        <f>IF([2]species_comp_Region1_forR!$H186&gt;49,[2]species_comp_Region1_forR!$AM186,[2]species_comp_Region1_forR!$AO186)</f>
        <v>0.98809523799999999</v>
      </c>
      <c r="G303">
        <f>IF([2]species_comp_Region1_forR!$H186&gt;49,[2]species_comp_Region1_forR!$AN186,[2]species_comp_Region1_forR!$AP186)</f>
        <v>2.8074099999999999E-5</v>
      </c>
      <c r="H303" s="13">
        <f t="shared" ref="H303:H315" si="161">E303*F303</f>
        <v>1631.3452379380001</v>
      </c>
      <c r="I303">
        <f t="shared" si="152"/>
        <v>76.5244098541</v>
      </c>
      <c r="J303">
        <f t="shared" si="155"/>
        <v>8.7478231494526675</v>
      </c>
      <c r="K303" s="6">
        <f t="shared" si="156"/>
        <v>17.145733372927229</v>
      </c>
      <c r="M303" s="2">
        <f>'rockfish harvests'!O310</f>
        <v>1622.0071474399028</v>
      </c>
      <c r="N303">
        <f>'rockfish harvests'!P310</f>
        <v>692273.78689881065</v>
      </c>
      <c r="O303">
        <f>IF([2]species_comp_Region1_forR!$D208&gt;49,[2]species_comp_Region1_forR!$AI208,[2]species_comp_Region1_forR!$AK208)</f>
        <v>0.56060606099999999</v>
      </c>
      <c r="P303">
        <f>IF([2]species_comp_Region1_forR!$D208&gt;49,[2]species_comp_Region1_forR!$AJ208,[2]species_comp_Region1_forR!$AL208)</f>
        <v>3.7896449999999999E-3</v>
      </c>
      <c r="Q303" s="13">
        <f t="shared" si="127"/>
        <v>909.30703784013019</v>
      </c>
      <c r="R303" s="14">
        <f t="shared" si="129"/>
        <v>230160.89737064907</v>
      </c>
      <c r="S303">
        <f t="shared" si="157"/>
        <v>479.75087010931941</v>
      </c>
      <c r="T303" s="6">
        <f t="shared" si="158"/>
        <v>940.31170541426604</v>
      </c>
      <c r="V303" s="13">
        <f t="shared" si="153"/>
        <v>2540.6522757781304</v>
      </c>
      <c r="W303">
        <f t="shared" si="154"/>
        <v>230237.42178050315</v>
      </c>
      <c r="X303">
        <f t="shared" si="159"/>
        <v>479.83061780226484</v>
      </c>
      <c r="Y303" s="6">
        <f t="shared" si="160"/>
        <v>940.46801089243911</v>
      </c>
      <c r="Z303" s="14">
        <f t="shared" si="130"/>
        <v>0.18886119221305331</v>
      </c>
    </row>
    <row r="304" spans="1:26" x14ac:dyDescent="0.3">
      <c r="A304" t="str">
        <f>'rockfish harvests'!A311</f>
        <v>SE</v>
      </c>
      <c r="B304">
        <f>'rockfish harvests'!B311</f>
        <v>2007</v>
      </c>
      <c r="C304" t="str">
        <f>'rockfish harvests'!C311</f>
        <v>NSEO</v>
      </c>
      <c r="D304">
        <f>'rockfish harvests'!D311</f>
        <v>4266</v>
      </c>
      <c r="E304">
        <f>'YE harvest'!E312</f>
        <v>1748</v>
      </c>
      <c r="F304">
        <f>IF([2]species_comp_Region1_forR!$H187&gt;49,[2]species_comp_Region1_forR!$AM187,[2]species_comp_Region1_forR!$AO187)</f>
        <v>0.98697068399999999</v>
      </c>
      <c r="G304">
        <f>IF([2]species_comp_Region1_forR!$H187&gt;49,[2]species_comp_Region1_forR!$AN187,[2]species_comp_Region1_forR!$AP187)</f>
        <v>2.0978100000000002E-5</v>
      </c>
      <c r="H304" s="13">
        <f t="shared" si="161"/>
        <v>1725.2247556319999</v>
      </c>
      <c r="I304">
        <f t="shared" si="152"/>
        <v>64.098668462399999</v>
      </c>
      <c r="J304">
        <f t="shared" si="155"/>
        <v>8.0061644039077784</v>
      </c>
      <c r="K304" s="6">
        <f t="shared" si="156"/>
        <v>15.692082231659246</v>
      </c>
      <c r="M304" s="2">
        <f>'rockfish harvests'!O311</f>
        <v>2262.7477079720811</v>
      </c>
      <c r="N304">
        <f>'rockfish harvests'!P311</f>
        <v>1347238.9410750614</v>
      </c>
      <c r="O304">
        <f>IF([2]species_comp_Region1_forR!$D209&gt;49,[2]species_comp_Region1_forR!$AI209,[2]species_comp_Region1_forR!$AK209)</f>
        <v>0.63934426200000005</v>
      </c>
      <c r="P304">
        <f>IF([2]species_comp_Region1_forR!$D209&gt;49,[2]species_comp_Region1_forR!$AJ209,[2]species_comp_Region1_forR!$AL209)</f>
        <v>3.8430529999999999E-3</v>
      </c>
      <c r="Q304" s="13">
        <f t="shared" si="127"/>
        <v>1446.6747634456019</v>
      </c>
      <c r="R304" s="14">
        <f t="shared" si="129"/>
        <v>575552.89828932728</v>
      </c>
      <c r="S304">
        <f t="shared" si="157"/>
        <v>758.65202714375403</v>
      </c>
      <c r="T304" s="6">
        <f t="shared" si="158"/>
        <v>1486.9579732017578</v>
      </c>
      <c r="V304" s="13">
        <f t="shared" si="153"/>
        <v>3171.8995190776018</v>
      </c>
      <c r="W304">
        <f t="shared" si="154"/>
        <v>575616.99695778964</v>
      </c>
      <c r="X304">
        <f t="shared" si="159"/>
        <v>758.69427107220838</v>
      </c>
      <c r="Y304" s="6">
        <f t="shared" si="160"/>
        <v>1487.0407713015284</v>
      </c>
      <c r="Z304" s="14">
        <f t="shared" si="130"/>
        <v>0.23919240395510355</v>
      </c>
    </row>
    <row r="305" spans="1:26" x14ac:dyDescent="0.3">
      <c r="A305" t="str">
        <f>'rockfish harvests'!A312</f>
        <v>SE</v>
      </c>
      <c r="B305">
        <f>'rockfish harvests'!B312</f>
        <v>2008</v>
      </c>
      <c r="C305" t="str">
        <f>'rockfish harvests'!C312</f>
        <v>NSEO</v>
      </c>
      <c r="D305">
        <f>'rockfish harvests'!D312</f>
        <v>5010</v>
      </c>
      <c r="E305">
        <f>'YE harvest'!E313</f>
        <v>1963</v>
      </c>
      <c r="F305">
        <f>IF([2]species_comp_Region1_forR!$H188&gt;49,[2]species_comp_Region1_forR!$AM188,[2]species_comp_Region1_forR!$AO188)</f>
        <v>0.94631710400000002</v>
      </c>
      <c r="G305">
        <f>IF([2]species_comp_Region1_forR!$H188&gt;49,[2]species_comp_Region1_forR!$AN188,[2]species_comp_Region1_forR!$AP188)</f>
        <v>6.3501299999999995E-5</v>
      </c>
      <c r="H305" s="13">
        <f t="shared" si="161"/>
        <v>1857.6204751519999</v>
      </c>
      <c r="I305">
        <f t="shared" si="152"/>
        <v>244.69394087969997</v>
      </c>
      <c r="J305">
        <f t="shared" si="155"/>
        <v>15.642696087302213</v>
      </c>
      <c r="K305" s="6">
        <f t="shared" si="156"/>
        <v>30.659684331112334</v>
      </c>
      <c r="M305" s="2">
        <f>'rockfish harvests'!O312</f>
        <v>2657.3760002203771</v>
      </c>
      <c r="N305">
        <f>'rockfish harvests'!P312</f>
        <v>1858139.7621286947</v>
      </c>
      <c r="O305">
        <f>IF([2]species_comp_Region1_forR!$D210&gt;49,[2]species_comp_Region1_forR!$AI210,[2]species_comp_Region1_forR!$AK210)</f>
        <v>0.27722772299999998</v>
      </c>
      <c r="P305">
        <f>IF([2]species_comp_Region1_forR!$D210&gt;49,[2]species_comp_Region1_forR!$AJ210,[2]species_comp_Region1_forR!$AL210)</f>
        <v>2.003725E-3</v>
      </c>
      <c r="Q305" s="13">
        <f t="shared" si="127"/>
        <v>736.69829769594264</v>
      </c>
      <c r="R305" s="14">
        <f t="shared" si="129"/>
        <v>160680.52251437982</v>
      </c>
      <c r="S305">
        <f t="shared" si="157"/>
        <v>400.84975054798252</v>
      </c>
      <c r="T305" s="6">
        <f t="shared" si="158"/>
        <v>785.66551107404575</v>
      </c>
      <c r="V305" s="13">
        <f t="shared" si="153"/>
        <v>2594.3187728479425</v>
      </c>
      <c r="W305">
        <f t="shared" si="154"/>
        <v>160925.21645525951</v>
      </c>
      <c r="X305">
        <f t="shared" si="159"/>
        <v>401.15485346092913</v>
      </c>
      <c r="Y305" s="6">
        <f t="shared" si="160"/>
        <v>786.26351278342111</v>
      </c>
      <c r="Z305" s="14">
        <f t="shared" si="130"/>
        <v>0.15462820439007074</v>
      </c>
    </row>
    <row r="306" spans="1:26" x14ac:dyDescent="0.3">
      <c r="A306" t="str">
        <f>'rockfish harvests'!A313</f>
        <v>SE</v>
      </c>
      <c r="B306">
        <f>'rockfish harvests'!B313</f>
        <v>2009</v>
      </c>
      <c r="C306" t="str">
        <f>'rockfish harvests'!C313</f>
        <v>NSEO</v>
      </c>
      <c r="D306">
        <f>'rockfish harvests'!D313</f>
        <v>2818</v>
      </c>
      <c r="E306">
        <f>'YE harvest'!E314</f>
        <v>864</v>
      </c>
      <c r="F306">
        <f>IF([2]species_comp_Region1_forR!$H189&gt;49,[2]species_comp_Region1_forR!$AM189,[2]species_comp_Region1_forR!$AO189)</f>
        <v>0.97084548100000001</v>
      </c>
      <c r="G306">
        <f>IF([2]species_comp_Region1_forR!$H189&gt;49,[2]species_comp_Region1_forR!$AN189,[2]species_comp_Region1_forR!$AP189)</f>
        <v>8.2761800000000004E-5</v>
      </c>
      <c r="H306" s="13">
        <f t="shared" si="161"/>
        <v>838.81049558400002</v>
      </c>
      <c r="I306">
        <f t="shared" si="152"/>
        <v>61.781352652800003</v>
      </c>
      <c r="J306">
        <f t="shared" si="155"/>
        <v>7.8601114911176673</v>
      </c>
      <c r="K306" s="6">
        <f t="shared" si="156"/>
        <v>15.405818522590627</v>
      </c>
      <c r="M306" s="2">
        <f>'rockfish harvests'!O313</f>
        <v>1494.7076983275492</v>
      </c>
      <c r="N306">
        <f>'rockfish harvests'!P313</f>
        <v>587874.87939866644</v>
      </c>
      <c r="O306">
        <f>IF([2]species_comp_Region1_forR!$D211&gt;49,[2]species_comp_Region1_forR!$AI211,[2]species_comp_Region1_forR!$AK211)</f>
        <v>0.448717949</v>
      </c>
      <c r="P306">
        <f>IF([2]species_comp_Region1_forR!$D211&gt;49,[2]species_comp_Region1_forR!$AJ211,[2]species_comp_Region1_forR!$AL211)</f>
        <v>3.212599E-3</v>
      </c>
      <c r="Q306" s="13">
        <f t="shared" si="127"/>
        <v>670.70217274804861</v>
      </c>
      <c r="R306" s="14">
        <f t="shared" si="129"/>
        <v>127433.35017271087</v>
      </c>
      <c r="S306">
        <f t="shared" si="157"/>
        <v>356.97808080148405</v>
      </c>
      <c r="T306" s="6">
        <f t="shared" si="158"/>
        <v>699.67703837090869</v>
      </c>
      <c r="V306" s="13">
        <f t="shared" si="153"/>
        <v>1509.5126683320486</v>
      </c>
      <c r="W306">
        <f t="shared" si="154"/>
        <v>127495.13152536367</v>
      </c>
      <c r="X306">
        <f t="shared" si="159"/>
        <v>357.06460413399094</v>
      </c>
      <c r="Y306" s="6">
        <f t="shared" si="160"/>
        <v>699.84662410262229</v>
      </c>
      <c r="Z306" s="14">
        <f t="shared" si="130"/>
        <v>0.23654296623328977</v>
      </c>
    </row>
    <row r="307" spans="1:26" x14ac:dyDescent="0.3">
      <c r="A307" t="str">
        <f>'rockfish harvests'!A314</f>
        <v>SE</v>
      </c>
      <c r="B307">
        <f>'rockfish harvests'!B314</f>
        <v>2010</v>
      </c>
      <c r="C307" t="str">
        <f>'rockfish harvests'!C314</f>
        <v>NSEO</v>
      </c>
      <c r="D307">
        <f>'rockfish harvests'!D314</f>
        <v>4613</v>
      </c>
      <c r="E307">
        <f>'YE harvest'!E315</f>
        <v>1642</v>
      </c>
      <c r="F307">
        <f>IF([2]species_comp_Region1_forR!$H190&gt;49,[2]species_comp_Region1_forR!$AM190,[2]species_comp_Region1_forR!$AO190)</f>
        <v>0.94716981099999997</v>
      </c>
      <c r="G307">
        <f>IF([2]species_comp_Region1_forR!$H190&gt;49,[2]species_comp_Region1_forR!$AN190,[2]species_comp_Region1_forR!$AP190)</f>
        <v>9.4592000000000005E-5</v>
      </c>
      <c r="H307" s="13">
        <f t="shared" si="161"/>
        <v>1555.2528296620001</v>
      </c>
      <c r="I307">
        <f t="shared" si="152"/>
        <v>255.03554508800002</v>
      </c>
      <c r="J307">
        <f t="shared" si="155"/>
        <v>15.969832343766168</v>
      </c>
      <c r="K307" s="6">
        <f t="shared" si="156"/>
        <v>31.300871393781687</v>
      </c>
      <c r="M307" s="2">
        <f>'rockfish harvests'!O314</f>
        <v>2446.8014948136924</v>
      </c>
      <c r="N307">
        <f>'rockfish harvests'!P314</f>
        <v>1575323.7998180711</v>
      </c>
      <c r="O307">
        <f>IF([2]species_comp_Region1_forR!$D212&gt;49,[2]species_comp_Region1_forR!$AI212,[2]species_comp_Region1_forR!$AK212)</f>
        <v>0.42592592600000001</v>
      </c>
      <c r="P307">
        <f>IF([2]species_comp_Region1_forR!$D212&gt;49,[2]species_comp_Region1_forR!$AJ212,[2]species_comp_Region1_forR!$AL212)</f>
        <v>1.518714E-3</v>
      </c>
      <c r="Q307" s="13">
        <f t="shared" si="127"/>
        <v>1042.1561924167063</v>
      </c>
      <c r="R307" s="14">
        <f t="shared" si="129"/>
        <v>297268.81052342849</v>
      </c>
      <c r="S307">
        <f t="shared" si="157"/>
        <v>545.22363349677767</v>
      </c>
      <c r="T307" s="6">
        <f t="shared" si="158"/>
        <v>1068.6383216536842</v>
      </c>
      <c r="V307" s="13">
        <f t="shared" si="153"/>
        <v>2597.4090220787066</v>
      </c>
      <c r="W307">
        <f t="shared" si="154"/>
        <v>297523.84606851649</v>
      </c>
      <c r="X307">
        <f t="shared" si="159"/>
        <v>545.45746494893297</v>
      </c>
      <c r="Y307" s="6">
        <f t="shared" si="160"/>
        <v>1069.0966312999085</v>
      </c>
      <c r="Z307" s="14">
        <f t="shared" si="130"/>
        <v>0.21000060456878036</v>
      </c>
    </row>
    <row r="308" spans="1:26" x14ac:dyDescent="0.3">
      <c r="A308" t="str">
        <f>'rockfish harvests'!A315</f>
        <v>SE</v>
      </c>
      <c r="B308">
        <f>'rockfish harvests'!B315</f>
        <v>2011</v>
      </c>
      <c r="C308" t="str">
        <f>'rockfish harvests'!C315</f>
        <v>NSEO</v>
      </c>
      <c r="D308">
        <f>'rockfish harvests'!D315</f>
        <v>8950</v>
      </c>
      <c r="E308">
        <f>'YE harvest'!E316</f>
        <v>2118</v>
      </c>
      <c r="F308">
        <f>IF([2]species_comp_Region1_forR!$H191&gt;49,[2]species_comp_Region1_forR!$AM191,[2]species_comp_Region1_forR!$AO191)</f>
        <v>0.92230215800000004</v>
      </c>
      <c r="G308">
        <f>IF([2]species_comp_Region1_forR!$H191&gt;49,[2]species_comp_Region1_forR!$AN191,[2]species_comp_Region1_forR!$AP191)</f>
        <v>1.0325800000000001E-4</v>
      </c>
      <c r="H308" s="13">
        <f t="shared" si="161"/>
        <v>1953.435970644</v>
      </c>
      <c r="I308">
        <f t="shared" si="152"/>
        <v>463.20754039200006</v>
      </c>
      <c r="J308">
        <f t="shared" si="155"/>
        <v>21.522256861026449</v>
      </c>
      <c r="K308" s="6">
        <f t="shared" si="156"/>
        <v>42.183623447611836</v>
      </c>
      <c r="M308" s="2">
        <f>'rockfish harvests'!O315</f>
        <v>2109.8638720829731</v>
      </c>
      <c r="N308">
        <f>'rockfish harvests'!P315</f>
        <v>736850.51155388099</v>
      </c>
      <c r="O308">
        <f>IF([2]species_comp_Region1_forR!$D213&gt;49,[2]species_comp_Region1_forR!$AI213,[2]species_comp_Region1_forR!$AK213)</f>
        <v>0.37575757599999998</v>
      </c>
      <c r="P308">
        <f>IF([2]species_comp_Region1_forR!$D213&gt;49,[2]species_comp_Region1_forR!$AJ213,[2]species_comp_Region1_forR!$AL213)</f>
        <v>1.430267E-3</v>
      </c>
      <c r="Q308" s="13">
        <f t="shared" si="127"/>
        <v>792.79733426387202</v>
      </c>
      <c r="R308" s="14">
        <f t="shared" si="129"/>
        <v>111459.45435579807</v>
      </c>
      <c r="S308">
        <f t="shared" si="157"/>
        <v>333.85543930838998</v>
      </c>
      <c r="T308" s="6">
        <f t="shared" si="158"/>
        <v>654.35666104444431</v>
      </c>
      <c r="V308" s="13">
        <f t="shared" si="153"/>
        <v>2746.233304907872</v>
      </c>
      <c r="W308">
        <f t="shared" si="154"/>
        <v>111922.66189619007</v>
      </c>
      <c r="X308">
        <f t="shared" si="159"/>
        <v>334.54844476725651</v>
      </c>
      <c r="Y308" s="6">
        <f t="shared" si="160"/>
        <v>655.71495174382278</v>
      </c>
      <c r="Z308" s="14">
        <f t="shared" si="130"/>
        <v>0.12182083880833264</v>
      </c>
    </row>
    <row r="309" spans="1:26" x14ac:dyDescent="0.3">
      <c r="A309" t="str">
        <f>'rockfish harvests'!A316</f>
        <v>SE</v>
      </c>
      <c r="B309">
        <f>'rockfish harvests'!B316</f>
        <v>2012</v>
      </c>
      <c r="C309" t="str">
        <f>'rockfish harvests'!C316</f>
        <v>NSEO</v>
      </c>
      <c r="D309">
        <f>'rockfish harvests'!D316</f>
        <v>8600</v>
      </c>
      <c r="E309">
        <f>'YE harvest'!E317</f>
        <v>2133</v>
      </c>
      <c r="F309">
        <f>IF([2]species_comp_Region1_forR!$H192&gt;49,[2]species_comp_Region1_forR!$AM192,[2]species_comp_Region1_forR!$AO192)</f>
        <v>0.90105540900000003</v>
      </c>
      <c r="G309">
        <f>IF([2]species_comp_Region1_forR!$H192&gt;49,[2]species_comp_Region1_forR!$AN192,[2]species_comp_Region1_forR!$AP192)</f>
        <v>1.17774E-4</v>
      </c>
      <c r="H309" s="13">
        <f t="shared" si="161"/>
        <v>1921.951187397</v>
      </c>
      <c r="I309">
        <f t="shared" si="152"/>
        <v>535.83507228600001</v>
      </c>
      <c r="J309">
        <f t="shared" si="155"/>
        <v>23.148111635422879</v>
      </c>
      <c r="K309" s="6">
        <f t="shared" si="156"/>
        <v>45.370298805428838</v>
      </c>
      <c r="M309" s="2">
        <f>'rockfish harvests'!O316</f>
        <v>4056.1403508771928</v>
      </c>
      <c r="N309">
        <f>'rockfish harvests'!P316</f>
        <v>2425591.2838210762</v>
      </c>
      <c r="O309">
        <f>IF([2]species_comp_Region1_forR!$D214&gt;49,[2]species_comp_Region1_forR!$AI214,[2]species_comp_Region1_forR!$AK214)</f>
        <v>0.28793774300000002</v>
      </c>
      <c r="P309">
        <f>IF([2]species_comp_Region1_forR!$D214&gt;49,[2]species_comp_Region1_forR!$AJ214,[2]species_comp_Region1_forR!$AL214)</f>
        <v>8.0089699999999996E-4</v>
      </c>
      <c r="Q309" s="13">
        <f t="shared" si="127"/>
        <v>1167.9158979228071</v>
      </c>
      <c r="R309" s="14">
        <f t="shared" si="129"/>
        <v>216220.49717514805</v>
      </c>
      <c r="S309">
        <f t="shared" si="157"/>
        <v>464.9951582276401</v>
      </c>
      <c r="T309" s="6">
        <f t="shared" si="158"/>
        <v>911.3905101261746</v>
      </c>
      <c r="V309" s="13">
        <f t="shared" si="153"/>
        <v>3089.8670853198073</v>
      </c>
      <c r="W309" s="14">
        <f>R309+I309</f>
        <v>216756.33224743404</v>
      </c>
      <c r="X309">
        <f t="shared" si="159"/>
        <v>465.57097444689788</v>
      </c>
      <c r="Y309" s="6">
        <f t="shared" si="160"/>
        <v>912.51910991591978</v>
      </c>
      <c r="Z309" s="14">
        <f t="shared" si="130"/>
        <v>0.1506766995444111</v>
      </c>
    </row>
    <row r="310" spans="1:26" x14ac:dyDescent="0.3">
      <c r="A310" t="str">
        <f>'rockfish harvests'!A317</f>
        <v>SE</v>
      </c>
      <c r="B310">
        <f>'rockfish harvests'!B317</f>
        <v>2013</v>
      </c>
      <c r="C310" t="str">
        <f>'rockfish harvests'!C317</f>
        <v>NSEO</v>
      </c>
      <c r="D310">
        <f>'rockfish harvests'!D317</f>
        <v>6970</v>
      </c>
      <c r="E310">
        <f>'YE harvest'!E318</f>
        <v>1675</v>
      </c>
      <c r="F310">
        <f>IF([2]species_comp_Region1_forR!$H193&gt;49,[2]species_comp_Region1_forR!$AM193,[2]species_comp_Region1_forR!$AO193)</f>
        <v>0.868102288</v>
      </c>
      <c r="G310">
        <f>IF([2]species_comp_Region1_forR!$H193&gt;49,[2]species_comp_Region1_forR!$AN193,[2]species_comp_Region1_forR!$AP193)</f>
        <v>1.5431399999999999E-4</v>
      </c>
      <c r="H310" s="13">
        <f t="shared" si="161"/>
        <v>1454.0713324000001</v>
      </c>
      <c r="I310">
        <f t="shared" si="152"/>
        <v>432.94721624999994</v>
      </c>
      <c r="J310">
        <f t="shared" si="155"/>
        <v>20.807383695457723</v>
      </c>
      <c r="K310" s="6">
        <f t="shared" si="156"/>
        <v>40.782472043097137</v>
      </c>
      <c r="M310" s="2">
        <f>'rockfish harvests'!O317</f>
        <v>3563.4638032559742</v>
      </c>
      <c r="N310">
        <f>'rockfish harvests'!P317</f>
        <v>1983952.159720307</v>
      </c>
      <c r="O310">
        <f>IF([2]species_comp_Region1_forR!$D215&gt;49,[2]species_comp_Region1_forR!$AI215,[2]species_comp_Region1_forR!$AK215)</f>
        <v>0.27777777799999998</v>
      </c>
      <c r="P310">
        <f>IF([2]species_comp_Region1_forR!$D215&gt;49,[2]species_comp_Region1_forR!$AJ215,[2]species_comp_Region1_forR!$AL215)</f>
        <v>6.57762E-4</v>
      </c>
      <c r="Q310" s="13">
        <f t="shared" si="127"/>
        <v>989.85105725187361</v>
      </c>
      <c r="R310" s="14">
        <f t="shared" si="129"/>
        <v>162740.13924395884</v>
      </c>
      <c r="S310">
        <f t="shared" si="157"/>
        <v>403.41063352861539</v>
      </c>
      <c r="T310" s="6">
        <f t="shared" si="158"/>
        <v>790.68484171608611</v>
      </c>
      <c r="V310" s="13">
        <f t="shared" si="153"/>
        <v>2443.9223896518738</v>
      </c>
      <c r="W310">
        <f t="shared" si="154"/>
        <v>163173.08646020884</v>
      </c>
      <c r="X310">
        <f t="shared" si="159"/>
        <v>403.94688569192959</v>
      </c>
      <c r="Y310" s="6">
        <f t="shared" si="160"/>
        <v>791.73589595618193</v>
      </c>
      <c r="Z310" s="14">
        <f t="shared" si="130"/>
        <v>0.16528629853481971</v>
      </c>
    </row>
    <row r="311" spans="1:26" x14ac:dyDescent="0.3">
      <c r="A311" t="str">
        <f>'rockfish harvests'!A318</f>
        <v>SE</v>
      </c>
      <c r="B311">
        <f>'rockfish harvests'!B318</f>
        <v>2014</v>
      </c>
      <c r="C311" t="str">
        <f>'rockfish harvests'!C318</f>
        <v>NSEO</v>
      </c>
      <c r="D311">
        <f>'rockfish harvests'!D318</f>
        <v>8688</v>
      </c>
      <c r="E311">
        <f>'YE harvest'!E319</f>
        <v>2260</v>
      </c>
      <c r="F311">
        <f>IF([2]species_comp_Region1_forR!$H194&gt;49,[2]species_comp_Region1_forR!$AM194,[2]species_comp_Region1_forR!$AO194)</f>
        <v>0.875</v>
      </c>
      <c r="G311">
        <f>IF([2]species_comp_Region1_forR!$H194&gt;49,[2]species_comp_Region1_forR!$AN194,[2]species_comp_Region1_forR!$AP194)</f>
        <v>1.32898E-4</v>
      </c>
      <c r="H311" s="13">
        <f t="shared" si="161"/>
        <v>1977.5</v>
      </c>
      <c r="I311">
        <f t="shared" si="152"/>
        <v>678.78982480000002</v>
      </c>
      <c r="J311">
        <f t="shared" si="155"/>
        <v>26.053595237509928</v>
      </c>
      <c r="K311" s="6">
        <f t="shared" si="156"/>
        <v>51.065046665519461</v>
      </c>
      <c r="M311" s="2">
        <f>'rockfish harvests'!O318</f>
        <v>9722.2508839872025</v>
      </c>
      <c r="N311">
        <f>'rockfish harvests'!P318</f>
        <v>9687106.4801495951</v>
      </c>
      <c r="O311">
        <f>IF([2]species_comp_Region1_forR!$D216&gt;49,[2]species_comp_Region1_forR!$AI216,[2]species_comp_Region1_forR!$AK216)</f>
        <v>0.16745283</v>
      </c>
      <c r="P311">
        <f>IF([2]species_comp_Region1_forR!$D216&gt;49,[2]species_comp_Region1_forR!$AJ216,[2]species_comp_Region1_forR!$AL216)</f>
        <v>3.2958E-4</v>
      </c>
      <c r="Q311" s="13">
        <f t="shared" si="127"/>
        <v>1628.0184244936588</v>
      </c>
      <c r="R311" s="14">
        <f t="shared" si="129"/>
        <v>305976.11835382611</v>
      </c>
      <c r="S311">
        <f t="shared" si="157"/>
        <v>553.15108094789628</v>
      </c>
      <c r="T311" s="6">
        <f t="shared" si="158"/>
        <v>1084.1761186578767</v>
      </c>
      <c r="V311" s="13">
        <f t="shared" si="153"/>
        <v>3605.518424493659</v>
      </c>
      <c r="W311">
        <f t="shared" si="154"/>
        <v>306654.90817862609</v>
      </c>
      <c r="X311">
        <f t="shared" si="159"/>
        <v>553.7643074256647</v>
      </c>
      <c r="Y311" s="6">
        <f t="shared" si="160"/>
        <v>1085.3780425543027</v>
      </c>
      <c r="Z311" s="14">
        <f t="shared" si="130"/>
        <v>0.15358798436966317</v>
      </c>
    </row>
    <row r="312" spans="1:26" x14ac:dyDescent="0.3">
      <c r="A312" t="str">
        <f>'rockfish harvests'!A319</f>
        <v>SE</v>
      </c>
      <c r="B312">
        <f>'rockfish harvests'!B319</f>
        <v>2015</v>
      </c>
      <c r="C312" t="str">
        <f>'rockfish harvests'!C319</f>
        <v>NSEO</v>
      </c>
      <c r="D312">
        <f>'rockfish harvests'!D319</f>
        <v>9156</v>
      </c>
      <c r="E312">
        <f>'YE harvest'!E320</f>
        <v>2579</v>
      </c>
      <c r="F312">
        <f>IF([2]species_comp_Region1_forR!$H195&gt;49,[2]species_comp_Region1_forR!$AM195,[2]species_comp_Region1_forR!$AO195)</f>
        <v>0.90345528500000005</v>
      </c>
      <c r="G312">
        <f>IF([2]species_comp_Region1_forR!$H195&gt;49,[2]species_comp_Region1_forR!$AN195,[2]species_comp_Region1_forR!$AP195)</f>
        <v>8.8732299999999997E-5</v>
      </c>
      <c r="H312" s="13">
        <f t="shared" si="161"/>
        <v>2330.0111800150003</v>
      </c>
      <c r="I312">
        <f t="shared" si="152"/>
        <v>590.17991178429997</v>
      </c>
      <c r="J312">
        <f t="shared" si="155"/>
        <v>24.293618746170772</v>
      </c>
      <c r="K312" s="6">
        <f t="shared" si="156"/>
        <v>47.615492742494709</v>
      </c>
      <c r="M312" s="2">
        <f>'rockfish harvests'!O319</f>
        <v>4529.4803554223308</v>
      </c>
      <c r="N312">
        <f>'rockfish harvests'!P319</f>
        <v>3708908.4909766819</v>
      </c>
      <c r="O312">
        <f>IF([2]species_comp_Region1_forR!$D217&gt;49,[2]species_comp_Region1_forR!$AI217,[2]species_comp_Region1_forR!$AK217)</f>
        <v>0.35143770000000002</v>
      </c>
      <c r="P312">
        <f>IF([2]species_comp_Region1_forR!$D217&gt;49,[2]species_comp_Region1_forR!$AJ217,[2]species_comp_Region1_forR!$AL217)</f>
        <v>7.3054200000000004E-4</v>
      </c>
      <c r="Q312" s="13">
        <f t="shared" si="127"/>
        <v>1591.8301583048067</v>
      </c>
      <c r="R312" s="14">
        <f t="shared" si="129"/>
        <v>475779.01838018559</v>
      </c>
      <c r="S312">
        <f t="shared" si="157"/>
        <v>689.767365406762</v>
      </c>
      <c r="T312" s="6">
        <f t="shared" si="158"/>
        <v>1351.9440361972536</v>
      </c>
      <c r="V312" s="13">
        <f t="shared" si="153"/>
        <v>3921.8413383198067</v>
      </c>
      <c r="W312">
        <f t="shared" si="154"/>
        <v>476369.19829196989</v>
      </c>
      <c r="X312">
        <f t="shared" si="159"/>
        <v>690.19504365937746</v>
      </c>
      <c r="Y312" s="6">
        <f t="shared" si="160"/>
        <v>1352.7822855723798</v>
      </c>
      <c r="Z312" s="14">
        <f t="shared" si="130"/>
        <v>0.17598749773877148</v>
      </c>
    </row>
    <row r="313" spans="1:26" x14ac:dyDescent="0.3">
      <c r="A313" t="str">
        <f>'rockfish harvests'!A320</f>
        <v>SE</v>
      </c>
      <c r="B313">
        <f>'rockfish harvests'!B320</f>
        <v>2016</v>
      </c>
      <c r="C313" t="str">
        <f>'rockfish harvests'!C320</f>
        <v>NSEO</v>
      </c>
      <c r="D313">
        <f>'rockfish harvests'!D320</f>
        <v>5839</v>
      </c>
      <c r="E313">
        <f>'YE harvest'!E321</f>
        <v>1492</v>
      </c>
      <c r="F313">
        <f>IF([2]species_comp_Region1_forR!$H196&gt;49,[2]species_comp_Region1_forR!$AM196,[2]species_comp_Region1_forR!$AO196)</f>
        <v>0.93048128299999999</v>
      </c>
      <c r="G313">
        <f>IF([2]species_comp_Region1_forR!$H196&gt;49,[2]species_comp_Region1_forR!$AN196,[2]species_comp_Region1_forR!$AP196)</f>
        <v>8.6594200000000005E-5</v>
      </c>
      <c r="H313" s="13">
        <f t="shared" si="161"/>
        <v>1388.2780742360001</v>
      </c>
      <c r="I313">
        <f t="shared" si="152"/>
        <v>192.76423122880001</v>
      </c>
      <c r="J313">
        <f t="shared" si="155"/>
        <v>13.883955892640973</v>
      </c>
      <c r="K313" s="6">
        <f t="shared" si="156"/>
        <v>27.212553549576306</v>
      </c>
      <c r="M313" s="2">
        <f>'rockfish harvests'!O320</f>
        <v>1660.6278507924235</v>
      </c>
      <c r="N313">
        <f>'rockfish harvests'!P320</f>
        <v>405106.18509878113</v>
      </c>
      <c r="O313">
        <f>IF([2]species_comp_Region1_forR!$D218&gt;49,[2]species_comp_Region1_forR!$AI218,[2]species_comp_Region1_forR!$AK218)</f>
        <v>0.25896414299999998</v>
      </c>
      <c r="P313">
        <f>IF([2]species_comp_Region1_forR!$D218&gt;49,[2]species_comp_Region1_forR!$AJ218,[2]species_comp_Region1_forR!$AL218)</f>
        <v>3.8303700000000003E-4</v>
      </c>
      <c r="Q313" s="13">
        <f t="shared" si="127"/>
        <v>430.04306822239181</v>
      </c>
      <c r="R313" s="14">
        <f t="shared" si="129"/>
        <v>28378.870104254471</v>
      </c>
      <c r="S313">
        <f t="shared" si="157"/>
        <v>168.46029236664191</v>
      </c>
      <c r="T313" s="6">
        <f t="shared" si="158"/>
        <v>330.18217303861815</v>
      </c>
      <c r="V313" s="13">
        <f t="shared" si="153"/>
        <v>1818.3211424583919</v>
      </c>
      <c r="W313">
        <f t="shared" si="154"/>
        <v>28571.634335483272</v>
      </c>
      <c r="X313">
        <f t="shared" si="159"/>
        <v>169.03145960288953</v>
      </c>
      <c r="Y313" s="6">
        <f t="shared" si="160"/>
        <v>331.30166082166346</v>
      </c>
      <c r="Z313" s="14">
        <f t="shared" si="130"/>
        <v>9.2960179396229733E-2</v>
      </c>
    </row>
    <row r="314" spans="1:26" x14ac:dyDescent="0.3">
      <c r="A314" t="str">
        <f>'rockfish harvests'!A321</f>
        <v>SE</v>
      </c>
      <c r="B314">
        <f>'rockfish harvests'!B321</f>
        <v>2017</v>
      </c>
      <c r="C314" t="str">
        <f>'rockfish harvests'!C321</f>
        <v>NSEO</v>
      </c>
      <c r="D314">
        <f>'rockfish harvests'!D321</f>
        <v>9211</v>
      </c>
      <c r="E314">
        <f>'YE harvest'!E322</f>
        <v>1716</v>
      </c>
      <c r="F314">
        <f>IF([2]species_comp_Region1_forR!$H197&gt;49,[2]species_comp_Region1_forR!$AM197,[2]species_comp_Region1_forR!$AO197)</f>
        <v>0.91806020099999996</v>
      </c>
      <c r="G314">
        <f>IF([2]species_comp_Region1_forR!$H197&gt;49,[2]species_comp_Region1_forR!$AN197,[2]species_comp_Region1_forR!$AP197)</f>
        <v>1.2600600000000001E-4</v>
      </c>
      <c r="H314" s="13">
        <f t="shared" si="161"/>
        <v>1575.3913049159999</v>
      </c>
      <c r="I314">
        <f t="shared" si="152"/>
        <v>371.04432393600001</v>
      </c>
      <c r="J314">
        <f t="shared" si="155"/>
        <v>19.262510841943737</v>
      </c>
      <c r="K314" s="6">
        <f t="shared" si="156"/>
        <v>37.75452125020972</v>
      </c>
      <c r="M314" s="2">
        <f>'rockfish harvests'!O321</f>
        <v>6867.0171471927151</v>
      </c>
      <c r="N314">
        <f>'rockfish harvests'!P321</f>
        <v>4662505.6656814301</v>
      </c>
      <c r="O314">
        <f>IF([2]species_comp_Region1_forR!$D219&gt;49,[2]species_comp_Region1_forR!$AI219,[2]species_comp_Region1_forR!$AK219)</f>
        <v>0.16959064300000001</v>
      </c>
      <c r="P314">
        <f>IF([2]species_comp_Region1_forR!$D219&gt;49,[2]species_comp_Region1_forR!$AJ219,[2]species_comp_Region1_forR!$AL219)</f>
        <v>2.7505800000000001E-4</v>
      </c>
      <c r="Q314" s="13">
        <f t="shared" si="127"/>
        <v>1164.5818534844384</v>
      </c>
      <c r="R314" s="14">
        <f t="shared" si="129"/>
        <v>148351.334840631</v>
      </c>
      <c r="S314">
        <f t="shared" si="157"/>
        <v>385.16403627627409</v>
      </c>
      <c r="T314" s="6">
        <f t="shared" si="158"/>
        <v>754.92151110149723</v>
      </c>
      <c r="V314" s="13">
        <f t="shared" si="153"/>
        <v>2739.9731584004385</v>
      </c>
      <c r="W314">
        <f t="shared" si="154"/>
        <v>148722.37916456698</v>
      </c>
      <c r="X314">
        <f t="shared" si="159"/>
        <v>385.64540599437584</v>
      </c>
      <c r="Y314" s="6">
        <f t="shared" si="160"/>
        <v>755.86499574897664</v>
      </c>
      <c r="Z314" s="14">
        <f t="shared" si="130"/>
        <v>0.1407478773330432</v>
      </c>
    </row>
    <row r="315" spans="1:26" x14ac:dyDescent="0.3">
      <c r="A315" t="str">
        <f>'rockfish harvests'!A322</f>
        <v>SE</v>
      </c>
      <c r="B315">
        <f>'rockfish harvests'!B322</f>
        <v>2018</v>
      </c>
      <c r="C315" t="str">
        <f>'rockfish harvests'!C322</f>
        <v>NSEO</v>
      </c>
      <c r="D315">
        <f>'rockfish harvests'!D322</f>
        <v>11024</v>
      </c>
      <c r="E315">
        <f>'YE harvest'!E323</f>
        <v>1835</v>
      </c>
      <c r="F315">
        <f>IF([2]species_comp_Region1_forR!$H198&gt;49,[2]species_comp_Region1_forR!$AM198,[2]species_comp_Region1_forR!$AO198)</f>
        <v>0.88204225400000003</v>
      </c>
      <c r="G315">
        <f>IF([2]species_comp_Region1_forR!$H198&gt;49,[2]species_comp_Region1_forR!$AN198,[2]species_comp_Region1_forR!$AP198)</f>
        <v>1.83499E-4</v>
      </c>
      <c r="H315" s="13">
        <f t="shared" si="161"/>
        <v>1618.54753609</v>
      </c>
      <c r="I315">
        <f t="shared" si="152"/>
        <v>617.88242027499996</v>
      </c>
      <c r="J315">
        <f t="shared" si="155"/>
        <v>24.857240801726164</v>
      </c>
      <c r="K315" s="6">
        <f t="shared" si="156"/>
        <v>48.720191971383279</v>
      </c>
      <c r="M315" s="2">
        <f>'rockfish harvests'!O322</f>
        <v>7836.8836407058479</v>
      </c>
      <c r="N315">
        <f>'rockfish harvests'!P322</f>
        <v>7422148.5356027149</v>
      </c>
      <c r="O315">
        <f>IF([2]species_comp_Region1_forR!$D220&gt;49,[2]species_comp_Region1_forR!$AI220,[2]species_comp_Region1_forR!$AK220)</f>
        <v>0.18895966</v>
      </c>
      <c r="P315">
        <f>IF([2]species_comp_Region1_forR!$D220&gt;49,[2]species_comp_Region1_forR!$AJ220,[2]species_comp_Region1_forR!$AL220)</f>
        <v>3.26072E-4</v>
      </c>
      <c r="Q315" s="13">
        <f t="shared" si="127"/>
        <v>1480.8548682073392</v>
      </c>
      <c r="R315" s="14">
        <f t="shared" si="129"/>
        <v>287459.83889554581</v>
      </c>
      <c r="S315">
        <f t="shared" si="157"/>
        <v>536.15281300721142</v>
      </c>
      <c r="T315" s="6">
        <f t="shared" si="158"/>
        <v>1050.8595134941343</v>
      </c>
      <c r="V315" s="13">
        <f t="shared" si="153"/>
        <v>3099.4024042973392</v>
      </c>
      <c r="W315">
        <f t="shared" si="154"/>
        <v>288077.72131582082</v>
      </c>
      <c r="X315">
        <f t="shared" si="159"/>
        <v>536.7287222758074</v>
      </c>
      <c r="Y315" s="6">
        <f t="shared" si="160"/>
        <v>1051.9882956605825</v>
      </c>
      <c r="Z315" s="14">
        <f t="shared" si="130"/>
        <v>0.17317168029928284</v>
      </c>
    </row>
    <row r="316" spans="1:26" x14ac:dyDescent="0.3">
      <c r="A316" t="str">
        <f>'rockfish harvests'!A323</f>
        <v>SE</v>
      </c>
      <c r="B316">
        <f>'rockfish harvests'!B323</f>
        <v>2019</v>
      </c>
      <c r="C316" t="str">
        <f>'rockfish harvests'!C323</f>
        <v>NSEO</v>
      </c>
      <c r="D316">
        <f>'rockfish harvests'!D323</f>
        <v>11553</v>
      </c>
      <c r="E316">
        <f>'YE harvest'!E324</f>
        <v>1628</v>
      </c>
      <c r="F316">
        <v>0.75125208681135225</v>
      </c>
      <c r="G316">
        <v>3.1249563356679048E-4</v>
      </c>
      <c r="H316" s="13">
        <f>E316*F316</f>
        <v>1223.0383973288815</v>
      </c>
      <c r="I316">
        <f>(E316^2)*G316</f>
        <v>828.23342727528438</v>
      </c>
      <c r="K316" s="6"/>
      <c r="M316" s="2">
        <f>'rockfish harvests'!O323</f>
        <v>6640.6634516724807</v>
      </c>
      <c r="N316">
        <f>'rockfish harvests'!P323</f>
        <v>4892127.8553123055</v>
      </c>
      <c r="O316">
        <v>0.11494252873563218</v>
      </c>
      <c r="P316">
        <v>1.6732030234126736E-4</v>
      </c>
      <c r="Q316" s="13">
        <f>M316*O316</f>
        <v>763.29464961752649</v>
      </c>
      <c r="R316" s="14">
        <f t="shared" si="129"/>
        <v>72830.852773329709</v>
      </c>
      <c r="S316">
        <f>SQRT(R316)</f>
        <v>269.87191920118272</v>
      </c>
      <c r="T316" s="6">
        <f>(1.96*S316)</f>
        <v>528.94896163431815</v>
      </c>
      <c r="V316" s="13">
        <f>Q316+H316</f>
        <v>1986.3330469464081</v>
      </c>
      <c r="W316">
        <f>R316+I316</f>
        <v>73659.086200604987</v>
      </c>
      <c r="X316">
        <f>SQRT(W316)</f>
        <v>271.402074790531</v>
      </c>
      <c r="Y316" s="6">
        <f>(1.96*X316)</f>
        <v>531.94806658944071</v>
      </c>
      <c r="Z316" s="14">
        <f t="shared" si="130"/>
        <v>0.13663472759905884</v>
      </c>
    </row>
    <row r="317" spans="1:26" x14ac:dyDescent="0.3">
      <c r="A317" t="str">
        <f>'rockfish harvests'!A324</f>
        <v>SE</v>
      </c>
      <c r="B317">
        <f>'rockfish harvests'!B324</f>
        <v>2020</v>
      </c>
      <c r="C317" t="str">
        <f>'rockfish harvests'!C324</f>
        <v>NSEO</v>
      </c>
      <c r="D317">
        <f>'rockfish harvests'!D324</f>
        <v>3314</v>
      </c>
      <c r="E317">
        <f>'YE harvest'!E325</f>
        <v>172</v>
      </c>
      <c r="F317" s="26" t="str">
        <f>F242</f>
        <v>0.00735294117647059</v>
      </c>
      <c r="G317" s="26" t="str">
        <f>G242</f>
        <v>2.28446805399873e-06</v>
      </c>
      <c r="H317" s="13">
        <f t="shared" ref="H317:H318" si="162">E317*F317</f>
        <v>1.2647058823529416</v>
      </c>
      <c r="I317">
        <f t="shared" ref="I317:I318" si="163">(E317^2)*G317</f>
        <v>6.758370290949843E-2</v>
      </c>
      <c r="J317">
        <f t="shared" ref="J317" si="164">SQRT(I317)</f>
        <v>0.25996865755221038</v>
      </c>
      <c r="K317" s="6">
        <f t="shared" ref="K317" si="165">(1.96*J317)</f>
        <v>0.50953856880233228</v>
      </c>
      <c r="M317" s="2">
        <f>'rockfish harvests'!O324</f>
        <v>1085.5719163465646</v>
      </c>
      <c r="N317">
        <f>'rockfish harvests'!P324</f>
        <v>110201.41937596143</v>
      </c>
      <c r="O317" s="26">
        <f>O242</f>
        <v>8.1081081081081086E-3</v>
      </c>
      <c r="P317" s="26">
        <f>P242</f>
        <v>2.17950316829684E-5</v>
      </c>
      <c r="Q317" s="13">
        <f t="shared" ref="Q317:Q318" si="166">M317*O317</f>
        <v>8.8019344568640374</v>
      </c>
      <c r="R317" s="14">
        <f t="shared" si="129"/>
        <v>35.331353112818491</v>
      </c>
      <c r="S317">
        <f t="shared" ref="S317:S318" si="167">SQRT(R317)</f>
        <v>5.9440182631632696</v>
      </c>
      <c r="T317" s="6">
        <f t="shared" ref="T317:T318" si="168">(1.96*S317)</f>
        <v>11.650275795800008</v>
      </c>
      <c r="V317" s="13">
        <f t="shared" ref="V317:V318" si="169">Q317+H317</f>
        <v>10.066640339216979</v>
      </c>
      <c r="W317">
        <f t="shared" ref="W317:W318" si="170">R317+I317</f>
        <v>35.398936815727986</v>
      </c>
      <c r="X317">
        <f t="shared" ref="X317:X318" si="171">SQRT(W317)</f>
        <v>5.9497005652156973</v>
      </c>
      <c r="Y317" s="6">
        <f t="shared" ref="Y317:Y318" si="172">(1.96*X317)</f>
        <v>11.661413107822767</v>
      </c>
      <c r="Z317" s="14">
        <f t="shared" ref="Z317:Z318" si="173">X317/V317</f>
        <v>0.59103140320184389</v>
      </c>
    </row>
    <row r="318" spans="1:26" x14ac:dyDescent="0.3">
      <c r="A318" t="str">
        <f>'rockfish harvests'!A325</f>
        <v>SE</v>
      </c>
      <c r="B318">
        <f>'rockfish harvests'!B325</f>
        <v>2021</v>
      </c>
      <c r="C318" t="str">
        <f>'rockfish harvests'!C325</f>
        <v>NSEO</v>
      </c>
      <c r="D318">
        <f>'rockfish harvests'!D325</f>
        <v>9732</v>
      </c>
      <c r="E318">
        <f>'YE harvest'!E326</f>
        <v>638</v>
      </c>
      <c r="F318" s="26">
        <v>1.4471780028943559E-2</v>
      </c>
      <c r="G318" s="26">
        <v>2.0670069002518015E-5</v>
      </c>
      <c r="H318" s="13">
        <f t="shared" si="162"/>
        <v>9.2329956584659918</v>
      </c>
      <c r="I318">
        <f t="shared" si="163"/>
        <v>8.4136275670609422</v>
      </c>
      <c r="K318" s="6"/>
      <c r="M318" s="2">
        <f>'rockfish harvests'!O325</f>
        <v>6262.8946783553529</v>
      </c>
      <c r="N318">
        <f>'rockfish harvests'!P325</f>
        <v>3588518.0359388059</v>
      </c>
      <c r="O318" s="26">
        <v>8.5106382978723406E-3</v>
      </c>
      <c r="P318" s="26">
        <v>1.7991913291332898E-5</v>
      </c>
      <c r="Q318" s="13">
        <f t="shared" si="166"/>
        <v>53.301231305151937</v>
      </c>
      <c r="R318" s="14">
        <f t="shared" si="129"/>
        <v>1030.1962305660113</v>
      </c>
      <c r="S318">
        <f t="shared" si="167"/>
        <v>32.09667008532211</v>
      </c>
      <c r="T318" s="6">
        <f t="shared" si="168"/>
        <v>62.909473367231335</v>
      </c>
      <c r="V318" s="13">
        <f t="shared" si="169"/>
        <v>62.534226963617925</v>
      </c>
      <c r="W318">
        <f t="shared" si="170"/>
        <v>1038.6098581330723</v>
      </c>
      <c r="X318">
        <f t="shared" si="171"/>
        <v>32.227470551271509</v>
      </c>
      <c r="Y318" s="6">
        <f t="shared" si="172"/>
        <v>63.165842280492157</v>
      </c>
      <c r="Z318" s="14">
        <f t="shared" si="173"/>
        <v>0.51535730296980042</v>
      </c>
    </row>
    <row r="319" spans="1:26" x14ac:dyDescent="0.3">
      <c r="A319" t="s">
        <v>151</v>
      </c>
      <c r="B319">
        <v>2022</v>
      </c>
      <c r="C319" t="s">
        <v>41</v>
      </c>
      <c r="D319">
        <f>'rockfish harvests'!D326</f>
        <v>10558</v>
      </c>
      <c r="E319">
        <f>'YE harvest'!E327</f>
        <v>884</v>
      </c>
      <c r="F319">
        <v>0</v>
      </c>
      <c r="G319">
        <v>0</v>
      </c>
      <c r="H319" s="105">
        <f>E319*F319</f>
        <v>0</v>
      </c>
      <c r="I319">
        <f t="shared" ref="I319" si="174">(E319^2)*G319</f>
        <v>0</v>
      </c>
      <c r="K319" s="6"/>
      <c r="M319" s="2">
        <f>'rockfish harvests'!O326</f>
        <v>4984.0158085410021</v>
      </c>
      <c r="N319">
        <f>'rockfish harvests'!P326</f>
        <v>3116937.6581412847</v>
      </c>
      <c r="O319">
        <v>0</v>
      </c>
      <c r="P319">
        <v>0</v>
      </c>
      <c r="Q319" s="106">
        <f t="shared" ref="Q319" si="175">M319*O319</f>
        <v>0</v>
      </c>
      <c r="R319" s="14">
        <f t="shared" si="129"/>
        <v>0</v>
      </c>
      <c r="S319" s="107">
        <f t="shared" ref="S319" si="176">SQRT(R319)</f>
        <v>0</v>
      </c>
      <c r="T319" s="6"/>
      <c r="U319" s="107"/>
      <c r="V319" s="106">
        <f t="shared" ref="V319" si="177">Q319+H319</f>
        <v>0</v>
      </c>
      <c r="W319">
        <f t="shared" ref="W319" si="178">R319+I319</f>
        <v>0</v>
      </c>
      <c r="X319">
        <f t="shared" ref="X319" si="179">SQRT(W319)</f>
        <v>0</v>
      </c>
      <c r="Y319" s="6">
        <f t="shared" ref="Y319" si="180">(1.96*X319)</f>
        <v>0</v>
      </c>
      <c r="Z319" s="14" t="e">
        <f t="shared" ref="Z319" si="181">X319/V319</f>
        <v>#DIV/0!</v>
      </c>
    </row>
    <row r="320" spans="1:26" x14ac:dyDescent="0.3">
      <c r="A320" t="str">
        <f>'rockfish harvests'!A327</f>
        <v>SE</v>
      </c>
      <c r="B320">
        <f>'rockfish harvests'!B327</f>
        <v>1998</v>
      </c>
      <c r="C320" t="str">
        <f>'rockfish harvests'!C327</f>
        <v>SSEI</v>
      </c>
      <c r="D320">
        <f>'rockfish harvests'!D327</f>
        <v>6261</v>
      </c>
      <c r="E320">
        <f>'YE harvest'!E328</f>
        <v>3492</v>
      </c>
      <c r="F320" s="32">
        <v>0.82773213099999998</v>
      </c>
      <c r="G320" s="32">
        <v>1.0723709999999999E-3</v>
      </c>
      <c r="H320" s="13">
        <f t="shared" ref="H320:H327" si="182">E320*F320</f>
        <v>2890.440601452</v>
      </c>
      <c r="I320">
        <f t="shared" si="152"/>
        <v>13076.560605743998</v>
      </c>
      <c r="J320">
        <f t="shared" si="155"/>
        <v>114.3527901091355</v>
      </c>
      <c r="K320" s="6">
        <f t="shared" si="156"/>
        <v>224.13146861390558</v>
      </c>
      <c r="M320" s="2">
        <f>'rockfish harvests'!O327</f>
        <v>7422.4767633387146</v>
      </c>
      <c r="N320">
        <f>'rockfish harvests'!P327</f>
        <v>2528282.455604976</v>
      </c>
      <c r="O320" s="32">
        <v>0.70954271800000002</v>
      </c>
      <c r="P320" s="32">
        <v>1.9049780000000001E-3</v>
      </c>
      <c r="Q320" s="13">
        <f t="shared" si="127"/>
        <v>5266.5643369511945</v>
      </c>
      <c r="R320" s="14">
        <f t="shared" si="129"/>
        <v>1382633.5811964774</v>
      </c>
      <c r="S320">
        <f t="shared" si="157"/>
        <v>1175.8544047612686</v>
      </c>
      <c r="T320" s="6">
        <f t="shared" si="158"/>
        <v>2304.6746333320866</v>
      </c>
      <c r="V320" s="13">
        <f t="shared" si="153"/>
        <v>8157.0049384031945</v>
      </c>
      <c r="W320">
        <f t="shared" si="154"/>
        <v>1395710.1418022213</v>
      </c>
      <c r="X320">
        <f t="shared" si="159"/>
        <v>1181.4017698489456</v>
      </c>
      <c r="Y320" s="6">
        <f t="shared" si="160"/>
        <v>2315.5474689039333</v>
      </c>
      <c r="Z320" s="14">
        <f t="shared" si="130"/>
        <v>0.14483278835432645</v>
      </c>
    </row>
    <row r="321" spans="1:26" x14ac:dyDescent="0.3">
      <c r="A321" t="str">
        <f>'rockfish harvests'!A328</f>
        <v>SE</v>
      </c>
      <c r="B321">
        <f>'rockfish harvests'!B328</f>
        <v>1999</v>
      </c>
      <c r="C321" t="str">
        <f>'rockfish harvests'!C328</f>
        <v>SSEI</v>
      </c>
      <c r="D321">
        <f>'rockfish harvests'!D328</f>
        <v>7370</v>
      </c>
      <c r="E321">
        <f>'YE harvest'!E329</f>
        <v>3538</v>
      </c>
      <c r="F321" s="32">
        <v>0.82773213099999998</v>
      </c>
      <c r="G321" s="32">
        <v>1.0723709999999999E-3</v>
      </c>
      <c r="H321" s="13">
        <f t="shared" si="182"/>
        <v>2928.5162794779999</v>
      </c>
      <c r="I321">
        <f t="shared" si="152"/>
        <v>13423.343939723998</v>
      </c>
      <c r="J321">
        <f t="shared" si="155"/>
        <v>115.85915561458231</v>
      </c>
      <c r="K321" s="6">
        <f t="shared" si="156"/>
        <v>227.08394500458132</v>
      </c>
      <c r="M321" s="2">
        <f>'rockfish harvests'!O328</f>
        <v>8737.2071148069517</v>
      </c>
      <c r="N321">
        <f>'rockfish harvests'!P328</f>
        <v>3503266.3626943887</v>
      </c>
      <c r="O321" s="32">
        <v>0.70954271800000002</v>
      </c>
      <c r="P321" s="32">
        <v>1.9049780000000001E-3</v>
      </c>
      <c r="Q321" s="13">
        <f t="shared" si="127"/>
        <v>6199.4216839690625</v>
      </c>
      <c r="R321" s="14">
        <f t="shared" si="129"/>
        <v>1915819.8508236986</v>
      </c>
      <c r="S321">
        <f t="shared" si="157"/>
        <v>1384.1314427552386</v>
      </c>
      <c r="T321" s="6">
        <f t="shared" si="158"/>
        <v>2712.8976278002674</v>
      </c>
      <c r="V321" s="13">
        <f t="shared" si="153"/>
        <v>9127.9379634470624</v>
      </c>
      <c r="W321">
        <f t="shared" si="154"/>
        <v>1929243.1947634225</v>
      </c>
      <c r="X321">
        <f t="shared" si="159"/>
        <v>1388.9719920730663</v>
      </c>
      <c r="Y321" s="6">
        <f t="shared" si="160"/>
        <v>2722.3851044632097</v>
      </c>
      <c r="Z321" s="14">
        <f t="shared" si="130"/>
        <v>0.15216711568759794</v>
      </c>
    </row>
    <row r="322" spans="1:26" x14ac:dyDescent="0.3">
      <c r="A322" t="str">
        <f>'rockfish harvests'!A329</f>
        <v>SE</v>
      </c>
      <c r="B322">
        <f>'rockfish harvests'!B329</f>
        <v>2000</v>
      </c>
      <c r="C322" t="str">
        <f>'rockfish harvests'!C329</f>
        <v>SSEI</v>
      </c>
      <c r="D322">
        <f>'rockfish harvests'!D329</f>
        <v>11989</v>
      </c>
      <c r="E322">
        <f>'YE harvest'!E330</f>
        <v>6877</v>
      </c>
      <c r="F322" s="32">
        <v>0.82773213099999998</v>
      </c>
      <c r="G322" s="32">
        <v>1.0723709999999999E-3</v>
      </c>
      <c r="H322" s="13">
        <f t="shared" si="182"/>
        <v>5692.3138648869999</v>
      </c>
      <c r="I322">
        <f t="shared" si="152"/>
        <v>50715.780038858997</v>
      </c>
      <c r="J322">
        <f t="shared" si="155"/>
        <v>225.20164306429692</v>
      </c>
      <c r="K322" s="6">
        <f t="shared" si="156"/>
        <v>441.39522040602196</v>
      </c>
      <c r="M322" s="2">
        <f>'rockfish harvests'!O329</f>
        <v>14213.076811318933</v>
      </c>
      <c r="N322">
        <f>'rockfish harvests'!P329</f>
        <v>9270520.1843895838</v>
      </c>
      <c r="O322" s="32">
        <v>0.70954271800000002</v>
      </c>
      <c r="P322" s="32">
        <v>1.9049780000000001E-3</v>
      </c>
      <c r="Q322" s="13">
        <f t="shared" si="127"/>
        <v>10084.78515184601</v>
      </c>
      <c r="R322" s="14">
        <f t="shared" si="129"/>
        <v>5069739.1399766402</v>
      </c>
      <c r="S322">
        <f t="shared" si="157"/>
        <v>2251.6081230926134</v>
      </c>
      <c r="T322" s="6">
        <f t="shared" si="158"/>
        <v>4413.1519212615221</v>
      </c>
      <c r="V322" s="13">
        <f t="shared" si="153"/>
        <v>15777.099016733009</v>
      </c>
      <c r="W322">
        <f t="shared" si="154"/>
        <v>5120454.920015499</v>
      </c>
      <c r="X322">
        <f t="shared" si="159"/>
        <v>2262.842221635326</v>
      </c>
      <c r="Y322" s="6">
        <f t="shared" si="160"/>
        <v>4435.1707544052388</v>
      </c>
      <c r="Z322" s="14">
        <f t="shared" si="130"/>
        <v>0.1434257476127507</v>
      </c>
    </row>
    <row r="323" spans="1:26" x14ac:dyDescent="0.3">
      <c r="A323" t="str">
        <f>'rockfish harvests'!A330</f>
        <v>SE</v>
      </c>
      <c r="B323">
        <f>'rockfish harvests'!B330</f>
        <v>2001</v>
      </c>
      <c r="C323" t="str">
        <f>'rockfish harvests'!C330</f>
        <v>SSEI</v>
      </c>
      <c r="D323">
        <f>'rockfish harvests'!D330</f>
        <v>9348</v>
      </c>
      <c r="E323">
        <f>'YE harvest'!E331</f>
        <v>4834</v>
      </c>
      <c r="F323" s="32">
        <v>0.82773213099999998</v>
      </c>
      <c r="G323" s="32">
        <v>1.0723709999999999E-3</v>
      </c>
      <c r="H323" s="13">
        <f t="shared" si="182"/>
        <v>4001.2571212540001</v>
      </c>
      <c r="I323">
        <f t="shared" si="152"/>
        <v>25058.689395275997</v>
      </c>
      <c r="J323">
        <f t="shared" si="155"/>
        <v>158.29936637673569</v>
      </c>
      <c r="K323" s="6">
        <f t="shared" si="156"/>
        <v>310.26675809840197</v>
      </c>
      <c r="M323" s="2">
        <f>'rockfish harvests'!O330</f>
        <v>11082.145469364368</v>
      </c>
      <c r="N323">
        <f>'rockfish harvests'!P330</f>
        <v>5636059.7796220118</v>
      </c>
      <c r="O323" s="32">
        <v>0.70954271800000002</v>
      </c>
      <c r="P323" s="32">
        <v>1.9049780000000001E-3</v>
      </c>
      <c r="Q323" s="13">
        <f t="shared" si="127"/>
        <v>7863.2556176041799</v>
      </c>
      <c r="R323" s="14">
        <f t="shared" si="129"/>
        <v>3082173.6312177866</v>
      </c>
      <c r="S323">
        <f t="shared" si="157"/>
        <v>1755.6120389248265</v>
      </c>
      <c r="T323" s="6">
        <f t="shared" si="158"/>
        <v>3440.99959629266</v>
      </c>
      <c r="V323" s="13">
        <f t="shared" si="153"/>
        <v>11864.51273885818</v>
      </c>
      <c r="W323">
        <f t="shared" si="154"/>
        <v>3107232.3206130625</v>
      </c>
      <c r="X323">
        <f t="shared" si="159"/>
        <v>1762.7343306956561</v>
      </c>
      <c r="Y323" s="6">
        <f t="shared" si="160"/>
        <v>3454.9592881634858</v>
      </c>
      <c r="Z323" s="14">
        <f t="shared" si="130"/>
        <v>0.14857199528493226</v>
      </c>
    </row>
    <row r="324" spans="1:26" x14ac:dyDescent="0.3">
      <c r="A324" t="str">
        <f>'rockfish harvests'!A331</f>
        <v>SE</v>
      </c>
      <c r="B324">
        <f>'rockfish harvests'!B331</f>
        <v>2002</v>
      </c>
      <c r="C324" t="str">
        <f>'rockfish harvests'!C331</f>
        <v>SSEI</v>
      </c>
      <c r="D324">
        <f>'rockfish harvests'!D331</f>
        <v>8033</v>
      </c>
      <c r="E324">
        <f>'YE harvest'!E332</f>
        <v>4064</v>
      </c>
      <c r="F324" s="32">
        <v>0.82773213099999998</v>
      </c>
      <c r="G324" s="32">
        <v>1.0723709999999999E-3</v>
      </c>
      <c r="H324" s="13">
        <f t="shared" si="182"/>
        <v>3363.9033803839998</v>
      </c>
      <c r="I324">
        <f t="shared" si="152"/>
        <v>17711.382383615997</v>
      </c>
      <c r="J324">
        <f t="shared" si="155"/>
        <v>133.08411769860444</v>
      </c>
      <c r="K324" s="6">
        <f t="shared" si="156"/>
        <v>260.84487068926472</v>
      </c>
      <c r="M324" s="2">
        <f>'rockfish harvests'!O331</f>
        <v>9523.200102204104</v>
      </c>
      <c r="N324">
        <f>'rockfish harvests'!P331</f>
        <v>4161919.8980246014</v>
      </c>
      <c r="O324" s="32">
        <v>0.70954271800000002</v>
      </c>
      <c r="P324" s="32">
        <v>1.9049780000000001E-3</v>
      </c>
      <c r="Q324" s="13">
        <f t="shared" si="127"/>
        <v>6757.1172845757783</v>
      </c>
      <c r="R324" s="14">
        <f t="shared" si="129"/>
        <v>2276015.5616717665</v>
      </c>
      <c r="S324">
        <f t="shared" si="157"/>
        <v>1508.6469307534373</v>
      </c>
      <c r="T324" s="6">
        <f t="shared" si="158"/>
        <v>2956.9479842767373</v>
      </c>
      <c r="V324" s="13">
        <f t="shared" si="153"/>
        <v>10121.020664959779</v>
      </c>
      <c r="W324">
        <f t="shared" si="154"/>
        <v>2293726.9440553826</v>
      </c>
      <c r="X324">
        <f t="shared" si="159"/>
        <v>1514.5055113981537</v>
      </c>
      <c r="Y324" s="6">
        <f t="shared" si="160"/>
        <v>2968.430802340381</v>
      </c>
      <c r="Z324" s="14">
        <f t="shared" si="130"/>
        <v>0.1496396027172989</v>
      </c>
    </row>
    <row r="325" spans="1:26" x14ac:dyDescent="0.3">
      <c r="A325" t="str">
        <f>'rockfish harvests'!A332</f>
        <v>SE</v>
      </c>
      <c r="B325">
        <f>'rockfish harvests'!B332</f>
        <v>2003</v>
      </c>
      <c r="C325" t="str">
        <f>'rockfish harvests'!C332</f>
        <v>SSEI</v>
      </c>
      <c r="D325">
        <f>'rockfish harvests'!D332</f>
        <v>11263</v>
      </c>
      <c r="E325">
        <f>'YE harvest'!E333</f>
        <v>5615</v>
      </c>
      <c r="F325" s="32">
        <v>0.82773213099999998</v>
      </c>
      <c r="G325" s="32">
        <v>1.0723709999999999E-3</v>
      </c>
      <c r="H325" s="13">
        <f t="shared" si="182"/>
        <v>4647.7159155649997</v>
      </c>
      <c r="I325">
        <f t="shared" si="152"/>
        <v>33809.954171474994</v>
      </c>
      <c r="J325">
        <f t="shared" si="155"/>
        <v>183.87483289312596</v>
      </c>
      <c r="K325" s="6">
        <f t="shared" si="156"/>
        <v>360.39467247052687</v>
      </c>
      <c r="M325" s="2">
        <f>'rockfish harvests'!O332</f>
        <v>13352.396707472279</v>
      </c>
      <c r="N325">
        <f>'rockfish harvests'!P332</f>
        <v>8181752.760036231</v>
      </c>
      <c r="O325" s="32">
        <v>0.70954271800000002</v>
      </c>
      <c r="P325" s="32">
        <v>1.9049780000000001E-3</v>
      </c>
      <c r="Q325" s="13">
        <f t="shared" si="127"/>
        <v>9474.0958516341325</v>
      </c>
      <c r="R325" s="14">
        <f t="shared" si="129"/>
        <v>4474328.4493370401</v>
      </c>
      <c r="S325">
        <f t="shared" si="157"/>
        <v>2115.2608466420966</v>
      </c>
      <c r="T325" s="6">
        <f t="shared" si="158"/>
        <v>4145.911259418509</v>
      </c>
      <c r="V325" s="13">
        <f t="shared" si="153"/>
        <v>14121.811767199131</v>
      </c>
      <c r="W325">
        <f t="shared" si="154"/>
        <v>4508138.4035085151</v>
      </c>
      <c r="X325">
        <f t="shared" si="159"/>
        <v>2123.2377171453309</v>
      </c>
      <c r="Y325" s="6">
        <f t="shared" si="160"/>
        <v>4161.545925604848</v>
      </c>
      <c r="Z325" s="14">
        <f t="shared" si="130"/>
        <v>0.15035165120080382</v>
      </c>
    </row>
    <row r="326" spans="1:26" x14ac:dyDescent="0.3">
      <c r="A326" t="str">
        <f>'rockfish harvests'!A333</f>
        <v>SE</v>
      </c>
      <c r="B326">
        <f>'rockfish harvests'!B333</f>
        <v>2004</v>
      </c>
      <c r="C326" t="str">
        <f>'rockfish harvests'!C333</f>
        <v>SSEI</v>
      </c>
      <c r="D326">
        <f>'rockfish harvests'!D333</f>
        <v>13195</v>
      </c>
      <c r="E326">
        <f>'YE harvest'!E334</f>
        <v>7929</v>
      </c>
      <c r="F326" s="32">
        <v>0.82773213099999998</v>
      </c>
      <c r="G326" s="32">
        <v>1.0723709999999999E-3</v>
      </c>
      <c r="H326" s="13">
        <f t="shared" si="182"/>
        <v>6563.0880666989997</v>
      </c>
      <c r="I326">
        <f t="shared" si="152"/>
        <v>67418.936366210997</v>
      </c>
      <c r="J326">
        <f t="shared" si="155"/>
        <v>259.65156723234116</v>
      </c>
      <c r="K326" s="6">
        <f t="shared" si="156"/>
        <v>508.91707177538865</v>
      </c>
      <c r="M326" s="2">
        <f>'rockfish harvests'!O333</f>
        <v>15642.801611923707</v>
      </c>
      <c r="N326">
        <f>'rockfish harvests'!P333</f>
        <v>11229410.873184105</v>
      </c>
      <c r="O326" s="32">
        <v>0.70954271800000002</v>
      </c>
      <c r="P326" s="32">
        <v>1.9049780000000001E-3</v>
      </c>
      <c r="Q326" s="13">
        <f t="shared" si="127"/>
        <v>11099.235972859129</v>
      </c>
      <c r="R326" s="14">
        <f t="shared" si="129"/>
        <v>6140991.3025726583</v>
      </c>
      <c r="S326">
        <f t="shared" si="157"/>
        <v>2478.1023591798339</v>
      </c>
      <c r="T326" s="6">
        <f t="shared" si="158"/>
        <v>4857.0806239924741</v>
      </c>
      <c r="V326" s="13">
        <f t="shared" si="153"/>
        <v>17662.324039558131</v>
      </c>
      <c r="W326">
        <f t="shared" si="154"/>
        <v>6208410.238938869</v>
      </c>
      <c r="X326">
        <f t="shared" si="159"/>
        <v>2491.6681638891782</v>
      </c>
      <c r="Y326" s="6">
        <f t="shared" si="160"/>
        <v>4883.6696012227894</v>
      </c>
      <c r="Z326" s="14">
        <f t="shared" si="130"/>
        <v>0.14107249749855194</v>
      </c>
    </row>
    <row r="327" spans="1:26" x14ac:dyDescent="0.3">
      <c r="A327" t="str">
        <f>'rockfish harvests'!A334</f>
        <v>SE</v>
      </c>
      <c r="B327">
        <f>'rockfish harvests'!B334</f>
        <v>2005</v>
      </c>
      <c r="C327" t="str">
        <f>'rockfish harvests'!C334</f>
        <v>SSEI</v>
      </c>
      <c r="D327">
        <f>'rockfish harvests'!D334</f>
        <v>15329</v>
      </c>
      <c r="E327">
        <f>'YE harvest'!E335</f>
        <v>9584</v>
      </c>
      <c r="F327" s="32">
        <v>0.82773213099999998</v>
      </c>
      <c r="G327" s="32">
        <v>1.0723709999999999E-3</v>
      </c>
      <c r="H327" s="13">
        <f t="shared" si="182"/>
        <v>7932.9847435040001</v>
      </c>
      <c r="I327">
        <f t="shared" si="152"/>
        <v>98500.553515775988</v>
      </c>
      <c r="J327">
        <f t="shared" si="155"/>
        <v>313.84797835222071</v>
      </c>
      <c r="K327" s="6">
        <f t="shared" si="156"/>
        <v>615.14203757035261</v>
      </c>
      <c r="M327" s="2">
        <f>'rockfish harvests'!O334</f>
        <v>18172.679492927513</v>
      </c>
      <c r="N327">
        <f>'rockfish harvests'!P334</f>
        <v>15155345.162562583</v>
      </c>
      <c r="O327" s="32">
        <v>0.70954271800000002</v>
      </c>
      <c r="P327" s="32">
        <v>1.9049780000000001E-3</v>
      </c>
      <c r="Q327" s="13">
        <f t="shared" si="127"/>
        <v>12894.29240075465</v>
      </c>
      <c r="R327" s="14">
        <f t="shared" si="129"/>
        <v>8287954.1840464966</v>
      </c>
      <c r="S327">
        <f t="shared" si="157"/>
        <v>2878.8807172313509</v>
      </c>
      <c r="T327" s="6">
        <f t="shared" si="158"/>
        <v>5642.606205773448</v>
      </c>
      <c r="V327" s="13">
        <f t="shared" si="153"/>
        <v>20827.277144258649</v>
      </c>
      <c r="W327">
        <f t="shared" si="154"/>
        <v>8386454.7375622727</v>
      </c>
      <c r="X327">
        <f t="shared" si="159"/>
        <v>2895.9376266698619</v>
      </c>
      <c r="Y327" s="6">
        <f t="shared" si="160"/>
        <v>5676.0377482729291</v>
      </c>
      <c r="Z327" s="14">
        <f t="shared" si="130"/>
        <v>0.13904542617891702</v>
      </c>
    </row>
    <row r="328" spans="1:26" x14ac:dyDescent="0.3">
      <c r="A328" t="str">
        <f>'rockfish harvests'!A335</f>
        <v>SE</v>
      </c>
      <c r="B328">
        <f>'rockfish harvests'!B335</f>
        <v>2006</v>
      </c>
      <c r="C328" t="str">
        <f>'rockfish harvests'!C335</f>
        <v>SSEI</v>
      </c>
      <c r="D328">
        <f>'rockfish harvests'!D335</f>
        <v>17714</v>
      </c>
      <c r="E328">
        <f>'YE harvest'!E336</f>
        <v>11388</v>
      </c>
      <c r="F328">
        <f>IF([2]species_comp_Region1_forR!$H230&gt;49,[2]species_comp_Region1_forR!$AM230,[2]species_comp_Region1_forR!$AO230)</f>
        <v>0.80670926499999995</v>
      </c>
      <c r="G328">
        <f>IF([2]species_comp_Region1_forR!$H230&gt;49,[2]species_comp_Region1_forR!$AN230,[2]species_comp_Region1_forR!$AP230)</f>
        <v>2.4948700000000001E-4</v>
      </c>
      <c r="H328" s="13">
        <f t="shared" ref="H328:H340" si="183">E328*F328</f>
        <v>9186.8051098199994</v>
      </c>
      <c r="I328">
        <f t="shared" si="152"/>
        <v>32355.106802928</v>
      </c>
      <c r="J328">
        <f t="shared" si="155"/>
        <v>179.87525344784925</v>
      </c>
      <c r="K328" s="6">
        <f t="shared" si="156"/>
        <v>352.55549675778451</v>
      </c>
      <c r="M328" s="2">
        <f>'rockfish harvests'!O335</f>
        <v>21000.120329944417</v>
      </c>
      <c r="N328">
        <f>'rockfish harvests'!P335</f>
        <v>20238180.459821593</v>
      </c>
      <c r="O328">
        <f>IF([2]species_comp_Region1_forR!$D252&gt;49,[2]species_comp_Region1_forR!$AI252,[2]species_comp_Region1_forR!$AK252)</f>
        <v>0.75184275199999995</v>
      </c>
      <c r="P328">
        <f>IF([2]species_comp_Region1_forR!$D252&gt;49,[2]species_comp_Region1_forR!$AJ252,[2]species_comp_Region1_forR!$AL252)</f>
        <v>1.52931E-4</v>
      </c>
      <c r="Q328" s="13">
        <f t="shared" si="127"/>
        <v>15788.788261196558</v>
      </c>
      <c r="R328" s="14">
        <f t="shared" si="129"/>
        <v>11510524.54249369</v>
      </c>
      <c r="S328">
        <f t="shared" si="157"/>
        <v>3392.7163958241026</v>
      </c>
      <c r="T328" s="6">
        <f t="shared" si="158"/>
        <v>6649.7241358152414</v>
      </c>
      <c r="V328" s="13">
        <f t="shared" si="153"/>
        <v>24975.593371016555</v>
      </c>
      <c r="W328">
        <f t="shared" si="154"/>
        <v>11542879.649296617</v>
      </c>
      <c r="X328">
        <f t="shared" si="159"/>
        <v>3397.4813684988203</v>
      </c>
      <c r="Y328" s="6">
        <f t="shared" si="160"/>
        <v>6659.0634822576876</v>
      </c>
      <c r="Z328" s="14">
        <f t="shared" si="130"/>
        <v>0.13603205809882771</v>
      </c>
    </row>
    <row r="329" spans="1:26" x14ac:dyDescent="0.3">
      <c r="A329" t="str">
        <f>'rockfish harvests'!A336</f>
        <v>SE</v>
      </c>
      <c r="B329">
        <f>'rockfish harvests'!B336</f>
        <v>2007</v>
      </c>
      <c r="C329" t="str">
        <f>'rockfish harvests'!C336</f>
        <v>SSEI</v>
      </c>
      <c r="D329">
        <f>'rockfish harvests'!D336</f>
        <v>20368</v>
      </c>
      <c r="E329">
        <f>'YE harvest'!E337</f>
        <v>12015</v>
      </c>
      <c r="F329">
        <f>IF([2]species_comp_Region1_forR!$H231&gt;49,[2]species_comp_Region1_forR!$AM231,[2]species_comp_Region1_forR!$AO231)</f>
        <v>0.78806333699999997</v>
      </c>
      <c r="G329">
        <f>IF([2]species_comp_Region1_forR!$H231&gt;49,[2]species_comp_Region1_forR!$AN231,[2]species_comp_Region1_forR!$AP231)</f>
        <v>2.0368200000000001E-4</v>
      </c>
      <c r="H329" s="13">
        <f t="shared" si="183"/>
        <v>9468.5809940549989</v>
      </c>
      <c r="I329">
        <f t="shared" si="152"/>
        <v>29403.579348449999</v>
      </c>
      <c r="J329">
        <f t="shared" si="155"/>
        <v>171.47471926919724</v>
      </c>
      <c r="K329" s="6">
        <f t="shared" si="156"/>
        <v>336.09044976762658</v>
      </c>
      <c r="M329" s="2">
        <f>'rockfish harvests'!O336</f>
        <v>24146.463299102848</v>
      </c>
      <c r="N329">
        <f>'rockfish harvests'!P336</f>
        <v>26756848.278906163</v>
      </c>
      <c r="O329">
        <f>IF([2]species_comp_Region1_forR!$D253&gt;49,[2]species_comp_Region1_forR!$AI253,[2]species_comp_Region1_forR!$AK253)</f>
        <v>0.76492771800000003</v>
      </c>
      <c r="P329">
        <f>IF([2]species_comp_Region1_forR!$D253&gt;49,[2]species_comp_Region1_forR!$AJ253,[2]species_comp_Region1_forR!$AL253)</f>
        <v>1.1309E-4</v>
      </c>
      <c r="Q329" s="13">
        <f t="shared" si="127"/>
        <v>18470.299069153494</v>
      </c>
      <c r="R329" s="14">
        <f t="shared" si="129"/>
        <v>15724780.842480421</v>
      </c>
      <c r="S329">
        <f t="shared" si="157"/>
        <v>3965.4483784914437</v>
      </c>
      <c r="T329" s="6">
        <f t="shared" si="158"/>
        <v>7772.2788218432297</v>
      </c>
      <c r="V329" s="13">
        <f t="shared" si="153"/>
        <v>27938.880063208493</v>
      </c>
      <c r="W329">
        <f t="shared" si="154"/>
        <v>15754184.421828872</v>
      </c>
      <c r="X329">
        <f t="shared" si="159"/>
        <v>3969.1541191831884</v>
      </c>
      <c r="Y329" s="6">
        <f t="shared" si="160"/>
        <v>7779.5420735990492</v>
      </c>
      <c r="Z329" s="14">
        <f t="shared" si="130"/>
        <v>0.1420656128736526</v>
      </c>
    </row>
    <row r="330" spans="1:26" x14ac:dyDescent="0.3">
      <c r="A330" t="str">
        <f>'rockfish harvests'!A337</f>
        <v>SE</v>
      </c>
      <c r="B330">
        <f>'rockfish harvests'!B337</f>
        <v>2008</v>
      </c>
      <c r="C330" t="str">
        <f>'rockfish harvests'!C337</f>
        <v>SSEI</v>
      </c>
      <c r="D330">
        <f>'rockfish harvests'!D337</f>
        <v>18756</v>
      </c>
      <c r="E330">
        <f>'YE harvest'!E338</f>
        <v>10550</v>
      </c>
      <c r="F330">
        <f>IF([2]species_comp_Region1_forR!$H232&gt;49,[2]species_comp_Region1_forR!$AM232,[2]species_comp_Region1_forR!$AO232)</f>
        <v>0.87847222199999997</v>
      </c>
      <c r="G330">
        <f>IF([2]species_comp_Region1_forR!$H232&gt;49,[2]species_comp_Region1_forR!$AN232,[2]species_comp_Region1_forR!$AP232)</f>
        <v>1.8566700000000001E-4</v>
      </c>
      <c r="H330" s="13">
        <f t="shared" si="183"/>
        <v>9267.8819420999989</v>
      </c>
      <c r="I330">
        <f t="shared" si="152"/>
        <v>20665.201267500001</v>
      </c>
      <c r="J330">
        <f t="shared" si="155"/>
        <v>143.75396087586597</v>
      </c>
      <c r="K330" s="6">
        <f t="shared" si="156"/>
        <v>281.75776331669732</v>
      </c>
      <c r="M330" s="2">
        <f>'rockfish harvests'!O337</f>
        <v>22235.421525823498</v>
      </c>
      <c r="N330">
        <f>'rockfish harvests'!P337</f>
        <v>22689171.172948774</v>
      </c>
      <c r="O330">
        <f>IF([2]species_comp_Region1_forR!$D254&gt;49,[2]species_comp_Region1_forR!$AI254,[2]species_comp_Region1_forR!$AK254)</f>
        <v>0.71903574400000003</v>
      </c>
      <c r="P330">
        <f>IF([2]species_comp_Region1_forR!$D254&gt;49,[2]species_comp_Region1_forR!$AJ254,[2]species_comp_Region1_forR!$AL254)</f>
        <v>1.68073E-4</v>
      </c>
      <c r="Q330" s="13">
        <f t="shared" si="127"/>
        <v>15988.062859974116</v>
      </c>
      <c r="R330" s="14">
        <f t="shared" si="129"/>
        <v>11817493.944540102</v>
      </c>
      <c r="S330">
        <f t="shared" si="157"/>
        <v>3437.6582064743002</v>
      </c>
      <c r="T330" s="6">
        <f t="shared" si="158"/>
        <v>6737.8100846896286</v>
      </c>
      <c r="V330" s="13">
        <f t="shared" si="153"/>
        <v>25255.944802074115</v>
      </c>
      <c r="W330">
        <f t="shared" si="154"/>
        <v>11838159.145807602</v>
      </c>
      <c r="X330">
        <f t="shared" si="159"/>
        <v>3440.6626027275038</v>
      </c>
      <c r="Y330" s="6">
        <f t="shared" si="160"/>
        <v>6743.6987013459075</v>
      </c>
      <c r="Z330" s="14">
        <f t="shared" si="130"/>
        <v>0.1362317913541268</v>
      </c>
    </row>
    <row r="331" spans="1:26" x14ac:dyDescent="0.3">
      <c r="A331" t="str">
        <f>'rockfish harvests'!A338</f>
        <v>SE</v>
      </c>
      <c r="B331">
        <f>'rockfish harvests'!B338</f>
        <v>2009</v>
      </c>
      <c r="C331" t="str">
        <f>'rockfish harvests'!C338</f>
        <v>SSEI</v>
      </c>
      <c r="D331">
        <f>'rockfish harvests'!D338</f>
        <v>14837</v>
      </c>
      <c r="E331">
        <f>'YE harvest'!E339</f>
        <v>8319</v>
      </c>
      <c r="F331">
        <f>IF([2]species_comp_Region1_forR!$H233&gt;49,[2]species_comp_Region1_forR!$AM233,[2]species_comp_Region1_forR!$AO233)</f>
        <v>0.88645690799999999</v>
      </c>
      <c r="G331">
        <f>IF([2]species_comp_Region1_forR!$H233&gt;49,[2]species_comp_Region1_forR!$AN233,[2]species_comp_Region1_forR!$AP233)</f>
        <v>1.37878E-4</v>
      </c>
      <c r="H331" s="13">
        <f t="shared" si="183"/>
        <v>7374.4350176520002</v>
      </c>
      <c r="I331">
        <f t="shared" si="152"/>
        <v>9541.9519151579989</v>
      </c>
      <c r="J331">
        <f t="shared" si="155"/>
        <v>97.682915165130069</v>
      </c>
      <c r="K331" s="6">
        <f t="shared" si="156"/>
        <v>191.45851372365493</v>
      </c>
      <c r="M331" s="2">
        <f>'rockfish harvests'!O338</f>
        <v>17589.408678750442</v>
      </c>
      <c r="N331">
        <f>'rockfish harvests'!P338</f>
        <v>14198104.777272861</v>
      </c>
      <c r="O331">
        <f>IF([2]species_comp_Region1_forR!$D255&gt;49,[2]species_comp_Region1_forR!$AI255,[2]species_comp_Region1_forR!$AK255)</f>
        <v>0.71950048</v>
      </c>
      <c r="P331">
        <f>IF([2]species_comp_Region1_forR!$D255&gt;49,[2]species_comp_Region1_forR!$AJ255,[2]species_comp_Region1_forR!$AL255)</f>
        <v>1.94057E-4</v>
      </c>
      <c r="Q331" s="13">
        <f t="shared" si="127"/>
        <v>12655.587987277109</v>
      </c>
      <c r="R331" s="14">
        <f t="shared" si="129"/>
        <v>7412882.249985354</v>
      </c>
      <c r="S331">
        <f t="shared" si="157"/>
        <v>2722.6608767867792</v>
      </c>
      <c r="T331" s="6">
        <f t="shared" si="158"/>
        <v>5336.4153185020868</v>
      </c>
      <c r="V331" s="13">
        <f t="shared" si="153"/>
        <v>20030.023004929109</v>
      </c>
      <c r="W331">
        <f t="shared" si="154"/>
        <v>7422424.201900512</v>
      </c>
      <c r="X331">
        <f t="shared" si="159"/>
        <v>2724.4126342939521</v>
      </c>
      <c r="Y331" s="6">
        <f t="shared" si="160"/>
        <v>5339.8487632161459</v>
      </c>
      <c r="Z331" s="14">
        <f t="shared" si="130"/>
        <v>0.13601645058637787</v>
      </c>
    </row>
    <row r="332" spans="1:26" x14ac:dyDescent="0.3">
      <c r="A332" t="str">
        <f>'rockfish harvests'!A339</f>
        <v>SE</v>
      </c>
      <c r="B332">
        <f>'rockfish harvests'!B339</f>
        <v>2010</v>
      </c>
      <c r="C332" t="str">
        <f>'rockfish harvests'!C339</f>
        <v>SSEI</v>
      </c>
      <c r="D332">
        <f>'rockfish harvests'!D339</f>
        <v>20015</v>
      </c>
      <c r="E332">
        <f>'YE harvest'!E340</f>
        <v>11058</v>
      </c>
      <c r="F332">
        <f>IF([2]species_comp_Region1_forR!$H234&gt;49,[2]species_comp_Region1_forR!$AM234,[2]species_comp_Region1_forR!$AO234)</f>
        <v>0.82578875200000001</v>
      </c>
      <c r="G332">
        <f>IF([2]species_comp_Region1_forR!$H234&gt;49,[2]species_comp_Region1_forR!$AN234,[2]species_comp_Region1_forR!$AP234)</f>
        <v>1.97612E-4</v>
      </c>
      <c r="H332" s="13">
        <f t="shared" si="183"/>
        <v>9131.572019616</v>
      </c>
      <c r="I332">
        <f t="shared" si="152"/>
        <v>24163.869678768002</v>
      </c>
      <c r="J332">
        <f t="shared" si="155"/>
        <v>155.4473212338122</v>
      </c>
      <c r="K332" s="6">
        <f t="shared" si="156"/>
        <v>304.67674961827191</v>
      </c>
      <c r="M332" s="2">
        <f>'rockfish harvests'!O339</f>
        <v>23727.978345028649</v>
      </c>
      <c r="N332">
        <f>'rockfish harvests'!P339</f>
        <v>25837433.526771665</v>
      </c>
      <c r="O332">
        <f>IF([2]species_comp_Region1_forR!$D256&gt;49,[2]species_comp_Region1_forR!$AI256,[2]species_comp_Region1_forR!$AK256)</f>
        <v>0.77350044799999995</v>
      </c>
      <c r="P332">
        <f>IF([2]species_comp_Region1_forR!$D256&gt;49,[2]species_comp_Region1_forR!$AJ256,[2]species_comp_Region1_forR!$AL256)</f>
        <v>1.5698700000000001E-4</v>
      </c>
      <c r="Q332" s="13">
        <f t="shared" si="127"/>
        <v>18353.601880013957</v>
      </c>
      <c r="R332" s="14">
        <f t="shared" si="129"/>
        <v>15551055.004188787</v>
      </c>
      <c r="S332">
        <f t="shared" si="157"/>
        <v>3943.482598438693</v>
      </c>
      <c r="T332" s="6">
        <f t="shared" si="158"/>
        <v>7729.2258929398386</v>
      </c>
      <c r="V332" s="13">
        <f t="shared" si="153"/>
        <v>27485.173899629957</v>
      </c>
      <c r="W332">
        <f t="shared" si="154"/>
        <v>15575218.873867555</v>
      </c>
      <c r="X332">
        <f t="shared" si="159"/>
        <v>3946.5451820380258</v>
      </c>
      <c r="Y332" s="6">
        <f t="shared" si="160"/>
        <v>7735.22855679453</v>
      </c>
      <c r="Z332" s="14">
        <f t="shared" si="130"/>
        <v>0.14358814670229028</v>
      </c>
    </row>
    <row r="333" spans="1:26" x14ac:dyDescent="0.3">
      <c r="A333" t="str">
        <f>'rockfish harvests'!A340</f>
        <v>SE</v>
      </c>
      <c r="B333">
        <f>'rockfish harvests'!B340</f>
        <v>2011</v>
      </c>
      <c r="C333" t="str">
        <f>'rockfish harvests'!C340</f>
        <v>SSEI</v>
      </c>
      <c r="D333">
        <f>'rockfish harvests'!D340</f>
        <v>17328</v>
      </c>
      <c r="E333">
        <f>'YE harvest'!E341</f>
        <v>8097</v>
      </c>
      <c r="F333">
        <f>IF([2]species_comp_Region1_forR!$H235&gt;49,[2]species_comp_Region1_forR!$AM235,[2]species_comp_Region1_forR!$AO235)</f>
        <v>0.83732057400000004</v>
      </c>
      <c r="G333">
        <f>IF([2]species_comp_Region1_forR!$H235&gt;49,[2]species_comp_Region1_forR!$AN235,[2]species_comp_Region1_forR!$AP235)</f>
        <v>1.63132E-4</v>
      </c>
      <c r="H333" s="13">
        <f t="shared" si="183"/>
        <v>6779.7846876780004</v>
      </c>
      <c r="I333">
        <f t="shared" si="152"/>
        <v>10695.163772988</v>
      </c>
      <c r="J333">
        <f t="shared" si="155"/>
        <v>103.41742490019755</v>
      </c>
      <c r="K333" s="6">
        <f t="shared" si="156"/>
        <v>202.69815280438718</v>
      </c>
      <c r="M333" s="2">
        <f>'rockfish harvests'!O340</f>
        <v>26057.656259472569</v>
      </c>
      <c r="N333">
        <f>'rockfish harvests'!P340</f>
        <v>22721971.694568597</v>
      </c>
      <c r="O333">
        <f>IF([2]species_comp_Region1_forR!$D257&gt;49,[2]species_comp_Region1_forR!$AI257,[2]species_comp_Region1_forR!$AK257)</f>
        <v>0.71940763799999996</v>
      </c>
      <c r="P333">
        <f>IF([2]species_comp_Region1_forR!$D257&gt;49,[2]species_comp_Region1_forR!$AJ257,[2]species_comp_Region1_forR!$AL257)</f>
        <v>1.5745700000000001E-4</v>
      </c>
      <c r="Q333" s="13">
        <f t="shared" si="127"/>
        <v>18746.076941443076</v>
      </c>
      <c r="R333" s="14">
        <f t="shared" si="129"/>
        <v>11870187.493267976</v>
      </c>
      <c r="S333">
        <f t="shared" si="157"/>
        <v>3445.3138453946362</v>
      </c>
      <c r="T333" s="6">
        <f t="shared" si="158"/>
        <v>6752.8151369734869</v>
      </c>
      <c r="V333" s="13">
        <f t="shared" si="153"/>
        <v>25525.861629121078</v>
      </c>
      <c r="W333">
        <f t="shared" si="154"/>
        <v>11880882.657040963</v>
      </c>
      <c r="X333">
        <f t="shared" si="159"/>
        <v>3446.8656279351771</v>
      </c>
      <c r="Y333" s="6">
        <f t="shared" si="160"/>
        <v>6755.8566307529472</v>
      </c>
      <c r="Z333" s="14">
        <f t="shared" si="130"/>
        <v>0.13503425185079096</v>
      </c>
    </row>
    <row r="334" spans="1:26" x14ac:dyDescent="0.3">
      <c r="A334" t="str">
        <f>'rockfish harvests'!A341</f>
        <v>SE</v>
      </c>
      <c r="B334">
        <f>'rockfish harvests'!B341</f>
        <v>2012</v>
      </c>
      <c r="C334" t="str">
        <f>'rockfish harvests'!C341</f>
        <v>SSEI</v>
      </c>
      <c r="D334">
        <f>'rockfish harvests'!D341</f>
        <v>20908</v>
      </c>
      <c r="E334">
        <f>'YE harvest'!E342</f>
        <v>11877</v>
      </c>
      <c r="F334">
        <f>IF([2]species_comp_Region1_forR!$H236&gt;49,[2]species_comp_Region1_forR!$AM236,[2]species_comp_Region1_forR!$AO236)</f>
        <v>0.856429463</v>
      </c>
      <c r="G334">
        <f>IF([2]species_comp_Region1_forR!$H236&gt;49,[2]species_comp_Region1_forR!$AN236,[2]species_comp_Region1_forR!$AP236)</f>
        <v>1.5369799999999999E-4</v>
      </c>
      <c r="H334" s="13">
        <f t="shared" si="183"/>
        <v>10171.812732050999</v>
      </c>
      <c r="I334">
        <f t="shared" si="152"/>
        <v>21681.120801041998</v>
      </c>
      <c r="J334">
        <f t="shared" si="155"/>
        <v>147.24510450620082</v>
      </c>
      <c r="K334" s="6">
        <f t="shared" si="156"/>
        <v>288.60040483215357</v>
      </c>
      <c r="M334" s="2">
        <f>'rockfish harvests'!O341</f>
        <v>30342.239687848378</v>
      </c>
      <c r="N334">
        <f>'rockfish harvests'!P341</f>
        <v>23087012.957423236</v>
      </c>
      <c r="O334">
        <f>IF([2]species_comp_Region1_forR!$D258&gt;49,[2]species_comp_Region1_forR!$AI258,[2]species_comp_Region1_forR!$AK258)</f>
        <v>0.715509854</v>
      </c>
      <c r="P334">
        <f>IF([2]species_comp_Region1_forR!$D258&gt;49,[2]species_comp_Region1_forR!$AJ258,[2]species_comp_Region1_forR!$AL258)</f>
        <v>1.7457599999999999E-4</v>
      </c>
      <c r="Q334" s="13">
        <f t="shared" si="127"/>
        <v>21710.171489085398</v>
      </c>
      <c r="R334" s="14">
        <f t="shared" si="129"/>
        <v>11984250.835353643</v>
      </c>
      <c r="S334">
        <f t="shared" si="157"/>
        <v>3461.8276726829777</v>
      </c>
      <c r="T334" s="6">
        <f t="shared" si="158"/>
        <v>6785.1822384586358</v>
      </c>
      <c r="V334" s="13">
        <f t="shared" si="153"/>
        <v>31881.984221136398</v>
      </c>
      <c r="W334">
        <f t="shared" si="154"/>
        <v>12005931.956154685</v>
      </c>
      <c r="X334">
        <f t="shared" si="159"/>
        <v>3464.9577134728047</v>
      </c>
      <c r="Y334" s="6">
        <f t="shared" si="160"/>
        <v>6791.3171184066969</v>
      </c>
      <c r="Z334" s="14">
        <f t="shared" si="130"/>
        <v>0.10868074237285662</v>
      </c>
    </row>
    <row r="335" spans="1:26" x14ac:dyDescent="0.3">
      <c r="A335" t="str">
        <f>'rockfish harvests'!A342</f>
        <v>SE</v>
      </c>
      <c r="B335">
        <f>'rockfish harvests'!B342</f>
        <v>2013</v>
      </c>
      <c r="C335" t="str">
        <f>'rockfish harvests'!C342</f>
        <v>SSEI</v>
      </c>
      <c r="D335">
        <f>'rockfish harvests'!D342</f>
        <v>24779</v>
      </c>
      <c r="E335">
        <f>'YE harvest'!E343</f>
        <v>13572</v>
      </c>
      <c r="F335">
        <f>IF([2]species_comp_Region1_forR!$H237&gt;49,[2]species_comp_Region1_forR!$AM237,[2]species_comp_Region1_forR!$AO237)</f>
        <v>0.82814814800000003</v>
      </c>
      <c r="G335">
        <f>IF([2]species_comp_Region1_forR!$H237&gt;49,[2]species_comp_Region1_forR!$AN237,[2]species_comp_Region1_forR!$AP237)</f>
        <v>2.1115500000000001E-4</v>
      </c>
      <c r="H335" s="13">
        <f t="shared" si="183"/>
        <v>11239.626664656</v>
      </c>
      <c r="I335">
        <f t="shared" si="152"/>
        <v>38894.578697520003</v>
      </c>
      <c r="J335">
        <f t="shared" si="155"/>
        <v>197.21708520693639</v>
      </c>
      <c r="K335" s="6">
        <f t="shared" si="156"/>
        <v>386.54548700559531</v>
      </c>
      <c r="M335" s="2">
        <f>'rockfish harvests'!O342</f>
        <v>34267.842065821518</v>
      </c>
      <c r="N335">
        <f>'rockfish harvests'!P342</f>
        <v>37595985.131994449</v>
      </c>
      <c r="O335">
        <f>IF([2]species_comp_Region1_forR!$D259&gt;49,[2]species_comp_Region1_forR!$AI259,[2]species_comp_Region1_forR!$AK259)</f>
        <v>0.69700827499999995</v>
      </c>
      <c r="P335">
        <f>IF([2]species_comp_Region1_forR!$D259&gt;49,[2]species_comp_Region1_forR!$AJ259,[2]species_comp_Region1_forR!$AL259)</f>
        <v>1.3451399999999999E-4</v>
      </c>
      <c r="Q335" s="13">
        <f t="shared" si="127"/>
        <v>23884.969486270693</v>
      </c>
      <c r="R335" s="14">
        <f t="shared" si="129"/>
        <v>18427916.585224204</v>
      </c>
      <c r="S335">
        <f t="shared" si="157"/>
        <v>4292.7749283213307</v>
      </c>
      <c r="T335" s="6">
        <f t="shared" si="158"/>
        <v>8413.8388595098077</v>
      </c>
      <c r="V335" s="13">
        <f t="shared" si="153"/>
        <v>35124.596150926693</v>
      </c>
      <c r="W335">
        <f t="shared" si="154"/>
        <v>18466811.163921725</v>
      </c>
      <c r="X335">
        <f t="shared" si="159"/>
        <v>4297.3027777807001</v>
      </c>
      <c r="Y335" s="6">
        <f t="shared" si="160"/>
        <v>8422.7134444501717</v>
      </c>
      <c r="Z335" s="14">
        <f t="shared" si="130"/>
        <v>0.12234454623522624</v>
      </c>
    </row>
    <row r="336" spans="1:26" x14ac:dyDescent="0.3">
      <c r="A336" t="str">
        <f>'rockfish harvests'!A343</f>
        <v>SE</v>
      </c>
      <c r="B336">
        <f>'rockfish harvests'!B343</f>
        <v>2014</v>
      </c>
      <c r="C336" t="str">
        <f>'rockfish harvests'!C343</f>
        <v>SSEI</v>
      </c>
      <c r="D336">
        <f>'rockfish harvests'!D343</f>
        <v>25686</v>
      </c>
      <c r="E336">
        <f>'YE harvest'!E344</f>
        <v>15018</v>
      </c>
      <c r="F336">
        <f>IF([2]species_comp_Region1_forR!$H238&gt;49,[2]species_comp_Region1_forR!$AM238,[2]species_comp_Region1_forR!$AO238)</f>
        <v>0.78004216400000004</v>
      </c>
      <c r="G336">
        <f>IF([2]species_comp_Region1_forR!$H238&gt;49,[2]species_comp_Region1_forR!$AN238,[2]species_comp_Region1_forR!$AP238)</f>
        <v>1.20658E-4</v>
      </c>
      <c r="H336" s="13">
        <f t="shared" si="183"/>
        <v>11714.673218952001</v>
      </c>
      <c r="I336">
        <f t="shared" si="152"/>
        <v>27213.244413191998</v>
      </c>
      <c r="J336">
        <f t="shared" si="155"/>
        <v>164.96437316339549</v>
      </c>
      <c r="K336" s="6">
        <f t="shared" si="156"/>
        <v>323.33017140025515</v>
      </c>
      <c r="M336" s="2">
        <f>'rockfish harvests'!O343</f>
        <v>33152.073336968373</v>
      </c>
      <c r="N336">
        <f>'rockfish harvests'!P343</f>
        <v>19566076.633357268</v>
      </c>
      <c r="O336">
        <f>IF([2]species_comp_Region1_forR!$D260&gt;49,[2]species_comp_Region1_forR!$AI260,[2]species_comp_Region1_forR!$AK260)</f>
        <v>0.67003537099999999</v>
      </c>
      <c r="P336">
        <f>IF([2]species_comp_Region1_forR!$D260&gt;49,[2]species_comp_Region1_forR!$AJ260,[2]species_comp_Region1_forR!$AL260)</f>
        <v>1.11773E-4</v>
      </c>
      <c r="Q336" s="13">
        <f t="shared" si="127"/>
        <v>22213.061757754811</v>
      </c>
      <c r="R336" s="14">
        <f t="shared" si="129"/>
        <v>8909171.3899903726</v>
      </c>
      <c r="S336">
        <f t="shared" si="157"/>
        <v>2984.823510693785</v>
      </c>
      <c r="T336" s="6">
        <f t="shared" si="158"/>
        <v>5850.2540809598186</v>
      </c>
      <c r="V336" s="13">
        <f t="shared" si="153"/>
        <v>33927.734976706808</v>
      </c>
      <c r="W336">
        <f t="shared" si="154"/>
        <v>8936384.634403564</v>
      </c>
      <c r="X336">
        <f t="shared" si="159"/>
        <v>2989.3786368413694</v>
      </c>
      <c r="Y336" s="6">
        <f t="shared" si="160"/>
        <v>5859.1821282090841</v>
      </c>
      <c r="Z336" s="14">
        <f t="shared" si="130"/>
        <v>8.8110174136108305E-2</v>
      </c>
    </row>
    <row r="337" spans="1:26" x14ac:dyDescent="0.3">
      <c r="A337" t="str">
        <f>'rockfish harvests'!A344</f>
        <v>SE</v>
      </c>
      <c r="B337">
        <f>'rockfish harvests'!B344</f>
        <v>2015</v>
      </c>
      <c r="C337" t="str">
        <f>'rockfish harvests'!C344</f>
        <v>SSEI</v>
      </c>
      <c r="D337">
        <f>'rockfish harvests'!D344</f>
        <v>29160</v>
      </c>
      <c r="E337">
        <f>'YE harvest'!E345</f>
        <v>17942</v>
      </c>
      <c r="F337">
        <f>IF([2]species_comp_Region1_forR!$H239&gt;49,[2]species_comp_Region1_forR!$AM239,[2]species_comp_Region1_forR!$AO239)</f>
        <v>0.79710669099999998</v>
      </c>
      <c r="G337">
        <f>IF([2]species_comp_Region1_forR!$H239&gt;49,[2]species_comp_Region1_forR!$AN239,[2]species_comp_Region1_forR!$AP239)</f>
        <v>5.8512199999999999E-5</v>
      </c>
      <c r="H337" s="13">
        <f t="shared" si="183"/>
        <v>14301.688249921999</v>
      </c>
      <c r="I337">
        <f t="shared" si="152"/>
        <v>18835.976161440798</v>
      </c>
      <c r="J337">
        <f t="shared" si="155"/>
        <v>137.2442208671855</v>
      </c>
      <c r="K337" s="6">
        <f t="shared" si="156"/>
        <v>268.99867289968358</v>
      </c>
      <c r="M337" s="2">
        <f>'rockfish harvests'!O344</f>
        <v>31796.645359656926</v>
      </c>
      <c r="N337">
        <f>'rockfish harvests'!P344</f>
        <v>18451721.940392502</v>
      </c>
      <c r="O337">
        <f>IF([2]species_comp_Region1_forR!$D261&gt;49,[2]species_comp_Region1_forR!$AI261,[2]species_comp_Region1_forR!$AK261)</f>
        <v>0.75708502</v>
      </c>
      <c r="P337">
        <f>IF([2]species_comp_Region1_forR!$D261&gt;49,[2]species_comp_Region1_forR!$AJ261,[2]species_comp_Region1_forR!$AL261)</f>
        <v>9.3117599999999998E-5</v>
      </c>
      <c r="Q337" s="13">
        <f t="shared" si="127"/>
        <v>24072.763888048772</v>
      </c>
      <c r="R337" s="14">
        <f t="shared" si="129"/>
        <v>10671978.606228668</v>
      </c>
      <c r="S337">
        <f t="shared" si="157"/>
        <v>3266.7994438331639</v>
      </c>
      <c r="T337" s="6">
        <f t="shared" si="158"/>
        <v>6402.9269099130015</v>
      </c>
      <c r="V337" s="13">
        <f t="shared" si="153"/>
        <v>38374.452137970773</v>
      </c>
      <c r="W337">
        <f t="shared" si="154"/>
        <v>10690814.582390109</v>
      </c>
      <c r="X337">
        <f t="shared" si="159"/>
        <v>3269.6811132570879</v>
      </c>
      <c r="Y337" s="6">
        <f t="shared" si="160"/>
        <v>6408.574981983892</v>
      </c>
      <c r="Z337" s="14">
        <f t="shared" si="130"/>
        <v>8.520463305902945E-2</v>
      </c>
    </row>
    <row r="338" spans="1:26" x14ac:dyDescent="0.3">
      <c r="A338" t="str">
        <f>'rockfish harvests'!A345</f>
        <v>SE</v>
      </c>
      <c r="B338">
        <f>'rockfish harvests'!B345</f>
        <v>2016</v>
      </c>
      <c r="C338" t="str">
        <f>'rockfish harvests'!C345</f>
        <v>SSEI</v>
      </c>
      <c r="D338">
        <f>'rockfish harvests'!D345</f>
        <v>32540</v>
      </c>
      <c r="E338">
        <f>'YE harvest'!E346</f>
        <v>19167</v>
      </c>
      <c r="F338">
        <f>IF([2]species_comp_Region1_forR!$H240&gt;49,[2]species_comp_Region1_forR!$AM240,[2]species_comp_Region1_forR!$AO240)</f>
        <v>0.80009297999999995</v>
      </c>
      <c r="G338">
        <f>IF([2]species_comp_Region1_forR!$H240&gt;49,[2]species_comp_Region1_forR!$AN240,[2]species_comp_Region1_forR!$AP240)</f>
        <v>7.4392699999999997E-5</v>
      </c>
      <c r="H338" s="13">
        <f t="shared" si="183"/>
        <v>15335.382147659999</v>
      </c>
      <c r="I338">
        <f t="shared" si="152"/>
        <v>27329.935512210297</v>
      </c>
      <c r="J338">
        <f t="shared" si="155"/>
        <v>165.31768057957473</v>
      </c>
      <c r="K338" s="6">
        <f t="shared" si="156"/>
        <v>324.02265393596645</v>
      </c>
      <c r="M338" s="2">
        <f>'rockfish harvests'!O345</f>
        <v>33865.532446281708</v>
      </c>
      <c r="N338">
        <f>'rockfish harvests'!P345</f>
        <v>23923054.468410891</v>
      </c>
      <c r="O338">
        <f>IF([2]species_comp_Region1_forR!$D262&gt;49,[2]species_comp_Region1_forR!$AI262,[2]species_comp_Region1_forR!$AK262)</f>
        <v>0.69404106200000004</v>
      </c>
      <c r="P338">
        <f>IF([2]species_comp_Region1_forR!$D262&gt;49,[2]species_comp_Region1_forR!$AJ262,[2]species_comp_Region1_forR!$AL262)</f>
        <v>1.06387E-4</v>
      </c>
      <c r="Q338" s="13">
        <f t="shared" si="127"/>
        <v>23504.070104212817</v>
      </c>
      <c r="R338" s="14">
        <f t="shared" si="129"/>
        <v>11648125.391049357</v>
      </c>
      <c r="S338">
        <f t="shared" si="157"/>
        <v>3412.9350112548814</v>
      </c>
      <c r="T338" s="6">
        <f t="shared" si="158"/>
        <v>6689.3526220595677</v>
      </c>
      <c r="V338" s="13">
        <f t="shared" si="153"/>
        <v>38839.452251872819</v>
      </c>
      <c r="W338">
        <f t="shared" si="154"/>
        <v>11675455.326561568</v>
      </c>
      <c r="X338">
        <f t="shared" si="159"/>
        <v>3416.9365411961585</v>
      </c>
      <c r="Y338" s="6">
        <f t="shared" si="160"/>
        <v>6697.1956207444709</v>
      </c>
      <c r="Z338" s="14">
        <f t="shared" si="130"/>
        <v>8.7975919923829402E-2</v>
      </c>
    </row>
    <row r="339" spans="1:26" x14ac:dyDescent="0.3">
      <c r="A339" t="str">
        <f>'rockfish harvests'!A346</f>
        <v>SE</v>
      </c>
      <c r="B339">
        <f>'rockfish harvests'!B346</f>
        <v>2017</v>
      </c>
      <c r="C339" t="str">
        <f>'rockfish harvests'!C346</f>
        <v>SSEI</v>
      </c>
      <c r="D339">
        <f>'rockfish harvests'!D346</f>
        <v>30249</v>
      </c>
      <c r="E339">
        <f>'YE harvest'!E347</f>
        <v>13768</v>
      </c>
      <c r="F339">
        <f>IF([2]species_comp_Region1_forR!$H241&gt;49,[2]species_comp_Region1_forR!$AM241,[2]species_comp_Region1_forR!$AO241)</f>
        <v>0.82257053300000005</v>
      </c>
      <c r="G339">
        <f>IF([2]species_comp_Region1_forR!$H241&gt;49,[2]species_comp_Region1_forR!$AN241,[2]species_comp_Region1_forR!$AP241)</f>
        <v>9.1561E-5</v>
      </c>
      <c r="H339" s="13">
        <f t="shared" si="183"/>
        <v>11325.151098344</v>
      </c>
      <c r="I339">
        <f t="shared" si="152"/>
        <v>17356.103923264</v>
      </c>
      <c r="J339">
        <f t="shared" si="155"/>
        <v>131.74256686152734</v>
      </c>
      <c r="K339" s="6">
        <f t="shared" si="156"/>
        <v>258.21543104859359</v>
      </c>
      <c r="M339" s="2">
        <f>'rockfish harvests'!O346</f>
        <v>32660.834871736792</v>
      </c>
      <c r="N339">
        <f>'rockfish harvests'!P346</f>
        <v>21220862.426665116</v>
      </c>
      <c r="O339">
        <f>IF([2]species_comp_Region1_forR!$D263&gt;49,[2]species_comp_Region1_forR!$AI263,[2]species_comp_Region1_forR!$AK263)</f>
        <v>0.66915760899999999</v>
      </c>
      <c r="P339">
        <f>IF([2]species_comp_Region1_forR!$D263&gt;49,[2]species_comp_Region1_forR!$AJ263,[2]species_comp_Region1_forR!$AL263)</f>
        <v>1.505E-4</v>
      </c>
      <c r="Q339" s="13">
        <f t="shared" si="127"/>
        <v>21855.246170715214</v>
      </c>
      <c r="R339" s="14">
        <f t="shared" si="129"/>
        <v>9665842.6340563577</v>
      </c>
      <c r="S339">
        <f t="shared" si="157"/>
        <v>3108.9938298517668</v>
      </c>
      <c r="T339" s="6">
        <f t="shared" si="158"/>
        <v>6093.6279065094632</v>
      </c>
      <c r="V339" s="13">
        <f t="shared" si="153"/>
        <v>33180.397269059213</v>
      </c>
      <c r="W339">
        <f t="shared" si="154"/>
        <v>9683198.7379796226</v>
      </c>
      <c r="X339">
        <f t="shared" si="159"/>
        <v>3111.7838514234281</v>
      </c>
      <c r="Y339" s="6">
        <f t="shared" si="160"/>
        <v>6099.0963487899189</v>
      </c>
      <c r="Z339" s="14">
        <f t="shared" si="130"/>
        <v>9.3783803315856409E-2</v>
      </c>
    </row>
    <row r="340" spans="1:26" x14ac:dyDescent="0.3">
      <c r="A340" t="str">
        <f>'rockfish harvests'!A347</f>
        <v>SE</v>
      </c>
      <c r="B340">
        <f>'rockfish harvests'!B347</f>
        <v>2018</v>
      </c>
      <c r="C340" t="str">
        <f>'rockfish harvests'!C347</f>
        <v>SSEI</v>
      </c>
      <c r="D340">
        <f>'rockfish harvests'!D347</f>
        <v>42049</v>
      </c>
      <c r="E340">
        <f>'YE harvest'!E348</f>
        <v>16630</v>
      </c>
      <c r="F340" t="s">
        <v>309</v>
      </c>
      <c r="G340" t="s">
        <v>310</v>
      </c>
      <c r="H340" s="13">
        <f t="shared" si="183"/>
        <v>14218.015267175579</v>
      </c>
      <c r="I340">
        <f t="shared" si="152"/>
        <v>29487.219050294152</v>
      </c>
      <c r="J340">
        <f t="shared" si="155"/>
        <v>171.71842955924723</v>
      </c>
      <c r="K340" s="6">
        <f t="shared" si="156"/>
        <v>336.56812193612456</v>
      </c>
      <c r="M340" s="2">
        <f>'rockfish harvests'!O347</f>
        <v>34725.8595505618</v>
      </c>
      <c r="N340">
        <f>'rockfish harvests'!P347</f>
        <v>18537755.684375577</v>
      </c>
      <c r="O340">
        <f>IF([2]species_comp_Region1_forR!$D264&gt;49,[2]species_comp_Region1_forR!$AI264,[2]species_comp_Region1_forR!$AK264)</f>
        <v>0.63246831599999997</v>
      </c>
      <c r="P340">
        <f>IF([2]species_comp_Region1_forR!$D264&gt;49,[2]species_comp_Region1_forR!$AJ264,[2]species_comp_Region1_forR!$AL264)</f>
        <v>1.4037000000000001E-4</v>
      </c>
      <c r="Q340" s="13">
        <f t="shared" si="127"/>
        <v>21963.005911596338</v>
      </c>
      <c r="R340" s="14">
        <f t="shared" si="129"/>
        <v>7587274.3103973642</v>
      </c>
      <c r="S340">
        <f t="shared" si="157"/>
        <v>2754.5007370478893</v>
      </c>
      <c r="T340" s="6">
        <f t="shared" si="158"/>
        <v>5398.8214446138627</v>
      </c>
      <c r="V340" s="13">
        <f t="shared" si="153"/>
        <v>36181.021178771916</v>
      </c>
      <c r="W340">
        <f t="shared" si="154"/>
        <v>7616761.529447658</v>
      </c>
      <c r="X340">
        <f t="shared" si="159"/>
        <v>2759.8480989807499</v>
      </c>
      <c r="Y340" s="6">
        <f t="shared" si="160"/>
        <v>5409.3022740022698</v>
      </c>
      <c r="Z340" s="14">
        <f t="shared" si="130"/>
        <v>7.6278889015990642E-2</v>
      </c>
    </row>
    <row r="341" spans="1:26" x14ac:dyDescent="0.3">
      <c r="A341" t="str">
        <f>'rockfish harvests'!A348</f>
        <v>SE</v>
      </c>
      <c r="B341">
        <f>'rockfish harvests'!B348</f>
        <v>2019</v>
      </c>
      <c r="C341" t="str">
        <f>'rockfish harvests'!C348</f>
        <v>SSEI</v>
      </c>
      <c r="D341">
        <f>'rockfish harvests'!D348</f>
        <v>35867</v>
      </c>
      <c r="E341">
        <f>'YE harvest'!E349</f>
        <v>14851</v>
      </c>
      <c r="F341" t="s">
        <v>311</v>
      </c>
      <c r="G341" t="s">
        <v>312</v>
      </c>
      <c r="H341" s="13">
        <f>E341*F341</f>
        <v>12348.483425414361</v>
      </c>
      <c r="I341">
        <f>(E341^2)*G341</f>
        <v>30840.603236622206</v>
      </c>
      <c r="K341" s="6"/>
      <c r="M341" s="2">
        <f>'rockfish harvests'!O348</f>
        <v>69950.34860446323</v>
      </c>
      <c r="N341">
        <f>'rockfish harvests'!P348</f>
        <v>111154603.32156514</v>
      </c>
      <c r="O341">
        <v>0.60254924681344146</v>
      </c>
      <c r="P341">
        <v>2.7782326215544765E-4</v>
      </c>
      <c r="Q341" s="13">
        <f>M341*O341</f>
        <v>42148.529865956989</v>
      </c>
      <c r="R341" s="14">
        <f t="shared" si="129"/>
        <v>41746696.973833993</v>
      </c>
      <c r="S341">
        <f>SQRT(R341)</f>
        <v>6461.1683907660226</v>
      </c>
      <c r="T341" s="6">
        <f>(1.96*S341)</f>
        <v>12663.890045901404</v>
      </c>
      <c r="V341" s="13">
        <f>Q341+H341</f>
        <v>54497.013291371346</v>
      </c>
      <c r="W341">
        <f>R341+I341</f>
        <v>41777537.577070616</v>
      </c>
      <c r="X341">
        <f>SQRT(W341)</f>
        <v>6463.5545620866087</v>
      </c>
      <c r="Y341" s="6">
        <f>(1.96*X341)</f>
        <v>12668.566941689753</v>
      </c>
      <c r="Z341" s="14">
        <f t="shared" si="130"/>
        <v>0.11860383114077923</v>
      </c>
    </row>
    <row r="342" spans="1:26" x14ac:dyDescent="0.3">
      <c r="A342" t="str">
        <f>'rockfish harvests'!A349</f>
        <v>SE</v>
      </c>
      <c r="B342">
        <f>'rockfish harvests'!B349</f>
        <v>2020</v>
      </c>
      <c r="C342" t="str">
        <f>'rockfish harvests'!C349</f>
        <v>SSEI</v>
      </c>
      <c r="D342">
        <f>'rockfish harvests'!D349</f>
        <v>11107</v>
      </c>
      <c r="E342">
        <f>'YE harvest'!E350</f>
        <v>325</v>
      </c>
      <c r="F342" t="s">
        <v>273</v>
      </c>
      <c r="G342" t="s">
        <v>273</v>
      </c>
      <c r="H342" s="13">
        <f t="shared" ref="H342:H343" si="184">E342*F342</f>
        <v>0</v>
      </c>
      <c r="I342">
        <f t="shared" ref="I342:I343" si="185">(E342^2)*G342</f>
        <v>0</v>
      </c>
      <c r="J342">
        <f t="shared" ref="J342" si="186">SQRT(I342)</f>
        <v>0</v>
      </c>
      <c r="K342" s="6">
        <f t="shared" ref="K342" si="187">(1.96*J342)</f>
        <v>0</v>
      </c>
      <c r="M342" s="2">
        <f>'rockfish harvests'!O349</f>
        <v>15196.649154865238</v>
      </c>
      <c r="N342">
        <f>'rockfish harvests'!P349</f>
        <v>6640608.2621304234</v>
      </c>
      <c r="O342">
        <v>2.7900146842878122E-2</v>
      </c>
      <c r="P342">
        <v>3.9884895072094059E-5</v>
      </c>
      <c r="Q342" s="13">
        <f t="shared" ref="Q342:Q343" si="188">M342*O342</f>
        <v>423.98874294043986</v>
      </c>
      <c r="R342" s="14">
        <f t="shared" si="129"/>
        <v>14644.973956100537</v>
      </c>
      <c r="S342">
        <f t="shared" ref="S342:S343" si="189">SQRT(R342)</f>
        <v>121.01642019205715</v>
      </c>
      <c r="T342" s="6">
        <f t="shared" ref="T342:T343" si="190">(1.96*S342)</f>
        <v>237.19218357643203</v>
      </c>
      <c r="V342" s="13">
        <f t="shared" ref="V342:V343" si="191">Q342+H342</f>
        <v>423.98874294043986</v>
      </c>
      <c r="W342">
        <f t="shared" ref="W342:W343" si="192">R342+I342</f>
        <v>14644.973956100537</v>
      </c>
      <c r="X342">
        <f t="shared" ref="X342:X343" si="193">SQRT(W342)</f>
        <v>121.01642019205715</v>
      </c>
      <c r="Y342" s="6">
        <f t="shared" ref="Y342:Y343" si="194">(1.96*X342)</f>
        <v>237.19218357643203</v>
      </c>
      <c r="Z342" s="14">
        <f t="shared" ref="Z342:Z343" si="195">X342/V342</f>
        <v>0.2854236632623452</v>
      </c>
    </row>
    <row r="343" spans="1:26" x14ac:dyDescent="0.3">
      <c r="A343" t="str">
        <f>'rockfish harvests'!A350</f>
        <v>SE</v>
      </c>
      <c r="B343">
        <f>'rockfish harvests'!B350</f>
        <v>2021</v>
      </c>
      <c r="C343" t="str">
        <f>'rockfish harvests'!C350</f>
        <v>SSEI</v>
      </c>
      <c r="D343">
        <f>'rockfish harvests'!D350</f>
        <v>28388</v>
      </c>
      <c r="E343">
        <f>'YE harvest'!E351</f>
        <v>1254</v>
      </c>
      <c r="F343" t="s">
        <v>234</v>
      </c>
      <c r="G343" t="s">
        <v>235</v>
      </c>
      <c r="H343" s="13">
        <f t="shared" si="184"/>
        <v>52.799999999999955</v>
      </c>
      <c r="I343">
        <f t="shared" si="185"/>
        <v>28.100735489587993</v>
      </c>
      <c r="K343" s="6"/>
      <c r="M343" s="2">
        <f>'rockfish harvests'!O350</f>
        <v>14186.636497865038</v>
      </c>
      <c r="N343">
        <f>'rockfish harvests'!P350</f>
        <v>6428956.9149598647</v>
      </c>
      <c r="O343" t="s">
        <v>238</v>
      </c>
      <c r="P343" t="s">
        <v>239</v>
      </c>
      <c r="Q343" s="13">
        <f t="shared" si="188"/>
        <v>932.2646841454166</v>
      </c>
      <c r="R343" s="14">
        <f t="shared" si="129"/>
        <v>46004.792847342062</v>
      </c>
      <c r="S343">
        <f t="shared" si="189"/>
        <v>214.4872789872212</v>
      </c>
      <c r="T343" s="6">
        <f t="shared" si="190"/>
        <v>420.39506681495357</v>
      </c>
      <c r="V343" s="13">
        <f t="shared" si="191"/>
        <v>985.06468414541655</v>
      </c>
      <c r="W343">
        <f t="shared" si="192"/>
        <v>46032.893582831646</v>
      </c>
      <c r="X343">
        <f t="shared" si="193"/>
        <v>214.55277575186867</v>
      </c>
      <c r="Y343" s="6">
        <f t="shared" si="194"/>
        <v>420.52344047366256</v>
      </c>
      <c r="Z343" s="14">
        <f t="shared" si="195"/>
        <v>0.21780577377819801</v>
      </c>
    </row>
    <row r="344" spans="1:26" x14ac:dyDescent="0.3">
      <c r="A344" t="str">
        <f>'rockfish harvests'!A351</f>
        <v>SE</v>
      </c>
      <c r="B344">
        <v>2022</v>
      </c>
      <c r="C344" t="str">
        <f>'rockfish harvests'!C351</f>
        <v>SSEI</v>
      </c>
      <c r="D344">
        <f>'rockfish harvests'!D351</f>
        <v>33837</v>
      </c>
      <c r="E344">
        <f>'YE harvest'!E352</f>
        <v>3983</v>
      </c>
      <c r="F344" t="s">
        <v>236</v>
      </c>
      <c r="G344" t="s">
        <v>237</v>
      </c>
      <c r="H344" s="13">
        <f t="shared" ref="H344" si="196">E344*F344</f>
        <v>251.26401869158875</v>
      </c>
      <c r="I344">
        <f t="shared" ref="I344" si="197">(E344^2)*G344</f>
        <v>431.89819408546725</v>
      </c>
      <c r="K344" s="6"/>
      <c r="M344" s="2">
        <f>'rockfish harvests'!O351</f>
        <v>25305.766593391003</v>
      </c>
      <c r="N344">
        <f>'rockfish harvests'!P351</f>
        <v>17493065.751002964</v>
      </c>
      <c r="O344" t="s">
        <v>240</v>
      </c>
      <c r="P344" t="s">
        <v>241</v>
      </c>
      <c r="Q344" s="13">
        <f t="shared" ref="Q344" si="198">M344*O344</f>
        <v>6102.0997459240807</v>
      </c>
      <c r="R344" s="14">
        <f t="shared" si="129"/>
        <v>1230976.69512198</v>
      </c>
      <c r="S344">
        <f t="shared" ref="S344" si="199">SQRT(R344)</f>
        <v>1109.493891430674</v>
      </c>
      <c r="T344" s="6"/>
      <c r="V344" s="13">
        <f t="shared" ref="V344" si="200">Q344+H344</f>
        <v>6353.3637646156694</v>
      </c>
      <c r="W344">
        <f t="shared" ref="W344" si="201">R344+I344</f>
        <v>1231408.5933160656</v>
      </c>
      <c r="X344">
        <f t="shared" ref="X344" si="202">SQRT(W344)</f>
        <v>1109.68851184288</v>
      </c>
      <c r="Y344" s="6">
        <f t="shared" ref="Y344" si="203">(1.96*X344)</f>
        <v>2174.9894832120449</v>
      </c>
      <c r="Z344" s="14">
        <f t="shared" ref="Z344" si="204">X344/V344</f>
        <v>0.1746615734523439</v>
      </c>
    </row>
    <row r="345" spans="1:26" x14ac:dyDescent="0.3">
      <c r="A345" t="str">
        <f>'rockfish harvests'!A352</f>
        <v>SE</v>
      </c>
      <c r="B345">
        <f>'rockfish harvests'!B352</f>
        <v>1998</v>
      </c>
      <c r="C345" t="str">
        <f>'rockfish harvests'!C352</f>
        <v>SSEO</v>
      </c>
      <c r="D345">
        <f>'rockfish harvests'!D352</f>
        <v>3185</v>
      </c>
      <c r="E345">
        <f>'YE harvest'!E353</f>
        <v>1723</v>
      </c>
      <c r="F345" s="32">
        <v>0.94453026799999995</v>
      </c>
      <c r="G345" s="32">
        <v>9.1548599999999997E-4</v>
      </c>
      <c r="H345" s="13">
        <f t="shared" ref="H345:H352" si="205">E345*F345</f>
        <v>1627.4256517639999</v>
      </c>
      <c r="I345">
        <f t="shared" si="152"/>
        <v>2717.8298372939998</v>
      </c>
      <c r="J345">
        <f t="shared" si="155"/>
        <v>52.132809604835224</v>
      </c>
      <c r="K345" s="6">
        <f t="shared" si="156"/>
        <v>102.18030682547703</v>
      </c>
      <c r="M345" s="2">
        <f>'rockfish harvests'!O352</f>
        <v>1543.4215757484271</v>
      </c>
      <c r="N345">
        <f>'rockfish harvests'!P352</f>
        <v>277633.92962977174</v>
      </c>
      <c r="O345" s="32">
        <v>0.33668710600000001</v>
      </c>
      <c r="P345" s="32">
        <v>4.4514749999999999E-3</v>
      </c>
      <c r="Q345" s="13">
        <f t="shared" si="127"/>
        <v>519.65014367669778</v>
      </c>
      <c r="R345" s="14">
        <f t="shared" si="129"/>
        <v>43312.046943985384</v>
      </c>
      <c r="S345">
        <f t="shared" si="157"/>
        <v>208.11546541279768</v>
      </c>
      <c r="T345" s="6">
        <f t="shared" si="158"/>
        <v>407.90631220908341</v>
      </c>
      <c r="V345" s="13">
        <f t="shared" si="153"/>
        <v>2147.0757954406977</v>
      </c>
      <c r="W345">
        <f t="shared" si="154"/>
        <v>46029.876781279381</v>
      </c>
      <c r="X345">
        <f t="shared" si="159"/>
        <v>214.54574519500352</v>
      </c>
      <c r="Y345" s="6">
        <f t="shared" si="160"/>
        <v>420.50966058220689</v>
      </c>
      <c r="Z345" s="14">
        <f t="shared" si="130"/>
        <v>9.9924625693508393E-2</v>
      </c>
    </row>
    <row r="346" spans="1:26" x14ac:dyDescent="0.3">
      <c r="A346" t="str">
        <f>'rockfish harvests'!A353</f>
        <v>SE</v>
      </c>
      <c r="B346">
        <f>'rockfish harvests'!B353</f>
        <v>1999</v>
      </c>
      <c r="C346" t="str">
        <f>'rockfish harvests'!C353</f>
        <v>SSEO</v>
      </c>
      <c r="D346">
        <f>'rockfish harvests'!D353</f>
        <v>4616</v>
      </c>
      <c r="E346">
        <f>'YE harvest'!E354</f>
        <v>3048</v>
      </c>
      <c r="F346" s="32">
        <v>0.94453026799999995</v>
      </c>
      <c r="G346" s="32">
        <v>9.1548599999999997E-4</v>
      </c>
      <c r="H346" s="13">
        <f t="shared" si="205"/>
        <v>2878.9282568639996</v>
      </c>
      <c r="I346">
        <f t="shared" si="152"/>
        <v>8505.1432477439994</v>
      </c>
      <c r="J346">
        <f t="shared" si="155"/>
        <v>92.223333531942984</v>
      </c>
      <c r="K346" s="6">
        <f t="shared" si="156"/>
        <v>180.75773372260824</v>
      </c>
      <c r="M346" s="2">
        <f>'rockfish harvests'!O353</f>
        <v>2236.8709556215817</v>
      </c>
      <c r="N346">
        <f>'rockfish harvests'!P353</f>
        <v>583156.69651387446</v>
      </c>
      <c r="O346" s="32">
        <v>0.33668710600000001</v>
      </c>
      <c r="P346" s="32">
        <v>4.4514749999999999E-3</v>
      </c>
      <c r="Q346" s="13">
        <f t="shared" si="127"/>
        <v>753.12560854368485</v>
      </c>
      <c r="R346" s="14">
        <f t="shared" si="129"/>
        <v>90974.868413200908</v>
      </c>
      <c r="S346">
        <f t="shared" si="157"/>
        <v>301.62040450407346</v>
      </c>
      <c r="T346" s="6">
        <f t="shared" si="158"/>
        <v>591.17599282798403</v>
      </c>
      <c r="V346" s="13">
        <f t="shared" si="153"/>
        <v>3632.0538654076845</v>
      </c>
      <c r="W346">
        <f t="shared" si="154"/>
        <v>99480.011660944903</v>
      </c>
      <c r="X346">
        <f t="shared" si="159"/>
        <v>315.40452067296832</v>
      </c>
      <c r="Y346" s="6">
        <f t="shared" si="160"/>
        <v>618.19286051901793</v>
      </c>
      <c r="Z346" s="14">
        <f t="shared" si="130"/>
        <v>8.6839163834252595E-2</v>
      </c>
    </row>
    <row r="347" spans="1:26" x14ac:dyDescent="0.3">
      <c r="A347" t="str">
        <f>'rockfish harvests'!A354</f>
        <v>SE</v>
      </c>
      <c r="B347">
        <f>'rockfish harvests'!B354</f>
        <v>2000</v>
      </c>
      <c r="C347" t="str">
        <f>'rockfish harvests'!C354</f>
        <v>SSEO</v>
      </c>
      <c r="D347">
        <f>'rockfish harvests'!D354</f>
        <v>6910</v>
      </c>
      <c r="E347">
        <f>'YE harvest'!E355</f>
        <v>4760</v>
      </c>
      <c r="F347" s="32">
        <v>0.94453026799999995</v>
      </c>
      <c r="G347" s="32">
        <v>9.1548599999999997E-4</v>
      </c>
      <c r="H347" s="13">
        <f t="shared" si="205"/>
        <v>4495.96407568</v>
      </c>
      <c r="I347">
        <f t="shared" si="152"/>
        <v>20742.715593599998</v>
      </c>
      <c r="J347">
        <f t="shared" si="155"/>
        <v>144.02331614568524</v>
      </c>
      <c r="K347" s="6">
        <f t="shared" si="156"/>
        <v>282.28569964554305</v>
      </c>
      <c r="M347" s="2">
        <f>'rockfish harvests'!O354</f>
        <v>3348.5221627697429</v>
      </c>
      <c r="N347">
        <f>'rockfish harvests'!P354</f>
        <v>1306801.9129460659</v>
      </c>
      <c r="O347" s="32">
        <v>0.33668710600000001</v>
      </c>
      <c r="P347" s="32">
        <v>4.4514749999999999E-3</v>
      </c>
      <c r="Q347" s="13">
        <f t="shared" si="127"/>
        <v>1127.4042363598057</v>
      </c>
      <c r="R347" s="14">
        <f t="shared" si="129"/>
        <v>203866.52984196512</v>
      </c>
      <c r="S347">
        <f t="shared" si="157"/>
        <v>451.51581350154851</v>
      </c>
      <c r="T347" s="6">
        <f t="shared" si="158"/>
        <v>884.97099446303503</v>
      </c>
      <c r="V347" s="13">
        <f t="shared" si="153"/>
        <v>5623.3683120398055</v>
      </c>
      <c r="W347">
        <f t="shared" si="154"/>
        <v>224609.24543556513</v>
      </c>
      <c r="X347">
        <f t="shared" si="159"/>
        <v>473.92957856158876</v>
      </c>
      <c r="Y347" s="6">
        <f t="shared" si="160"/>
        <v>928.90197398071393</v>
      </c>
      <c r="Z347" s="14">
        <f t="shared" si="130"/>
        <v>8.4278594654184552E-2</v>
      </c>
    </row>
    <row r="348" spans="1:26" x14ac:dyDescent="0.3">
      <c r="A348" t="str">
        <f>'rockfish harvests'!A355</f>
        <v>SE</v>
      </c>
      <c r="B348">
        <f>'rockfish harvests'!B355</f>
        <v>2001</v>
      </c>
      <c r="C348" t="str">
        <f>'rockfish harvests'!C355</f>
        <v>SSEO</v>
      </c>
      <c r="D348">
        <f>'rockfish harvests'!D355</f>
        <v>5756</v>
      </c>
      <c r="E348">
        <f>'YE harvest'!E356</f>
        <v>3877</v>
      </c>
      <c r="F348" s="32">
        <v>0.94453026799999995</v>
      </c>
      <c r="G348" s="32">
        <v>9.1548599999999997E-4</v>
      </c>
      <c r="H348" s="13">
        <f t="shared" si="205"/>
        <v>3661.9438490359998</v>
      </c>
      <c r="I348">
        <f t="shared" si="152"/>
        <v>13760.788163694</v>
      </c>
      <c r="J348">
        <f t="shared" si="155"/>
        <v>117.30638586067683</v>
      </c>
      <c r="K348" s="6">
        <f t="shared" si="156"/>
        <v>229.92051628692658</v>
      </c>
      <c r="M348" s="2">
        <f>'rockfish harvests'!O355</f>
        <v>2789.304423864347</v>
      </c>
      <c r="N348">
        <f>'rockfish harvests'!P355</f>
        <v>906766.02050430153</v>
      </c>
      <c r="O348" s="32">
        <v>0.33668710600000001</v>
      </c>
      <c r="P348" s="32">
        <v>4.4514749999999999E-3</v>
      </c>
      <c r="Q348" s="13">
        <f t="shared" ref="Q348:Q365" si="206">M348*O348</f>
        <v>939.12283422388441</v>
      </c>
      <c r="R348" s="14">
        <f t="shared" si="129"/>
        <v>141459.26796362872</v>
      </c>
      <c r="S348">
        <f t="shared" si="157"/>
        <v>376.11071237553011</v>
      </c>
      <c r="T348" s="6">
        <f t="shared" si="158"/>
        <v>737.17699625603905</v>
      </c>
      <c r="V348" s="13">
        <f t="shared" si="153"/>
        <v>4601.0666832598845</v>
      </c>
      <c r="W348">
        <f t="shared" si="154"/>
        <v>155220.05612732272</v>
      </c>
      <c r="X348">
        <f t="shared" si="159"/>
        <v>393.9797661394843</v>
      </c>
      <c r="Y348" s="6">
        <f t="shared" si="160"/>
        <v>772.20034163338926</v>
      </c>
      <c r="Z348" s="14">
        <f t="shared" si="130"/>
        <v>8.5627919189457863E-2</v>
      </c>
    </row>
    <row r="349" spans="1:26" x14ac:dyDescent="0.3">
      <c r="A349" t="str">
        <f>'rockfish harvests'!A356</f>
        <v>SE</v>
      </c>
      <c r="B349">
        <f>'rockfish harvests'!B356</f>
        <v>2002</v>
      </c>
      <c r="C349" t="str">
        <f>'rockfish harvests'!C356</f>
        <v>SSEO</v>
      </c>
      <c r="D349">
        <f>'rockfish harvests'!D356</f>
        <v>7617</v>
      </c>
      <c r="E349">
        <f>'YE harvest'!E357</f>
        <v>4125</v>
      </c>
      <c r="F349" s="32">
        <v>0.94453026799999995</v>
      </c>
      <c r="G349" s="32">
        <v>9.1548599999999997E-4</v>
      </c>
      <c r="H349" s="13">
        <f t="shared" si="205"/>
        <v>3896.1873554999997</v>
      </c>
      <c r="I349">
        <f t="shared" si="152"/>
        <v>15577.566468749999</v>
      </c>
      <c r="J349">
        <f t="shared" si="155"/>
        <v>124.81012165986378</v>
      </c>
      <c r="K349" s="6">
        <f t="shared" si="156"/>
        <v>244.627838453333</v>
      </c>
      <c r="M349" s="2">
        <f>'rockfish harvests'!O356</f>
        <v>3691.1278312325794</v>
      </c>
      <c r="N349">
        <f>'rockfish harvests'!P356</f>
        <v>1587894.256982432</v>
      </c>
      <c r="O349" s="32">
        <v>0.33668710600000001</v>
      </c>
      <c r="P349" s="32">
        <v>4.4514749999999999E-3</v>
      </c>
      <c r="Q349" s="13">
        <f t="shared" si="206"/>
        <v>1242.7551473737535</v>
      </c>
      <c r="R349" s="14">
        <f t="shared" ref="R349:R369" si="207">(M349^2)*P349+(O349^2)*N349+(P349*N349)</f>
        <v>247718.10380748534</v>
      </c>
      <c r="S349">
        <f t="shared" si="157"/>
        <v>497.7128728569167</v>
      </c>
      <c r="T349" s="6">
        <f t="shared" si="158"/>
        <v>975.51723079955673</v>
      </c>
      <c r="V349" s="13">
        <f t="shared" si="153"/>
        <v>5138.9425028737533</v>
      </c>
      <c r="W349">
        <f t="shared" si="154"/>
        <v>263295.67027623532</v>
      </c>
      <c r="X349">
        <f t="shared" si="159"/>
        <v>513.12344545560893</v>
      </c>
      <c r="Y349" s="6">
        <f t="shared" si="160"/>
        <v>1005.7219530929934</v>
      </c>
      <c r="Z349" s="14">
        <f t="shared" si="130"/>
        <v>9.9850007111125419E-2</v>
      </c>
    </row>
    <row r="350" spans="1:26" x14ac:dyDescent="0.3">
      <c r="A350" t="str">
        <f>'rockfish harvests'!A357</f>
        <v>SE</v>
      </c>
      <c r="B350">
        <f>'rockfish harvests'!B357</f>
        <v>2003</v>
      </c>
      <c r="C350" t="str">
        <f>'rockfish harvests'!C357</f>
        <v>SSEO</v>
      </c>
      <c r="D350">
        <f>'rockfish harvests'!D357</f>
        <v>6896</v>
      </c>
      <c r="E350">
        <f>'YE harvest'!E358</f>
        <v>4090</v>
      </c>
      <c r="F350" s="32">
        <v>0.94453026799999995</v>
      </c>
      <c r="G350" s="32">
        <v>9.1548599999999997E-4</v>
      </c>
      <c r="H350" s="13">
        <f t="shared" si="205"/>
        <v>3863.1287961199996</v>
      </c>
      <c r="I350">
        <f t="shared" si="152"/>
        <v>15314.3413566</v>
      </c>
      <c r="J350">
        <f t="shared" si="155"/>
        <v>123.75112668820434</v>
      </c>
      <c r="K350" s="6">
        <f t="shared" si="156"/>
        <v>242.55220830888049</v>
      </c>
      <c r="M350" s="2">
        <f>'rockfish harvests'!O357</f>
        <v>3341.7378921071122</v>
      </c>
      <c r="N350">
        <f>'rockfish harvests'!P357</f>
        <v>1301511.9872539048</v>
      </c>
      <c r="O350" s="32">
        <v>0.33668710600000001</v>
      </c>
      <c r="P350" s="32">
        <v>4.4514749999999999E-3</v>
      </c>
      <c r="Q350" s="13">
        <f t="shared" si="206"/>
        <v>1125.120059904084</v>
      </c>
      <c r="R350" s="14">
        <f t="shared" si="207"/>
        <v>203041.27944762533</v>
      </c>
      <c r="S350">
        <f t="shared" si="157"/>
        <v>450.60102024698671</v>
      </c>
      <c r="T350" s="6">
        <f t="shared" si="158"/>
        <v>883.17799968409395</v>
      </c>
      <c r="V350" s="13">
        <f t="shared" si="153"/>
        <v>4988.2488560240836</v>
      </c>
      <c r="W350">
        <f t="shared" si="154"/>
        <v>218355.62080422533</v>
      </c>
      <c r="X350">
        <f t="shared" si="159"/>
        <v>467.28537405339932</v>
      </c>
      <c r="Y350" s="6">
        <f t="shared" si="160"/>
        <v>915.87933314466261</v>
      </c>
      <c r="Z350" s="14">
        <f t="shared" si="130"/>
        <v>9.3677237752298553E-2</v>
      </c>
    </row>
    <row r="351" spans="1:26" x14ac:dyDescent="0.3">
      <c r="A351" t="str">
        <f>'rockfish harvests'!A358</f>
        <v>SE</v>
      </c>
      <c r="B351">
        <f>'rockfish harvests'!B358</f>
        <v>2004</v>
      </c>
      <c r="C351" t="str">
        <f>'rockfish harvests'!C358</f>
        <v>SSEO</v>
      </c>
      <c r="D351">
        <f>'rockfish harvests'!D358</f>
        <v>10061</v>
      </c>
      <c r="E351">
        <f>'YE harvest'!E359</f>
        <v>5918</v>
      </c>
      <c r="F351" s="32">
        <v>0.94453026799999995</v>
      </c>
      <c r="G351" s="32">
        <v>9.1548599999999997E-4</v>
      </c>
      <c r="H351" s="13">
        <f t="shared" si="205"/>
        <v>5589.7301260240001</v>
      </c>
      <c r="I351">
        <f t="shared" si="152"/>
        <v>32062.813503863999</v>
      </c>
      <c r="J351">
        <f t="shared" si="155"/>
        <v>179.0609212080179</v>
      </c>
      <c r="K351" s="6">
        <f t="shared" si="156"/>
        <v>350.95940556771507</v>
      </c>
      <c r="M351" s="2">
        <f>'rockfish harvests'!O358</f>
        <v>4875.4676526232088</v>
      </c>
      <c r="N351">
        <f>'rockfish harvests'!P358</f>
        <v>2770358.4485732173</v>
      </c>
      <c r="O351" s="32">
        <v>0.33668710600000001</v>
      </c>
      <c r="P351" s="32">
        <v>4.4514749999999999E-3</v>
      </c>
      <c r="Q351" s="13">
        <f t="shared" si="206"/>
        <v>1641.5070943583216</v>
      </c>
      <c r="R351" s="14">
        <f t="shared" si="207"/>
        <v>432187.43233681016</v>
      </c>
      <c r="S351">
        <f t="shared" si="157"/>
        <v>657.40963815326757</v>
      </c>
      <c r="T351" s="6">
        <f t="shared" si="158"/>
        <v>1288.5228907804044</v>
      </c>
      <c r="V351" s="13">
        <f t="shared" si="153"/>
        <v>7231.2372203823215</v>
      </c>
      <c r="W351">
        <f t="shared" si="154"/>
        <v>464250.24584067415</v>
      </c>
      <c r="X351">
        <f t="shared" si="159"/>
        <v>681.35911664897696</v>
      </c>
      <c r="Y351" s="6">
        <f t="shared" si="160"/>
        <v>1335.4638686319947</v>
      </c>
      <c r="Z351" s="14">
        <f t="shared" si="130"/>
        <v>9.4224417742577241E-2</v>
      </c>
    </row>
    <row r="352" spans="1:26" x14ac:dyDescent="0.3">
      <c r="A352" t="str">
        <f>'rockfish harvests'!A359</f>
        <v>SE</v>
      </c>
      <c r="B352">
        <f>'rockfish harvests'!B359</f>
        <v>2005</v>
      </c>
      <c r="C352" t="str">
        <f>'rockfish harvests'!C359</f>
        <v>SSEO</v>
      </c>
      <c r="D352">
        <f>'rockfish harvests'!D359</f>
        <v>12666</v>
      </c>
      <c r="E352">
        <f>'YE harvest'!E360</f>
        <v>7243</v>
      </c>
      <c r="F352" s="32">
        <v>0.94453026799999995</v>
      </c>
      <c r="G352" s="32">
        <v>9.1548599999999997E-4</v>
      </c>
      <c r="H352" s="13">
        <f t="shared" si="205"/>
        <v>6841.2327311239997</v>
      </c>
      <c r="I352">
        <f t="shared" si="152"/>
        <v>48027.355904814001</v>
      </c>
      <c r="J352">
        <f t="shared" si="155"/>
        <v>219.15144513512567</v>
      </c>
      <c r="K352" s="6">
        <f t="shared" si="156"/>
        <v>429.53683246484633</v>
      </c>
      <c r="M352" s="2">
        <f>'rockfish harvests'!O359</f>
        <v>6137.826586634088</v>
      </c>
      <c r="N352">
        <f>'rockfish harvests'!P359</f>
        <v>4390688.5733686173</v>
      </c>
      <c r="O352" s="32">
        <v>0.33668710600000001</v>
      </c>
      <c r="P352" s="32">
        <v>4.4514749999999999E-3</v>
      </c>
      <c r="Q352" s="13">
        <f t="shared" si="206"/>
        <v>2066.5270705836892</v>
      </c>
      <c r="R352" s="14">
        <f t="shared" si="207"/>
        <v>684965.66633536248</v>
      </c>
      <c r="S352">
        <f t="shared" si="157"/>
        <v>827.62652587707851</v>
      </c>
      <c r="T352" s="6">
        <f t="shared" si="158"/>
        <v>1622.1479907190737</v>
      </c>
      <c r="V352" s="13">
        <f t="shared" si="153"/>
        <v>8907.7598017076889</v>
      </c>
      <c r="W352">
        <f t="shared" si="154"/>
        <v>732993.02224017645</v>
      </c>
      <c r="X352">
        <f t="shared" si="159"/>
        <v>856.15011665021484</v>
      </c>
      <c r="Y352" s="6">
        <f t="shared" si="160"/>
        <v>1678.054228634421</v>
      </c>
      <c r="Z352" s="14">
        <f t="shared" si="130"/>
        <v>9.6112842702166718E-2</v>
      </c>
    </row>
    <row r="353" spans="1:26" x14ac:dyDescent="0.3">
      <c r="A353" t="str">
        <f>'rockfish harvests'!A360</f>
        <v>SE</v>
      </c>
      <c r="B353">
        <f>'rockfish harvests'!B360</f>
        <v>2006</v>
      </c>
      <c r="C353" t="str">
        <f>'rockfish harvests'!C360</f>
        <v>SSEO</v>
      </c>
      <c r="D353">
        <f>'rockfish harvests'!D360</f>
        <v>12007</v>
      </c>
      <c r="E353">
        <f>'YE harvest'!E361</f>
        <v>7233</v>
      </c>
      <c r="F353">
        <f>IF([2]species_comp_Region1_forR!$H274&gt;49,[2]species_comp_Region1_forR!$AM274,[2]species_comp_Region1_forR!$AO274)</f>
        <v>0.96232876700000003</v>
      </c>
      <c r="G353">
        <f>IF([2]species_comp_Region1_forR!$H274&gt;49,[2]species_comp_Region1_forR!$AN274,[2]species_comp_Region1_forR!$AP274)</f>
        <v>1.24578E-4</v>
      </c>
      <c r="H353" s="13">
        <f t="shared" ref="H353:H365" si="208">E353*F353</f>
        <v>6960.5239717109998</v>
      </c>
      <c r="I353">
        <f t="shared" si="152"/>
        <v>6517.4586510420004</v>
      </c>
      <c r="J353">
        <f t="shared" si="155"/>
        <v>80.730778833366898</v>
      </c>
      <c r="K353" s="6">
        <f t="shared" si="156"/>
        <v>158.23232651339913</v>
      </c>
      <c r="M353" s="2">
        <f>'rockfish harvests'!O360</f>
        <v>5818.4812747288415</v>
      </c>
      <c r="N353">
        <f>'rockfish harvests'!P360</f>
        <v>3945687.5188521035</v>
      </c>
      <c r="O353">
        <f>IF([2]species_comp_Region1_forR!$D296&gt;49,[2]species_comp_Region1_forR!$AI296,[2]species_comp_Region1_forR!$AK296)</f>
        <v>0.514705882</v>
      </c>
      <c r="P353">
        <f>IF([2]species_comp_Region1_forR!$D296&gt;49,[2]species_comp_Region1_forR!$AJ296,[2]species_comp_Region1_forR!$AL296)</f>
        <v>1.8502499999999999E-3</v>
      </c>
      <c r="Q353" s="13">
        <f t="shared" si="206"/>
        <v>2994.8065364097929</v>
      </c>
      <c r="R353" s="14">
        <f t="shared" si="207"/>
        <v>1115240.2129074254</v>
      </c>
      <c r="S353">
        <f t="shared" si="157"/>
        <v>1056.0493420799169</v>
      </c>
      <c r="T353" s="6">
        <f t="shared" si="158"/>
        <v>2069.8567104766371</v>
      </c>
      <c r="V353" s="13">
        <f t="shared" si="153"/>
        <v>9955.3305081207927</v>
      </c>
      <c r="W353">
        <f t="shared" si="154"/>
        <v>1121757.6715584674</v>
      </c>
      <c r="X353">
        <f t="shared" si="159"/>
        <v>1059.1306206311228</v>
      </c>
      <c r="Y353" s="6">
        <f t="shared" si="160"/>
        <v>2075.8960164370005</v>
      </c>
      <c r="Z353" s="14">
        <f t="shared" si="130"/>
        <v>0.1063882931628604</v>
      </c>
    </row>
    <row r="354" spans="1:26" x14ac:dyDescent="0.3">
      <c r="A354" t="str">
        <f>'rockfish harvests'!A361</f>
        <v>SE</v>
      </c>
      <c r="B354">
        <f>'rockfish harvests'!B361</f>
        <v>2007</v>
      </c>
      <c r="C354" t="str">
        <f>'rockfish harvests'!C361</f>
        <v>SSEO</v>
      </c>
      <c r="D354">
        <f>'rockfish harvests'!D361</f>
        <v>12018</v>
      </c>
      <c r="E354">
        <f>'YE harvest'!E362</f>
        <v>6094</v>
      </c>
      <c r="F354">
        <f>IF([2]species_comp_Region1_forR!$H275&gt;49,[2]species_comp_Region1_forR!$AM275,[2]species_comp_Region1_forR!$AO275)</f>
        <v>0.97003154599999997</v>
      </c>
      <c r="G354">
        <f>IF([2]species_comp_Region1_forR!$H275&gt;49,[2]species_comp_Region1_forR!$AN275,[2]species_comp_Region1_forR!$AP275)</f>
        <v>4.5924699999999998E-5</v>
      </c>
      <c r="H354" s="13">
        <f t="shared" si="208"/>
        <v>5911.3722413240002</v>
      </c>
      <c r="I354">
        <f t="shared" si="152"/>
        <v>1705.4980522491999</v>
      </c>
      <c r="J354">
        <f t="shared" si="155"/>
        <v>41.297676111970269</v>
      </c>
      <c r="K354" s="6">
        <f t="shared" si="156"/>
        <v>80.943445179461719</v>
      </c>
      <c r="M354" s="2">
        <f>'rockfish harvests'!O361</f>
        <v>5823.8117731066231</v>
      </c>
      <c r="N354">
        <f>'rockfish harvests'!P361</f>
        <v>3952920.3736786586</v>
      </c>
      <c r="O354">
        <f>IF([2]species_comp_Region1_forR!$D297&gt;49,[2]species_comp_Region1_forR!$AI297,[2]species_comp_Region1_forR!$AK297)</f>
        <v>0.35040431300000002</v>
      </c>
      <c r="P354">
        <f>IF([2]species_comp_Region1_forR!$D297&gt;49,[2]species_comp_Region1_forR!$AJ297,[2]species_comp_Region1_forR!$AL297)</f>
        <v>6.1519199999999997E-4</v>
      </c>
      <c r="Q354" s="13">
        <f t="shared" si="206"/>
        <v>2040.6887633967383</v>
      </c>
      <c r="R354" s="14">
        <f t="shared" si="207"/>
        <v>508649.28282975737</v>
      </c>
      <c r="S354">
        <f t="shared" si="157"/>
        <v>713.19652468990432</v>
      </c>
      <c r="T354" s="6">
        <f t="shared" si="158"/>
        <v>1397.8651883922125</v>
      </c>
      <c r="V354" s="13">
        <f t="shared" si="153"/>
        <v>7952.0610047207383</v>
      </c>
      <c r="W354">
        <f t="shared" si="154"/>
        <v>510354.78088200657</v>
      </c>
      <c r="X354">
        <f t="shared" si="159"/>
        <v>714.39119597179149</v>
      </c>
      <c r="Y354" s="6">
        <f t="shared" si="160"/>
        <v>1400.2067441047113</v>
      </c>
      <c r="Z354" s="14">
        <f t="shared" si="130"/>
        <v>8.9837237861693134E-2</v>
      </c>
    </row>
    <row r="355" spans="1:26" x14ac:dyDescent="0.3">
      <c r="A355" t="str">
        <f>'rockfish harvests'!A362</f>
        <v>SE</v>
      </c>
      <c r="B355">
        <f>'rockfish harvests'!B362</f>
        <v>2008</v>
      </c>
      <c r="C355" t="str">
        <f>'rockfish harvests'!C362</f>
        <v>SSEO</v>
      </c>
      <c r="D355">
        <f>'rockfish harvests'!D362</f>
        <v>17754</v>
      </c>
      <c r="E355">
        <f>'YE harvest'!E363</f>
        <v>6953</v>
      </c>
      <c r="F355">
        <f>IF([2]species_comp_Region1_forR!$H276&gt;49,[2]species_comp_Region1_forR!$AM276,[2]species_comp_Region1_forR!$AO276)</f>
        <v>0.95098039199999995</v>
      </c>
      <c r="G355">
        <f>IF([2]species_comp_Region1_forR!$H276&gt;49,[2]species_comp_Region1_forR!$AN276,[2]species_comp_Region1_forR!$AP276)</f>
        <v>5.0836099999999999E-5</v>
      </c>
      <c r="H355" s="13">
        <f t="shared" si="208"/>
        <v>6612.166665576</v>
      </c>
      <c r="I355">
        <f t="shared" si="152"/>
        <v>2457.6310431449001</v>
      </c>
      <c r="J355">
        <f t="shared" si="155"/>
        <v>49.574499928339165</v>
      </c>
      <c r="K355" s="6">
        <f t="shared" si="156"/>
        <v>97.166019859544761</v>
      </c>
      <c r="M355" s="2">
        <f>'rockfish harvests'!O362</f>
        <v>8603.4243817386414</v>
      </c>
      <c r="N355">
        <f>'rockfish harvests'!P362</f>
        <v>8626727.8588684946</v>
      </c>
      <c r="O355">
        <f>IF([2]species_comp_Region1_forR!$D298&gt;49,[2]species_comp_Region1_forR!$AI298,[2]species_comp_Region1_forR!$AK298)</f>
        <v>0.31578947400000001</v>
      </c>
      <c r="P355">
        <f>IF([2]species_comp_Region1_forR!$D298&gt;49,[2]species_comp_Region1_forR!$AJ298,[2]species_comp_Region1_forR!$AL298)</f>
        <v>4.0690499999999999E-4</v>
      </c>
      <c r="Q355" s="13">
        <f t="shared" si="206"/>
        <v>2716.8708601080207</v>
      </c>
      <c r="R355" s="14">
        <f t="shared" si="207"/>
        <v>893912.03601767321</v>
      </c>
      <c r="S355">
        <f t="shared" si="157"/>
        <v>945.46921473820248</v>
      </c>
      <c r="T355" s="6">
        <f t="shared" si="158"/>
        <v>1853.1196608868768</v>
      </c>
      <c r="V355" s="13">
        <f t="shared" si="153"/>
        <v>9329.0375256840198</v>
      </c>
      <c r="W355">
        <f t="shared" si="154"/>
        <v>896369.66706081806</v>
      </c>
      <c r="X355">
        <f t="shared" si="159"/>
        <v>946.76801121542871</v>
      </c>
      <c r="Y355" s="6">
        <f t="shared" si="160"/>
        <v>1855.6653019822402</v>
      </c>
      <c r="Z355" s="14">
        <f t="shared" si="130"/>
        <v>0.10148614030213264</v>
      </c>
    </row>
    <row r="356" spans="1:26" x14ac:dyDescent="0.3">
      <c r="A356" t="str">
        <f>'rockfish harvests'!A363</f>
        <v>SE</v>
      </c>
      <c r="B356">
        <f>'rockfish harvests'!B363</f>
        <v>2009</v>
      </c>
      <c r="C356" t="str">
        <f>'rockfish harvests'!C363</f>
        <v>SSEO</v>
      </c>
      <c r="D356">
        <f>'rockfish harvests'!D363</f>
        <v>9645</v>
      </c>
      <c r="E356">
        <f>'YE harvest'!E364</f>
        <v>3692</v>
      </c>
      <c r="F356">
        <f>IF([2]species_comp_Region1_forR!$H277&gt;49,[2]species_comp_Region1_forR!$AM277,[2]species_comp_Region1_forR!$AO277)</f>
        <v>0.96043165500000005</v>
      </c>
      <c r="G356">
        <f>IF([2]species_comp_Region1_forR!$H277&gt;49,[2]species_comp_Region1_forR!$AN277,[2]species_comp_Region1_forR!$AP277)</f>
        <v>6.8473300000000001E-5</v>
      </c>
      <c r="H356" s="13">
        <f t="shared" si="208"/>
        <v>3545.9136702600003</v>
      </c>
      <c r="I356">
        <f t="shared" si="152"/>
        <v>933.35023993120001</v>
      </c>
      <c r="J356">
        <f t="shared" si="155"/>
        <v>30.550781330944712</v>
      </c>
      <c r="K356" s="6">
        <f t="shared" si="156"/>
        <v>59.879531408651637</v>
      </c>
      <c r="M356" s="2">
        <f>'rockfish harvests'!O363</f>
        <v>4673.8778957907616</v>
      </c>
      <c r="N356">
        <f>'rockfish harvests'!P363</f>
        <v>2545998.4255660125</v>
      </c>
      <c r="O356">
        <f>IF([2]species_comp_Region1_forR!$D299&gt;49,[2]species_comp_Region1_forR!$AI299,[2]species_comp_Region1_forR!$AK299)</f>
        <v>0.31498470899999997</v>
      </c>
      <c r="P356">
        <f>IF([2]species_comp_Region1_forR!$D299&gt;49,[2]species_comp_Region1_forR!$AJ299,[2]species_comp_Region1_forR!$AL299)</f>
        <v>3.3042800000000002E-4</v>
      </c>
      <c r="Q356" s="13">
        <f t="shared" si="206"/>
        <v>1472.2000689071851</v>
      </c>
      <c r="R356" s="14">
        <f t="shared" si="207"/>
        <v>260661.68122740288</v>
      </c>
      <c r="S356">
        <f t="shared" si="157"/>
        <v>510.55037090124898</v>
      </c>
      <c r="T356" s="6">
        <f t="shared" si="158"/>
        <v>1000.678726966448</v>
      </c>
      <c r="V356" s="13">
        <f t="shared" si="153"/>
        <v>5018.1137391671855</v>
      </c>
      <c r="W356">
        <f t="shared" si="154"/>
        <v>261595.03146733408</v>
      </c>
      <c r="X356">
        <f t="shared" si="159"/>
        <v>511.46361695367352</v>
      </c>
      <c r="Y356" s="6">
        <f t="shared" si="160"/>
        <v>1002.4686892292001</v>
      </c>
      <c r="Z356" s="14">
        <f t="shared" si="130"/>
        <v>0.10192348032321739</v>
      </c>
    </row>
    <row r="357" spans="1:26" x14ac:dyDescent="0.3">
      <c r="A357" t="str">
        <f>'rockfish harvests'!A364</f>
        <v>SE</v>
      </c>
      <c r="B357">
        <f>'rockfish harvests'!B364</f>
        <v>2010</v>
      </c>
      <c r="C357" t="str">
        <f>'rockfish harvests'!C364</f>
        <v>SSEO</v>
      </c>
      <c r="D357">
        <f>'rockfish harvests'!D364</f>
        <v>12415</v>
      </c>
      <c r="E357">
        <f>'YE harvest'!E365</f>
        <v>4993</v>
      </c>
      <c r="F357">
        <f>IF([2]species_comp_Region1_forR!$H278&gt;49,[2]species_comp_Region1_forR!$AM278,[2]species_comp_Region1_forR!$AO278)</f>
        <v>0.97435897400000004</v>
      </c>
      <c r="G357">
        <f>IF([2]species_comp_Region1_forR!$H278&gt;49,[2]species_comp_Region1_forR!$AN278,[2]species_comp_Region1_forR!$AP278)</f>
        <v>3.5639899999999997E-5</v>
      </c>
      <c r="H357" s="13">
        <f t="shared" si="208"/>
        <v>4864.9743571819999</v>
      </c>
      <c r="I357">
        <f t="shared" si="152"/>
        <v>888.50445335509994</v>
      </c>
      <c r="J357">
        <f t="shared" si="155"/>
        <v>29.807791822862356</v>
      </c>
      <c r="K357" s="6">
        <f t="shared" si="156"/>
        <v>58.42327197281022</v>
      </c>
      <c r="M357" s="2">
        <f>'rockfish harvests'!O364</f>
        <v>6016.1943054683579</v>
      </c>
      <c r="N357">
        <f>'rockfish harvests'!P364</f>
        <v>4218393.7471152442</v>
      </c>
      <c r="O357">
        <f>IF([2]species_comp_Region1_forR!$D300&gt;49,[2]species_comp_Region1_forR!$AI300,[2]species_comp_Region1_forR!$AK300)</f>
        <v>0.40868454700000001</v>
      </c>
      <c r="P357">
        <f>IF([2]species_comp_Region1_forR!$D300&gt;49,[2]species_comp_Region1_forR!$AJ300,[2]species_comp_Region1_forR!$AL300)</f>
        <v>3.0903000000000001E-4</v>
      </c>
      <c r="Q357" s="13">
        <f t="shared" si="206"/>
        <v>2458.7256443943156</v>
      </c>
      <c r="R357" s="14">
        <f t="shared" si="207"/>
        <v>717057.85310568614</v>
      </c>
      <c r="S357">
        <f t="shared" si="157"/>
        <v>846.79268602514878</v>
      </c>
      <c r="T357" s="6">
        <f t="shared" si="158"/>
        <v>1659.7136646092915</v>
      </c>
      <c r="V357" s="13">
        <f t="shared" si="153"/>
        <v>7323.7000015763151</v>
      </c>
      <c r="W357">
        <f t="shared" si="154"/>
        <v>717946.35755904124</v>
      </c>
      <c r="X357">
        <f t="shared" si="159"/>
        <v>847.31715287667885</v>
      </c>
      <c r="Y357" s="6">
        <f t="shared" si="160"/>
        <v>1660.7416196382906</v>
      </c>
      <c r="Z357" s="14">
        <f t="shared" si="130"/>
        <v>0.11569522955532131</v>
      </c>
    </row>
    <row r="358" spans="1:26" x14ac:dyDescent="0.3">
      <c r="A358" t="str">
        <f>'rockfish harvests'!A365</f>
        <v>SE</v>
      </c>
      <c r="B358">
        <f>'rockfish harvests'!B365</f>
        <v>2011</v>
      </c>
      <c r="C358" t="str">
        <f>'rockfish harvests'!C365</f>
        <v>SSEO</v>
      </c>
      <c r="D358">
        <f>'rockfish harvests'!D365</f>
        <v>11926</v>
      </c>
      <c r="E358">
        <f>'YE harvest'!E366</f>
        <v>3783</v>
      </c>
      <c r="F358">
        <f>IF([2]species_comp_Region1_forR!$H279&gt;49,[2]species_comp_Region1_forR!$AM279,[2]species_comp_Region1_forR!$AO279)</f>
        <v>0.93660531700000005</v>
      </c>
      <c r="G358">
        <f>IF([2]species_comp_Region1_forR!$H279&gt;49,[2]species_comp_Region1_forR!$AN279,[2]species_comp_Region1_forR!$AP279)</f>
        <v>1.21672E-4</v>
      </c>
      <c r="H358" s="13">
        <f t="shared" si="208"/>
        <v>3543.1779142110004</v>
      </c>
      <c r="I358">
        <f t="shared" si="152"/>
        <v>1741.2588208079999</v>
      </c>
      <c r="J358">
        <f t="shared" si="155"/>
        <v>41.728393460664165</v>
      </c>
      <c r="K358" s="6">
        <f t="shared" si="156"/>
        <v>81.787651182901769</v>
      </c>
      <c r="M358" s="2">
        <f>'rockfish harvests'!O365</f>
        <v>5499.8326454033777</v>
      </c>
      <c r="N358">
        <f>'rockfish harvests'!P365</f>
        <v>3434887.6393615259</v>
      </c>
      <c r="O358">
        <f>IF([2]species_comp_Region1_forR!$D301&gt;49,[2]species_comp_Region1_forR!$AI301,[2]species_comp_Region1_forR!$AK301)</f>
        <v>0.356164384</v>
      </c>
      <c r="P358">
        <f>IF([2]species_comp_Region1_forR!$D301&gt;49,[2]species_comp_Region1_forR!$AJ301,[2]species_comp_Region1_forR!$AL301)</f>
        <v>4.4963000000000002E-4</v>
      </c>
      <c r="Q358" s="13">
        <f t="shared" si="206"/>
        <v>1958.8445062531844</v>
      </c>
      <c r="R358" s="14">
        <f t="shared" si="207"/>
        <v>450870.94508338958</v>
      </c>
      <c r="S358">
        <f t="shared" si="157"/>
        <v>671.46924358706826</v>
      </c>
      <c r="T358" s="6">
        <f t="shared" si="158"/>
        <v>1316.0797174306538</v>
      </c>
      <c r="V358" s="13">
        <f t="shared" si="153"/>
        <v>5502.0224204641845</v>
      </c>
      <c r="W358">
        <f t="shared" si="154"/>
        <v>452612.20390419761</v>
      </c>
      <c r="X358">
        <f t="shared" si="159"/>
        <v>672.76459768941288</v>
      </c>
      <c r="Y358" s="6">
        <f t="shared" si="160"/>
        <v>1318.6186114712493</v>
      </c>
      <c r="Z358" s="14">
        <f t="shared" si="130"/>
        <v>0.12227587353827146</v>
      </c>
    </row>
    <row r="359" spans="1:26" x14ac:dyDescent="0.3">
      <c r="A359" t="str">
        <f>'rockfish harvests'!A366</f>
        <v>SE</v>
      </c>
      <c r="B359">
        <f>'rockfish harvests'!B366</f>
        <v>2012</v>
      </c>
      <c r="C359" t="str">
        <f>'rockfish harvests'!C366</f>
        <v>SSEO</v>
      </c>
      <c r="D359">
        <f>'rockfish harvests'!D366</f>
        <v>14290</v>
      </c>
      <c r="E359">
        <f>'YE harvest'!E367</f>
        <v>4684</v>
      </c>
      <c r="F359">
        <f>IF([2]species_comp_Region1_forR!$H280&gt;49,[2]species_comp_Region1_forR!$AM280,[2]species_comp_Region1_forR!$AO280)</f>
        <v>0.94803149600000003</v>
      </c>
      <c r="G359">
        <f>IF([2]species_comp_Region1_forR!$H280&gt;49,[2]species_comp_Region1_forR!$AN280,[2]species_comp_Region1_forR!$AP280)</f>
        <v>7.7709399999999998E-5</v>
      </c>
      <c r="H359" s="13">
        <f t="shared" si="208"/>
        <v>4440.5795272639998</v>
      </c>
      <c r="I359">
        <f t="shared" si="152"/>
        <v>1704.9330458463999</v>
      </c>
      <c r="J359">
        <f t="shared" si="155"/>
        <v>41.290834889190599</v>
      </c>
      <c r="K359" s="6">
        <f t="shared" si="156"/>
        <v>80.930036382813569</v>
      </c>
      <c r="M359" s="2">
        <f>'rockfish harvests'!O366</f>
        <v>7211.4840486137473</v>
      </c>
      <c r="N359">
        <f>'rockfish harvests'!P366</f>
        <v>3512142.9566568048</v>
      </c>
      <c r="O359">
        <f>IF([2]species_comp_Region1_forR!$D302&gt;49,[2]species_comp_Region1_forR!$AI302,[2]species_comp_Region1_forR!$AK302)</f>
        <v>0.29084967299999998</v>
      </c>
      <c r="P359">
        <f>IF([2]species_comp_Region1_forR!$D302&gt;49,[2]species_comp_Region1_forR!$AJ302,[2]species_comp_Region1_forR!$AL302)</f>
        <v>3.37571E-4</v>
      </c>
      <c r="Q359" s="13">
        <f t="shared" si="206"/>
        <v>2097.4577773840242</v>
      </c>
      <c r="R359" s="14">
        <f t="shared" si="207"/>
        <v>315845.72557827504</v>
      </c>
      <c r="S359">
        <f t="shared" si="157"/>
        <v>562.00153520989159</v>
      </c>
      <c r="T359" s="6">
        <f t="shared" si="158"/>
        <v>1101.5230090113876</v>
      </c>
      <c r="V359" s="13">
        <f t="shared" si="153"/>
        <v>6538.0373046480236</v>
      </c>
      <c r="W359">
        <f t="shared" si="154"/>
        <v>317550.65862412145</v>
      </c>
      <c r="X359">
        <f t="shared" si="159"/>
        <v>563.51633394616124</v>
      </c>
      <c r="Y359" s="6">
        <f t="shared" si="160"/>
        <v>1104.4920145344761</v>
      </c>
      <c r="Z359" s="14">
        <f t="shared" si="130"/>
        <v>8.6190443353014526E-2</v>
      </c>
    </row>
    <row r="360" spans="1:26" x14ac:dyDescent="0.3">
      <c r="A360" t="str">
        <f>'rockfish harvests'!A367</f>
        <v>SE</v>
      </c>
      <c r="B360">
        <f>'rockfish harvests'!B367</f>
        <v>2013</v>
      </c>
      <c r="C360" t="str">
        <f>'rockfish harvests'!C367</f>
        <v>SSEO</v>
      </c>
      <c r="D360">
        <f>'rockfish harvests'!D367</f>
        <v>15619</v>
      </c>
      <c r="E360">
        <f>'YE harvest'!E368</f>
        <v>4475</v>
      </c>
      <c r="F360">
        <f>IF([2]species_comp_Region1_forR!$H281&gt;49,[2]species_comp_Region1_forR!$AM281,[2]species_comp_Region1_forR!$AO281)</f>
        <v>0.94444444400000005</v>
      </c>
      <c r="G360">
        <f>IF([2]species_comp_Region1_forR!$H281&gt;49,[2]species_comp_Region1_forR!$AN281,[2]species_comp_Region1_forR!$AP281)</f>
        <v>7.2975199999999999E-5</v>
      </c>
      <c r="H360" s="13">
        <f t="shared" si="208"/>
        <v>4226.3888869000002</v>
      </c>
      <c r="I360">
        <f t="shared" si="152"/>
        <v>1461.3739894999999</v>
      </c>
      <c r="J360">
        <f t="shared" si="155"/>
        <v>38.227921595347034</v>
      </c>
      <c r="K360" s="6">
        <f t="shared" si="156"/>
        <v>74.926726326880186</v>
      </c>
      <c r="M360" s="2">
        <f>'rockfish harvests'!O367</f>
        <v>7064.6801916454569</v>
      </c>
      <c r="N360">
        <f>'rockfish harvests'!P367</f>
        <v>3429125.8906986257</v>
      </c>
      <c r="O360">
        <f>IF([2]species_comp_Region1_forR!$D303&gt;49,[2]species_comp_Region1_forR!$AI303,[2]species_comp_Region1_forR!$AK303)</f>
        <v>0.29052631600000001</v>
      </c>
      <c r="P360">
        <f>IF([2]species_comp_Region1_forR!$D303&gt;49,[2]species_comp_Region1_forR!$AJ303,[2]species_comp_Region1_forR!$AL303)</f>
        <v>4.3485399999999998E-4</v>
      </c>
      <c r="Q360" s="13">
        <f t="shared" si="206"/>
        <v>2052.4755097969287</v>
      </c>
      <c r="R360" s="14">
        <f t="shared" si="207"/>
        <v>312631.82801622676</v>
      </c>
      <c r="S360">
        <f t="shared" si="157"/>
        <v>559.13489250468604</v>
      </c>
      <c r="T360" s="6">
        <f t="shared" si="158"/>
        <v>1095.9043893091846</v>
      </c>
      <c r="V360" s="13">
        <f t="shared" si="153"/>
        <v>6278.8643966969285</v>
      </c>
      <c r="W360">
        <f t="shared" si="154"/>
        <v>314093.20200572675</v>
      </c>
      <c r="X360">
        <f t="shared" si="159"/>
        <v>560.44018593042267</v>
      </c>
      <c r="Y360" s="6">
        <f t="shared" si="160"/>
        <v>1098.4627644236284</v>
      </c>
      <c r="Z360" s="14">
        <f t="shared" si="130"/>
        <v>8.9258208255819149E-2</v>
      </c>
    </row>
    <row r="361" spans="1:26" x14ac:dyDescent="0.3">
      <c r="A361" t="str">
        <f>'rockfish harvests'!A368</f>
        <v>SE</v>
      </c>
      <c r="B361">
        <f>'rockfish harvests'!B368</f>
        <v>2014</v>
      </c>
      <c r="C361" t="str">
        <f>'rockfish harvests'!C368</f>
        <v>SSEO</v>
      </c>
      <c r="D361">
        <f>'rockfish harvests'!D368</f>
        <v>18453</v>
      </c>
      <c r="E361">
        <f>'YE harvest'!E369</f>
        <v>5130</v>
      </c>
      <c r="F361">
        <f>IF([2]species_comp_Region1_forR!$H282&gt;49,[2]species_comp_Region1_forR!$AM282,[2]species_comp_Region1_forR!$AO282)</f>
        <v>0.95788442699999998</v>
      </c>
      <c r="G361">
        <f>IF([2]species_comp_Region1_forR!$H282&gt;49,[2]species_comp_Region1_forR!$AN282,[2]species_comp_Region1_forR!$AP282)</f>
        <v>3.9550800000000001E-5</v>
      </c>
      <c r="H361" s="13">
        <f t="shared" si="208"/>
        <v>4913.9471105100001</v>
      </c>
      <c r="I361">
        <f t="shared" si="152"/>
        <v>1040.85444852</v>
      </c>
      <c r="J361">
        <f t="shared" si="155"/>
        <v>32.262275935215733</v>
      </c>
      <c r="K361" s="6">
        <f t="shared" si="156"/>
        <v>63.234060833022838</v>
      </c>
      <c r="M361" s="2">
        <f>'rockfish harvests'!O368</f>
        <v>5969.0572591587515</v>
      </c>
      <c r="N361">
        <f>'rockfish harvests'!P368</f>
        <v>5648205.4842977012</v>
      </c>
      <c r="O361">
        <f>IF([2]species_comp_Region1_forR!$D304&gt;49,[2]species_comp_Region1_forR!$AI304,[2]species_comp_Region1_forR!$AK304)</f>
        <v>0.33171520999999998</v>
      </c>
      <c r="P361">
        <f>IF([2]species_comp_Region1_forR!$D304&gt;49,[2]species_comp_Region1_forR!$AJ304,[2]species_comp_Region1_forR!$AL304)</f>
        <v>3.5928700000000002E-4</v>
      </c>
      <c r="Q361" s="13">
        <f t="shared" si="206"/>
        <v>1980.0270822238697</v>
      </c>
      <c r="R361" s="14">
        <f t="shared" si="207"/>
        <v>636330.77549078839</v>
      </c>
      <c r="S361">
        <f t="shared" si="157"/>
        <v>797.70343830949378</v>
      </c>
      <c r="T361" s="6">
        <f t="shared" si="158"/>
        <v>1563.4987390866079</v>
      </c>
      <c r="V361" s="13">
        <f t="shared" si="153"/>
        <v>6893.97419273387</v>
      </c>
      <c r="W361">
        <f t="shared" si="154"/>
        <v>637371.62993930839</v>
      </c>
      <c r="X361">
        <f t="shared" si="159"/>
        <v>798.35557863605391</v>
      </c>
      <c r="Y361" s="6">
        <f t="shared" si="160"/>
        <v>1564.7769341266655</v>
      </c>
      <c r="Z361" s="14">
        <f t="shared" si="130"/>
        <v>0.11580484004096026</v>
      </c>
    </row>
    <row r="362" spans="1:26" x14ac:dyDescent="0.3">
      <c r="A362" t="str">
        <f>'rockfish harvests'!A369</f>
        <v>SE</v>
      </c>
      <c r="B362">
        <f>'rockfish harvests'!B369</f>
        <v>2015</v>
      </c>
      <c r="C362" t="str">
        <f>'rockfish harvests'!C369</f>
        <v>SSEO</v>
      </c>
      <c r="D362">
        <f>'rockfish harvests'!D369</f>
        <v>17669</v>
      </c>
      <c r="E362">
        <f>'YE harvest'!E370</f>
        <v>4920</v>
      </c>
      <c r="F362">
        <f>IF([2]species_comp_Region1_forR!$H283&gt;49,[2]species_comp_Region1_forR!$AM283,[2]species_comp_Region1_forR!$AO283)</f>
        <v>0.96391263100000002</v>
      </c>
      <c r="G362">
        <f>IF([2]species_comp_Region1_forR!$H283&gt;49,[2]species_comp_Region1_forR!$AN283,[2]species_comp_Region1_forR!$AP283)</f>
        <v>3.3065699999999998E-5</v>
      </c>
      <c r="H362" s="13">
        <f t="shared" si="208"/>
        <v>4742.4501445200003</v>
      </c>
      <c r="I362">
        <f t="shared" si="152"/>
        <v>800.40156047999994</v>
      </c>
      <c r="J362">
        <f t="shared" si="155"/>
        <v>28.291369010353669</v>
      </c>
      <c r="K362" s="6">
        <f t="shared" si="156"/>
        <v>55.451083260293188</v>
      </c>
      <c r="M362" s="2">
        <f>'rockfish harvests'!O369</f>
        <v>15546.524335519505</v>
      </c>
      <c r="N362">
        <f>'rockfish harvests'!P369</f>
        <v>23591989.047447968</v>
      </c>
      <c r="O362">
        <f>IF([2]species_comp_Region1_forR!$D305&gt;49,[2]species_comp_Region1_forR!$AI305,[2]species_comp_Region1_forR!$AK305)</f>
        <v>0.31470588199999999</v>
      </c>
      <c r="P362">
        <f>IF([2]species_comp_Region1_forR!$D305&gt;49,[2]species_comp_Region1_forR!$AJ305,[2]species_comp_Region1_forR!$AL305)</f>
        <v>3.17623E-4</v>
      </c>
      <c r="Q362" s="13">
        <f t="shared" si="206"/>
        <v>4892.58265304413</v>
      </c>
      <c r="R362" s="14">
        <f t="shared" si="207"/>
        <v>2420806.7567838156</v>
      </c>
      <c r="S362">
        <f t="shared" si="157"/>
        <v>1555.8941984543214</v>
      </c>
      <c r="T362" s="6">
        <f t="shared" si="158"/>
        <v>3049.5526289704699</v>
      </c>
      <c r="V362" s="13">
        <f t="shared" si="153"/>
        <v>9635.0327975641303</v>
      </c>
      <c r="W362">
        <f t="shared" si="154"/>
        <v>2421607.1583442953</v>
      </c>
      <c r="X362">
        <f t="shared" si="159"/>
        <v>1556.1513931312388</v>
      </c>
      <c r="Y362" s="6">
        <f t="shared" si="160"/>
        <v>3050.0567305372278</v>
      </c>
      <c r="Z362" s="14">
        <f t="shared" si="130"/>
        <v>0.16150971416772503</v>
      </c>
    </row>
    <row r="363" spans="1:26" x14ac:dyDescent="0.3">
      <c r="A363" t="str">
        <f>'rockfish harvests'!A370</f>
        <v>SE</v>
      </c>
      <c r="B363">
        <f>'rockfish harvests'!B370</f>
        <v>2016</v>
      </c>
      <c r="C363" t="str">
        <f>'rockfish harvests'!C370</f>
        <v>SSEO</v>
      </c>
      <c r="D363">
        <f>'rockfish harvests'!D370</f>
        <v>17707</v>
      </c>
      <c r="E363">
        <f>'YE harvest'!E371</f>
        <v>4149</v>
      </c>
      <c r="F363">
        <f>IF([2]species_comp_Region1_forR!$H284&gt;49,[2]species_comp_Region1_forR!$AM284,[2]species_comp_Region1_forR!$AO284)</f>
        <v>0.94742376399999995</v>
      </c>
      <c r="G363">
        <f>IF([2]species_comp_Region1_forR!$H284&gt;49,[2]species_comp_Region1_forR!$AN284,[2]species_comp_Region1_forR!$AP284)</f>
        <v>5.2433699999999999E-5</v>
      </c>
      <c r="H363" s="13">
        <f t="shared" si="208"/>
        <v>3930.8611968359996</v>
      </c>
      <c r="I363">
        <f t="shared" si="152"/>
        <v>902.6042509737</v>
      </c>
      <c r="J363">
        <f t="shared" si="155"/>
        <v>30.043372829522653</v>
      </c>
      <c r="K363" s="6">
        <f t="shared" si="156"/>
        <v>58.885010745864399</v>
      </c>
      <c r="M363" s="2">
        <f>'rockfish harvests'!O370</f>
        <v>9530.7617028217246</v>
      </c>
      <c r="N363">
        <f>'rockfish harvests'!P370</f>
        <v>11849070.145310419</v>
      </c>
      <c r="O363">
        <f>IF([2]species_comp_Region1_forR!$D306&gt;49,[2]species_comp_Region1_forR!$AI306,[2]species_comp_Region1_forR!$AK306)</f>
        <v>0.35911602199999998</v>
      </c>
      <c r="P363">
        <f>IF([2]species_comp_Region1_forR!$D306&gt;49,[2]species_comp_Region1_forR!$AJ306,[2]species_comp_Region1_forR!$AL306)</f>
        <v>6.3753900000000001E-4</v>
      </c>
      <c r="Q363" s="13">
        <f t="shared" si="206"/>
        <v>3422.6492293472838</v>
      </c>
      <c r="R363" s="14">
        <f t="shared" si="207"/>
        <v>1593572.6077146288</v>
      </c>
      <c r="S363">
        <f t="shared" si="157"/>
        <v>1262.3678575259387</v>
      </c>
      <c r="T363" s="6">
        <f t="shared" si="158"/>
        <v>2474.2410007508397</v>
      </c>
      <c r="V363" s="13">
        <f t="shared" si="153"/>
        <v>7353.5104261832839</v>
      </c>
      <c r="W363">
        <f t="shared" si="154"/>
        <v>1594475.2119656026</v>
      </c>
      <c r="X363">
        <f t="shared" si="159"/>
        <v>1262.7253113664913</v>
      </c>
      <c r="Y363" s="6">
        <f t="shared" si="160"/>
        <v>2474.941610278323</v>
      </c>
      <c r="Z363" s="14">
        <f>X363/V363</f>
        <v>0.17171734833887869</v>
      </c>
    </row>
    <row r="364" spans="1:26" x14ac:dyDescent="0.3">
      <c r="A364" t="str">
        <f>'rockfish harvests'!A371</f>
        <v>SE</v>
      </c>
      <c r="B364">
        <f>'rockfish harvests'!B371</f>
        <v>2017</v>
      </c>
      <c r="C364" t="str">
        <f>'rockfish harvests'!C371</f>
        <v>SSEO</v>
      </c>
      <c r="D364">
        <f>'rockfish harvests'!D371</f>
        <v>20760</v>
      </c>
      <c r="E364">
        <f>'YE harvest'!E372</f>
        <v>4370</v>
      </c>
      <c r="F364">
        <f>IF([2]species_comp_Region1_forR!$H285&gt;49,[2]species_comp_Region1_forR!$AM285,[2]species_comp_Region1_forR!$AO285)</f>
        <v>0.89492753599999997</v>
      </c>
      <c r="G364">
        <f>IF([2]species_comp_Region1_forR!$H285&gt;49,[2]species_comp_Region1_forR!$AN285,[2]species_comp_Region1_forR!$AP285)</f>
        <v>1.1370300000000001E-4</v>
      </c>
      <c r="H364" s="13">
        <f t="shared" si="208"/>
        <v>3910.83333232</v>
      </c>
      <c r="I364">
        <f t="shared" si="152"/>
        <v>2171.3748207000003</v>
      </c>
      <c r="J364">
        <f t="shared" si="155"/>
        <v>46.598013055279516</v>
      </c>
      <c r="K364" s="6">
        <f t="shared" si="156"/>
        <v>91.332105588347844</v>
      </c>
      <c r="M364" s="2">
        <f>'rockfish harvests'!O371</f>
        <v>7420.2213327054378</v>
      </c>
      <c r="N364">
        <f>'rockfish harvests'!P371</f>
        <v>9465736.8938175309</v>
      </c>
      <c r="O364">
        <f>IF([2]species_comp_Region1_forR!$D307&gt;49,[2]species_comp_Region1_forR!$AI307,[2]species_comp_Region1_forR!$AK307)</f>
        <v>0.27027026999999998</v>
      </c>
      <c r="P364">
        <f>IF([2]species_comp_Region1_forR!$D307&gt;49,[2]species_comp_Region1_forR!$AJ307,[2]species_comp_Region1_forR!$AL307)</f>
        <v>5.3448299999999999E-4</v>
      </c>
      <c r="Q364" s="13">
        <f t="shared" si="206"/>
        <v>2005.4652230500583</v>
      </c>
      <c r="R364" s="14">
        <f t="shared" si="207"/>
        <v>725922.13640622632</v>
      </c>
      <c r="S364">
        <f t="shared" si="157"/>
        <v>852.01064336440436</v>
      </c>
      <c r="T364" s="6">
        <f t="shared" si="158"/>
        <v>1669.9408609942325</v>
      </c>
      <c r="V364" s="13">
        <f t="shared" si="153"/>
        <v>5916.2985553700582</v>
      </c>
      <c r="W364">
        <f t="shared" si="154"/>
        <v>728093.51122692635</v>
      </c>
      <c r="X364">
        <f t="shared" si="159"/>
        <v>853.28395697266353</v>
      </c>
      <c r="Y364" s="6">
        <f t="shared" si="160"/>
        <v>1672.4365556664204</v>
      </c>
      <c r="Z364" s="14">
        <f>X364/V364</f>
        <v>0.14422597997495606</v>
      </c>
    </row>
    <row r="365" spans="1:26" x14ac:dyDescent="0.3">
      <c r="A365" t="str">
        <f>'rockfish harvests'!A372</f>
        <v>SE</v>
      </c>
      <c r="B365">
        <f>'rockfish harvests'!B372</f>
        <v>2018</v>
      </c>
      <c r="C365" t="str">
        <f>'rockfish harvests'!C372</f>
        <v>SSEO</v>
      </c>
      <c r="D365">
        <f>'rockfish harvests'!D372</f>
        <v>26949</v>
      </c>
      <c r="E365">
        <f>'YE harvest'!E373</f>
        <v>4535</v>
      </c>
      <c r="F365">
        <f>IF([2]species_comp_Region1_forR!$H286&gt;49,[2]species_comp_Region1_forR!$AM286,[2]species_comp_Region1_forR!$AO286)</f>
        <v>0.86350974899999999</v>
      </c>
      <c r="G365">
        <f>IF([2]species_comp_Region1_forR!$H286&gt;49,[2]species_comp_Region1_forR!$AN286,[2]species_comp_Region1_forR!$AP286)</f>
        <v>1.6437999999999999E-4</v>
      </c>
      <c r="H365" s="13">
        <f t="shared" si="208"/>
        <v>3916.0167117149999</v>
      </c>
      <c r="I365">
        <f t="shared" si="152"/>
        <v>3380.6760654999998</v>
      </c>
      <c r="J365">
        <f t="shared" si="155"/>
        <v>58.143581464337061</v>
      </c>
      <c r="K365" s="6">
        <f t="shared" si="156"/>
        <v>113.96141967010064</v>
      </c>
      <c r="M365" s="2">
        <f>'rockfish harvests'!O372</f>
        <v>12867.635899450121</v>
      </c>
      <c r="N365">
        <f>'rockfish harvests'!P372</f>
        <v>12734528.822682161</v>
      </c>
      <c r="O365">
        <f>IF([2]species_comp_Region1_forR!$D308&gt;49,[2]species_comp_Region1_forR!$AI308,[2]species_comp_Region1_forR!$AK308)</f>
        <v>0.24175824200000001</v>
      </c>
      <c r="P365">
        <f>IF([2]species_comp_Region1_forR!$D308&gt;49,[2]species_comp_Region1_forR!$AJ308,[2]species_comp_Region1_forR!$AL308)</f>
        <v>2.8822500000000003E-4</v>
      </c>
      <c r="Q365" s="13">
        <f t="shared" si="206"/>
        <v>3110.8570337471501</v>
      </c>
      <c r="R365" s="14">
        <f t="shared" si="207"/>
        <v>795689.17957417108</v>
      </c>
      <c r="S365">
        <f t="shared" si="157"/>
        <v>892.01411399942049</v>
      </c>
      <c r="T365" s="6">
        <f t="shared" si="158"/>
        <v>1748.3476634388642</v>
      </c>
      <c r="V365" s="13">
        <f t="shared" si="153"/>
        <v>7026.8737454621496</v>
      </c>
      <c r="W365">
        <f t="shared" si="154"/>
        <v>799069.85563967109</v>
      </c>
      <c r="X365">
        <f t="shared" si="159"/>
        <v>893.90707326862059</v>
      </c>
      <c r="Y365" s="6">
        <f t="shared" si="160"/>
        <v>1752.0578636064963</v>
      </c>
      <c r="Z365" s="14">
        <f>X365/V365</f>
        <v>0.1272126276419713</v>
      </c>
    </row>
    <row r="366" spans="1:26" x14ac:dyDescent="0.3">
      <c r="A366" t="str">
        <f>'rockfish harvests'!A373</f>
        <v>SE</v>
      </c>
      <c r="B366">
        <f>'rockfish harvests'!B373</f>
        <v>2019</v>
      </c>
      <c r="C366" t="str">
        <f>'rockfish harvests'!C373</f>
        <v>SSEO</v>
      </c>
      <c r="D366">
        <f>'rockfish harvests'!D373</f>
        <v>22912</v>
      </c>
      <c r="E366">
        <f>'YE harvest'!E374</f>
        <v>3570</v>
      </c>
      <c r="F366">
        <v>0.94855305466237938</v>
      </c>
      <c r="G366">
        <v>7.8583183821334134E-5</v>
      </c>
      <c r="H366" s="13">
        <f>E366*F366</f>
        <v>3386.3344051446943</v>
      </c>
      <c r="I366">
        <f>(E366^2)*G366</f>
        <v>1001.5348194845214</v>
      </c>
      <c r="M366" s="2">
        <f>'rockfish harvests'!O373</f>
        <v>16359.985999299963</v>
      </c>
      <c r="N366">
        <f>'rockfish harvests'!P373</f>
        <v>28189042.115738388</v>
      </c>
      <c r="O366">
        <v>0.36546184738955823</v>
      </c>
      <c r="P366">
        <v>4.6659856235848994E-4</v>
      </c>
      <c r="Q366" s="13">
        <f>M366*O366</f>
        <v>5978.9507065714724</v>
      </c>
      <c r="R366" s="14">
        <f t="shared" si="207"/>
        <v>3903032.7159542092</v>
      </c>
      <c r="S366">
        <f>SQRT(R366)</f>
        <v>1975.6094543087734</v>
      </c>
      <c r="T366" s="6">
        <f>(1.96*S366)</f>
        <v>3872.1945304451956</v>
      </c>
      <c r="V366" s="13">
        <f>Q366+H366</f>
        <v>9365.2851117161663</v>
      </c>
      <c r="W366">
        <f>R366+I366</f>
        <v>3904034.2507736939</v>
      </c>
      <c r="X366">
        <f>SQRT(W366)</f>
        <v>1975.8629129506162</v>
      </c>
      <c r="Y366" s="6">
        <f>(1.96*X366)</f>
        <v>3872.6913093832077</v>
      </c>
      <c r="Z366" s="14">
        <f>X366/V366</f>
        <v>0.21097733698238089</v>
      </c>
    </row>
    <row r="367" spans="1:26" x14ac:dyDescent="0.3">
      <c r="A367" t="str">
        <f>'rockfish harvests'!A374</f>
        <v>SE</v>
      </c>
      <c r="B367">
        <f>'rockfish harvests'!B374</f>
        <v>2020</v>
      </c>
      <c r="C367" t="str">
        <f>'rockfish harvests'!C374</f>
        <v>SSEO</v>
      </c>
      <c r="D367">
        <f>'rockfish harvests'!D374</f>
        <v>12619</v>
      </c>
      <c r="E367">
        <f>'YE harvest'!E375</f>
        <v>170</v>
      </c>
      <c r="F367" s="26" t="str">
        <f>F242</f>
        <v>0.00735294117647059</v>
      </c>
      <c r="G367" s="26" t="str">
        <f>G242</f>
        <v>2.28446805399873e-06</v>
      </c>
      <c r="H367" s="13">
        <f t="shared" ref="H367:H368" si="209">E367*F367</f>
        <v>1.2500000000000002</v>
      </c>
      <c r="I367">
        <f t="shared" ref="I367:I368" si="210">(E367^2)*G367</f>
        <v>6.6021126760563306E-2</v>
      </c>
      <c r="J367">
        <f t="shared" ref="J367" si="211">SQRT(I367)</f>
        <v>0.25694576618532422</v>
      </c>
      <c r="K367" s="6">
        <f t="shared" ref="K367" si="212">(1.96*J367)</f>
        <v>0.5036137017232355</v>
      </c>
      <c r="M367" s="2">
        <f>'rockfish harvests'!O374</f>
        <v>2769.6225355790575</v>
      </c>
      <c r="N367">
        <f>'rockfish harvests'!P374</f>
        <v>1279455.8924929332</v>
      </c>
      <c r="O367">
        <v>0</v>
      </c>
      <c r="P367">
        <v>0</v>
      </c>
      <c r="Q367" s="13">
        <f t="shared" ref="Q367:Q368" si="213">M367*O367</f>
        <v>0</v>
      </c>
      <c r="R367" s="14">
        <f t="shared" si="207"/>
        <v>0</v>
      </c>
      <c r="S367">
        <f t="shared" ref="S367:S368" si="214">SQRT(R367)</f>
        <v>0</v>
      </c>
      <c r="T367" s="6">
        <f t="shared" ref="T367:T368" si="215">(1.96*S367)</f>
        <v>0</v>
      </c>
      <c r="V367" s="13">
        <f t="shared" ref="V367:V368" si="216">Q367+H367</f>
        <v>1.2500000000000002</v>
      </c>
      <c r="W367">
        <f t="shared" ref="W367:W368" si="217">R367+I367</f>
        <v>6.6021126760563306E-2</v>
      </c>
      <c r="X367">
        <f t="shared" ref="X367:X368" si="218">SQRT(W367)</f>
        <v>0.25694576618532422</v>
      </c>
      <c r="Y367" s="6">
        <f t="shared" ref="Y367:Y368" si="219">(1.96*X367)</f>
        <v>0.5036137017232355</v>
      </c>
      <c r="Z367" s="14">
        <f t="shared" ref="Z367:Z368" si="220">X367/V367</f>
        <v>0.20555661294825933</v>
      </c>
    </row>
    <row r="368" spans="1:26" x14ac:dyDescent="0.3">
      <c r="A368" t="str">
        <f>'rockfish harvests'!A375</f>
        <v>SE</v>
      </c>
      <c r="B368">
        <f>'rockfish harvests'!B375</f>
        <v>2021</v>
      </c>
      <c r="C368" t="str">
        <f>'rockfish harvests'!C375</f>
        <v>SSEO</v>
      </c>
      <c r="D368">
        <f>'rockfish harvests'!D375</f>
        <v>29399</v>
      </c>
      <c r="E368">
        <f>'YE harvest'!E376</f>
        <v>361</v>
      </c>
      <c r="F368" t="s">
        <v>322</v>
      </c>
      <c r="G368" t="s">
        <v>323</v>
      </c>
      <c r="H368" s="13">
        <f t="shared" si="209"/>
        <v>5.2318840579710129</v>
      </c>
      <c r="I368">
        <f t="shared" si="210"/>
        <v>0.5368726663200134</v>
      </c>
      <c r="M368" s="2">
        <f>'rockfish harvests'!O375</f>
        <v>1670.0870000715477</v>
      </c>
      <c r="N368">
        <f>'rockfish harvests'!P375</f>
        <v>492653.23167840909</v>
      </c>
      <c r="O368">
        <v>5.8479532163742687E-3</v>
      </c>
      <c r="P368">
        <v>3.4198556820902158E-5</v>
      </c>
      <c r="Q368" s="13">
        <f t="shared" si="213"/>
        <v>9.7665906436932612</v>
      </c>
      <c r="R368" s="14">
        <f t="shared" si="207"/>
        <v>129.08235187458706</v>
      </c>
      <c r="S368">
        <f t="shared" si="214"/>
        <v>11.361441452324042</v>
      </c>
      <c r="T368" s="6">
        <f t="shared" si="215"/>
        <v>22.268425246555122</v>
      </c>
      <c r="V368" s="13">
        <f t="shared" si="216"/>
        <v>14.998474701664275</v>
      </c>
      <c r="W368">
        <f t="shared" si="217"/>
        <v>129.61922454090708</v>
      </c>
      <c r="X368">
        <f t="shared" si="218"/>
        <v>11.38504389718841</v>
      </c>
      <c r="Y368" s="6">
        <f t="shared" si="219"/>
        <v>22.314686038489285</v>
      </c>
      <c r="Z368" s="14">
        <f t="shared" si="220"/>
        <v>0.75908011472160519</v>
      </c>
    </row>
    <row r="369" spans="1:26" x14ac:dyDescent="0.3">
      <c r="A369" t="s">
        <v>151</v>
      </c>
      <c r="B369">
        <v>2022</v>
      </c>
      <c r="C369" t="s">
        <v>40</v>
      </c>
      <c r="D369">
        <f>'rockfish harvests'!D376</f>
        <v>38456</v>
      </c>
      <c r="E369">
        <f>'YE harvest'!E377</f>
        <v>918</v>
      </c>
      <c r="F369" t="s">
        <v>273</v>
      </c>
      <c r="G369" t="s">
        <v>273</v>
      </c>
      <c r="H369" s="105">
        <f t="shared" ref="H369" si="221">E369*F369</f>
        <v>0</v>
      </c>
      <c r="I369">
        <f t="shared" ref="I369" si="222">(E369^2)*G369</f>
        <v>0</v>
      </c>
      <c r="M369" s="2">
        <f>'rockfish harvests'!O376</f>
        <v>6059.5121025154294</v>
      </c>
      <c r="N369">
        <f>'rockfish harvests'!P376</f>
        <v>7024339.3858510992</v>
      </c>
      <c r="O369" t="s">
        <v>242</v>
      </c>
      <c r="P369" t="s">
        <v>243</v>
      </c>
      <c r="Q369" s="13">
        <f t="shared" ref="Q369" si="223">M369*O369</f>
        <v>119.39925325153528</v>
      </c>
      <c r="R369" s="14">
        <f t="shared" si="207"/>
        <v>6910.1167022476802</v>
      </c>
      <c r="S369">
        <f t="shared" ref="S369" si="224">SQRT(R369)</f>
        <v>83.127111716020067</v>
      </c>
      <c r="V369" s="13">
        <f t="shared" ref="V369" si="225">Q369+H369</f>
        <v>119.39925325153528</v>
      </c>
      <c r="W369">
        <f t="shared" ref="W369" si="226">R369+I369</f>
        <v>6910.1167022476802</v>
      </c>
      <c r="X369">
        <f t="shared" ref="X369" si="227">SQRT(W369)</f>
        <v>83.127111716020067</v>
      </c>
      <c r="Y369" s="6">
        <f t="shared" ref="Y369" si="228">(1.96*X369)</f>
        <v>162.92913896339934</v>
      </c>
      <c r="Z369" s="14">
        <f t="shared" ref="Z369" si="229">X369/V369</f>
        <v>0.69621132002306874</v>
      </c>
    </row>
  </sheetData>
  <mergeCells count="6">
    <mergeCell ref="V1:Y1"/>
    <mergeCell ref="A1:A2"/>
    <mergeCell ref="B1:B2"/>
    <mergeCell ref="C1:C2"/>
    <mergeCell ref="D1:K1"/>
    <mergeCell ref="M1:R1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C3BBC-85DF-4000-BA52-EEB09BE819B8}">
  <sheetPr>
    <tabColor theme="9"/>
  </sheetPr>
  <dimension ref="A1:AD368"/>
  <sheetViews>
    <sheetView tabSelected="1" zoomScale="70" zoomScaleNormal="70" workbookViewId="0">
      <pane ySplit="2" topLeftCell="A323" activePane="bottomLeft" state="frozen"/>
      <selection pane="bottomLeft" activeCell="Y363" sqref="Y363"/>
    </sheetView>
  </sheetViews>
  <sheetFormatPr defaultRowHeight="14.4" x14ac:dyDescent="0.3"/>
  <cols>
    <col min="3" max="3" width="14.88671875" customWidth="1"/>
    <col min="4" max="4" width="14" customWidth="1"/>
    <col min="6" max="6" width="11.88671875" bestFit="1" customWidth="1"/>
    <col min="7" max="7" width="12" bestFit="1" customWidth="1"/>
    <col min="8" max="8" width="9.5546875" style="13" bestFit="1" customWidth="1"/>
    <col min="9" max="9" width="11.44140625" customWidth="1"/>
    <col min="10" max="10" width="9.109375" hidden="1" customWidth="1"/>
    <col min="11" max="11" width="0.44140625" hidden="1" customWidth="1"/>
    <col min="12" max="12" width="1.6640625" customWidth="1"/>
    <col min="14" max="14" width="8.33203125" customWidth="1"/>
    <col min="16" max="16" width="12.33203125" bestFit="1" customWidth="1"/>
    <col min="17" max="17" width="10.5546875" style="13" bestFit="1" customWidth="1"/>
    <col min="18" max="18" width="12.88671875" customWidth="1"/>
    <col min="19" max="19" width="0.109375" style="4" customWidth="1"/>
    <col min="20" max="20" width="5.44140625" style="4" hidden="1" customWidth="1"/>
    <col min="21" max="21" width="14.5546875" customWidth="1"/>
    <col min="22" max="22" width="10.5546875" style="13" bestFit="1" customWidth="1"/>
    <col min="23" max="23" width="11.88671875" customWidth="1"/>
    <col min="24" max="24" width="12.5546875" bestFit="1" customWidth="1"/>
    <col min="25" max="25" width="8" bestFit="1" customWidth="1"/>
  </cols>
  <sheetData>
    <row r="1" spans="1:30" x14ac:dyDescent="0.3">
      <c r="A1" s="110" t="str">
        <f>'rockfish harvests'!A1</f>
        <v>Region</v>
      </c>
      <c r="B1" s="110" t="str">
        <f>'rockfish harvests'!B1</f>
        <v>year</v>
      </c>
      <c r="C1" s="110" t="str">
        <f>'rockfish harvests'!C1</f>
        <v>RptArea</v>
      </c>
      <c r="D1" s="109" t="s">
        <v>16</v>
      </c>
      <c r="E1" s="109"/>
      <c r="F1" s="109"/>
      <c r="G1" s="109"/>
      <c r="H1" s="109"/>
      <c r="I1" s="109"/>
      <c r="J1" s="109"/>
      <c r="K1" s="109"/>
      <c r="M1" s="109" t="s">
        <v>17</v>
      </c>
      <c r="N1" s="109"/>
      <c r="O1" s="109"/>
      <c r="P1" s="109"/>
      <c r="Q1" s="109"/>
      <c r="R1" s="109"/>
      <c r="S1" s="9"/>
      <c r="T1" s="9"/>
      <c r="V1" s="109" t="s">
        <v>29</v>
      </c>
      <c r="W1" s="109"/>
      <c r="X1" s="109"/>
      <c r="Y1" s="109"/>
    </row>
    <row r="2" spans="1:30" s="3" customFormat="1" ht="101.25" customHeight="1" x14ac:dyDescent="0.35">
      <c r="A2" s="110"/>
      <c r="B2" s="110"/>
      <c r="C2" s="110"/>
      <c r="D2" s="3" t="s">
        <v>14</v>
      </c>
      <c r="E2" s="3" t="s">
        <v>78</v>
      </c>
      <c r="F2" s="3" t="s">
        <v>141</v>
      </c>
      <c r="G2" s="3" t="s">
        <v>142</v>
      </c>
      <c r="H2" s="8" t="s">
        <v>143</v>
      </c>
      <c r="I2" s="3" t="s">
        <v>144</v>
      </c>
      <c r="J2" s="3" t="s">
        <v>18</v>
      </c>
      <c r="K2" s="3" t="s">
        <v>24</v>
      </c>
      <c r="M2" s="3" t="s">
        <v>5</v>
      </c>
      <c r="N2" s="3" t="s">
        <v>8</v>
      </c>
      <c r="O2" s="3" t="s">
        <v>145</v>
      </c>
      <c r="P2" s="3" t="s">
        <v>146</v>
      </c>
      <c r="Q2" s="15" t="s">
        <v>147</v>
      </c>
      <c r="R2" s="3" t="s">
        <v>148</v>
      </c>
      <c r="S2" s="3" t="s">
        <v>25</v>
      </c>
      <c r="T2" s="3" t="s">
        <v>26</v>
      </c>
      <c r="V2" s="12" t="s">
        <v>149</v>
      </c>
      <c r="W2" s="3" t="s">
        <v>150</v>
      </c>
      <c r="X2" s="3" t="s">
        <v>27</v>
      </c>
      <c r="Y2" s="3" t="s">
        <v>28</v>
      </c>
    </row>
    <row r="3" spans="1:30" x14ac:dyDescent="0.3">
      <c r="A3" t="str">
        <f>'rockfish harvests'!A2</f>
        <v>SC</v>
      </c>
      <c r="B3">
        <f>'rockfish harvests'!B2</f>
        <v>1998</v>
      </c>
      <c r="C3" t="str">
        <f>'rockfish harvests'!C2</f>
        <v>AFOGNAK</v>
      </c>
      <c r="D3">
        <f>'rockfish harvests'!D2</f>
        <v>416</v>
      </c>
      <c r="E3">
        <f>'YE harvest'!E3</f>
        <v>87</v>
      </c>
      <c r="F3" s="38"/>
      <c r="G3" s="39"/>
      <c r="H3" s="13">
        <f t="shared" ref="H3:H10" si="0">E3*F3</f>
        <v>0</v>
      </c>
      <c r="I3">
        <f t="shared" ref="I3:I75" si="1">(E3^2)*G3</f>
        <v>0</v>
      </c>
      <c r="J3">
        <f>SQRT(I3)</f>
        <v>0</v>
      </c>
      <c r="K3" s="6">
        <f>(1.96*J3)</f>
        <v>0</v>
      </c>
      <c r="M3" s="2">
        <f>'rockfish harvests'!O2</f>
        <v>113.5015960846614</v>
      </c>
      <c r="N3">
        <f>'rockfish harvests'!P2</f>
        <v>3943.5752117924521</v>
      </c>
      <c r="Q3" s="13" t="e">
        <f>#REF!*M3</f>
        <v>#REF!</v>
      </c>
      <c r="R3" s="14" t="e">
        <f>(M3^2)*#REF!+(#REF!^2)*N3-(#REF!*N3)</f>
        <v>#REF!</v>
      </c>
      <c r="S3" t="e">
        <f>SQRT(R3)</f>
        <v>#REF!</v>
      </c>
      <c r="T3" s="6" t="e">
        <f>(1.96*S3)</f>
        <v>#REF!</v>
      </c>
      <c r="V3" s="13" t="e">
        <f t="shared" ref="V3:W75" si="2">Q3+H3</f>
        <v>#REF!</v>
      </c>
      <c r="W3" t="e">
        <f t="shared" si="2"/>
        <v>#REF!</v>
      </c>
      <c r="X3" t="e">
        <f>SQRT(W3)</f>
        <v>#REF!</v>
      </c>
      <c r="Y3" s="6" t="e">
        <f>(1.96*X3)</f>
        <v>#REF!</v>
      </c>
      <c r="AC3" s="32"/>
      <c r="AD3" t="s">
        <v>84</v>
      </c>
    </row>
    <row r="4" spans="1:30" x14ac:dyDescent="0.3">
      <c r="A4" t="str">
        <f>'rockfish harvests'!A3</f>
        <v>SC</v>
      </c>
      <c r="B4">
        <f>'rockfish harvests'!B3</f>
        <v>1999</v>
      </c>
      <c r="C4" t="str">
        <f>'rockfish harvests'!C3</f>
        <v>AFOGNAK</v>
      </c>
      <c r="D4">
        <f>'rockfish harvests'!D3</f>
        <v>506</v>
      </c>
      <c r="E4">
        <f>'YE harvest'!E4</f>
        <v>87</v>
      </c>
      <c r="F4" s="38"/>
      <c r="G4" s="39"/>
      <c r="H4" s="13">
        <f t="shared" si="0"/>
        <v>0</v>
      </c>
      <c r="I4">
        <f t="shared" si="1"/>
        <v>0</v>
      </c>
      <c r="J4">
        <f t="shared" ref="J4:J76" si="3">SQRT(I4)</f>
        <v>0</v>
      </c>
      <c r="K4" s="6">
        <f t="shared" ref="K4:K76" si="4">(1.96*J4)</f>
        <v>0</v>
      </c>
      <c r="M4" s="2">
        <f>'rockfish harvests'!O3</f>
        <v>138.05722985297768</v>
      </c>
      <c r="N4">
        <f>'rockfish harvests'!P3</f>
        <v>5834.5115045216135</v>
      </c>
      <c r="Q4" s="13" t="e">
        <f>#REF!*M4</f>
        <v>#REF!</v>
      </c>
      <c r="R4" s="14" t="e">
        <f>(M4^2)*#REF!+(#REF!^2)*N4-(#REF!*N4)</f>
        <v>#REF!</v>
      </c>
      <c r="S4" t="e">
        <f t="shared" ref="S4:S76" si="5">SQRT(R4)</f>
        <v>#REF!</v>
      </c>
      <c r="T4" s="6" t="e">
        <f t="shared" ref="T4:T76" si="6">(1.96*S4)</f>
        <v>#REF!</v>
      </c>
      <c r="V4" s="13" t="e">
        <f t="shared" si="2"/>
        <v>#REF!</v>
      </c>
      <c r="W4" t="e">
        <f t="shared" si="2"/>
        <v>#REF!</v>
      </c>
      <c r="X4" t="e">
        <f t="shared" ref="X4:X76" si="7">SQRT(W4)</f>
        <v>#REF!</v>
      </c>
      <c r="Y4" s="6" t="e">
        <f t="shared" ref="Y4:Y76" si="8">(1.96*X4)</f>
        <v>#REF!</v>
      </c>
      <c r="AD4" s="38" t="s">
        <v>93</v>
      </c>
    </row>
    <row r="5" spans="1:30" x14ac:dyDescent="0.3">
      <c r="A5" t="str">
        <f>'rockfish harvests'!A4</f>
        <v>SC</v>
      </c>
      <c r="B5">
        <f>'rockfish harvests'!B4</f>
        <v>2000</v>
      </c>
      <c r="C5" t="str">
        <f>'rockfish harvests'!C4</f>
        <v>AFOGNAK</v>
      </c>
      <c r="D5">
        <f>'rockfish harvests'!D4</f>
        <v>1412</v>
      </c>
      <c r="E5">
        <f>'YE harvest'!E5</f>
        <v>188</v>
      </c>
      <c r="F5" s="38"/>
      <c r="G5" s="39"/>
      <c r="H5" s="13">
        <f t="shared" si="0"/>
        <v>0</v>
      </c>
      <c r="I5">
        <f t="shared" si="1"/>
        <v>0</v>
      </c>
      <c r="J5">
        <f t="shared" si="3"/>
        <v>0</v>
      </c>
      <c r="K5" s="6">
        <f t="shared" si="4"/>
        <v>0</v>
      </c>
      <c r="M5" s="2">
        <f>'rockfish harvests'!O4</f>
        <v>385.25060978736042</v>
      </c>
      <c r="N5">
        <f>'rockfish harvests'!P4</f>
        <v>45433.151217293431</v>
      </c>
      <c r="Q5" s="13" t="e">
        <f>#REF!*M5</f>
        <v>#REF!</v>
      </c>
      <c r="R5" s="14" t="e">
        <f>(M5^2)*#REF!+(#REF!^2)*N5-(#REF!*N5)</f>
        <v>#REF!</v>
      </c>
      <c r="S5" t="e">
        <f t="shared" si="5"/>
        <v>#REF!</v>
      </c>
      <c r="T5" s="6" t="e">
        <f t="shared" si="6"/>
        <v>#REF!</v>
      </c>
      <c r="V5" s="13" t="e">
        <f t="shared" si="2"/>
        <v>#REF!</v>
      </c>
      <c r="W5" t="e">
        <f t="shared" si="2"/>
        <v>#REF!</v>
      </c>
      <c r="X5" t="e">
        <f t="shared" si="7"/>
        <v>#REF!</v>
      </c>
      <c r="Y5" s="6" t="e">
        <f t="shared" si="8"/>
        <v>#REF!</v>
      </c>
      <c r="AD5" s="27" t="s">
        <v>140</v>
      </c>
    </row>
    <row r="6" spans="1:30" x14ac:dyDescent="0.3">
      <c r="A6" t="str">
        <f>'rockfish harvests'!A5</f>
        <v>SC</v>
      </c>
      <c r="B6">
        <f>'rockfish harvests'!B5</f>
        <v>2001</v>
      </c>
      <c r="C6" t="str">
        <f>'rockfish harvests'!C5</f>
        <v>AFOGNAK</v>
      </c>
      <c r="D6">
        <f>'rockfish harvests'!D5</f>
        <v>535</v>
      </c>
      <c r="E6">
        <f>'YE harvest'!E6</f>
        <v>58</v>
      </c>
      <c r="F6" s="38"/>
      <c r="G6" s="39"/>
      <c r="H6" s="13">
        <f t="shared" si="0"/>
        <v>0</v>
      </c>
      <c r="I6">
        <f t="shared" si="1"/>
        <v>0</v>
      </c>
      <c r="J6">
        <f t="shared" si="3"/>
        <v>0</v>
      </c>
      <c r="K6" s="6">
        <f t="shared" si="4"/>
        <v>0</v>
      </c>
      <c r="M6" s="2">
        <f>'rockfish harvests'!O5</f>
        <v>145.96960073387947</v>
      </c>
      <c r="N6">
        <f>'rockfish harvests'!P5</f>
        <v>6522.4540899783578</v>
      </c>
      <c r="Q6" s="13" t="e">
        <f>#REF!*M6</f>
        <v>#REF!</v>
      </c>
      <c r="R6" s="14" t="e">
        <f>(M6^2)*#REF!+(#REF!^2)*N6-(#REF!*N6)</f>
        <v>#REF!</v>
      </c>
      <c r="S6" t="e">
        <f t="shared" si="5"/>
        <v>#REF!</v>
      </c>
      <c r="T6" s="6" t="e">
        <f t="shared" si="6"/>
        <v>#REF!</v>
      </c>
      <c r="V6" s="13" t="e">
        <f t="shared" si="2"/>
        <v>#REF!</v>
      </c>
      <c r="W6" t="e">
        <f t="shared" si="2"/>
        <v>#REF!</v>
      </c>
      <c r="X6" t="e">
        <f t="shared" si="7"/>
        <v>#REF!</v>
      </c>
      <c r="Y6" s="6" t="e">
        <f t="shared" si="8"/>
        <v>#REF!</v>
      </c>
    </row>
    <row r="7" spans="1:30" x14ac:dyDescent="0.3">
      <c r="A7" t="str">
        <f>'rockfish harvests'!A6</f>
        <v>SC</v>
      </c>
      <c r="B7">
        <f>'rockfish harvests'!B6</f>
        <v>2002</v>
      </c>
      <c r="C7" t="str">
        <f>'rockfish harvests'!C6</f>
        <v>AFOGNAK</v>
      </c>
      <c r="D7">
        <f>'rockfish harvests'!D6</f>
        <v>345</v>
      </c>
      <c r="E7">
        <f>'YE harvest'!E7</f>
        <v>54</v>
      </c>
      <c r="F7" s="38"/>
      <c r="G7" s="39"/>
      <c r="H7" s="13">
        <f t="shared" si="0"/>
        <v>0</v>
      </c>
      <c r="I7">
        <f t="shared" si="1"/>
        <v>0</v>
      </c>
      <c r="J7">
        <f t="shared" si="3"/>
        <v>0</v>
      </c>
      <c r="K7" s="6">
        <f t="shared" si="4"/>
        <v>0</v>
      </c>
      <c r="M7" s="2">
        <f>'rockfish harvests'!O6</f>
        <v>94.129929445212042</v>
      </c>
      <c r="N7">
        <f>'rockfish harvests'!P6</f>
        <v>2712.3245630524034</v>
      </c>
      <c r="Q7" s="13" t="e">
        <f>#REF!*M7</f>
        <v>#REF!</v>
      </c>
      <c r="R7" s="14" t="e">
        <f>(M7^2)*#REF!+(#REF!^2)*N7-(#REF!*N7)</f>
        <v>#REF!</v>
      </c>
      <c r="S7" t="e">
        <f t="shared" si="5"/>
        <v>#REF!</v>
      </c>
      <c r="T7" s="6" t="e">
        <f t="shared" si="6"/>
        <v>#REF!</v>
      </c>
      <c r="V7" s="13" t="e">
        <f t="shared" si="2"/>
        <v>#REF!</v>
      </c>
      <c r="W7" t="e">
        <f t="shared" si="2"/>
        <v>#REF!</v>
      </c>
      <c r="X7" t="e">
        <f t="shared" si="7"/>
        <v>#REF!</v>
      </c>
      <c r="Y7" s="6" t="e">
        <f t="shared" si="8"/>
        <v>#REF!</v>
      </c>
    </row>
    <row r="8" spans="1:30" ht="36.6" x14ac:dyDescent="0.7">
      <c r="A8" t="str">
        <f>'rockfish harvests'!A7</f>
        <v>SC</v>
      </c>
      <c r="B8">
        <f>'rockfish harvests'!B7</f>
        <v>2003</v>
      </c>
      <c r="C8" t="str">
        <f>'rockfish harvests'!C7</f>
        <v>AFOGNAK</v>
      </c>
      <c r="D8">
        <f>'rockfish harvests'!D7</f>
        <v>567</v>
      </c>
      <c r="E8">
        <f>'YE harvest'!E8</f>
        <v>83</v>
      </c>
      <c r="F8" s="38"/>
      <c r="G8" s="39"/>
      <c r="H8" s="13">
        <f t="shared" si="0"/>
        <v>0</v>
      </c>
      <c r="I8">
        <f t="shared" si="1"/>
        <v>0</v>
      </c>
      <c r="J8">
        <f t="shared" si="3"/>
        <v>0</v>
      </c>
      <c r="K8" s="6">
        <f t="shared" si="4"/>
        <v>0</v>
      </c>
      <c r="M8" s="2">
        <f>'rockfish harvests'!O7</f>
        <v>154.70049274039195</v>
      </c>
      <c r="N8">
        <f>'rockfish harvests'!P7</f>
        <v>7326.0450447481962</v>
      </c>
      <c r="Q8" s="13" t="e">
        <f>#REF!*M8</f>
        <v>#REF!</v>
      </c>
      <c r="R8" s="14" t="e">
        <f>(M8^2)*#REF!+(#REF!^2)*N8-(#REF!*N8)</f>
        <v>#REF!</v>
      </c>
      <c r="S8" t="e">
        <f t="shared" si="5"/>
        <v>#REF!</v>
      </c>
      <c r="T8" s="6" t="e">
        <f t="shared" si="6"/>
        <v>#REF!</v>
      </c>
      <c r="V8" s="13" t="e">
        <f t="shared" si="2"/>
        <v>#REF!</v>
      </c>
      <c r="W8" t="e">
        <f t="shared" si="2"/>
        <v>#REF!</v>
      </c>
      <c r="X8" t="e">
        <f t="shared" si="7"/>
        <v>#REF!</v>
      </c>
      <c r="Y8" s="6" t="e">
        <f t="shared" si="8"/>
        <v>#REF!</v>
      </c>
      <c r="AC8" s="97" t="s">
        <v>173</v>
      </c>
    </row>
    <row r="9" spans="1:30" x14ac:dyDescent="0.3">
      <c r="A9" t="str">
        <f>'rockfish harvests'!A8</f>
        <v>SC</v>
      </c>
      <c r="B9">
        <f>'rockfish harvests'!B8</f>
        <v>2004</v>
      </c>
      <c r="C9" t="str">
        <f>'rockfish harvests'!C8</f>
        <v>AFOGNAK</v>
      </c>
      <c r="D9">
        <f>'rockfish harvests'!D8</f>
        <v>468</v>
      </c>
      <c r="E9">
        <f>'YE harvest'!E9</f>
        <v>130</v>
      </c>
      <c r="F9" s="38"/>
      <c r="G9" s="39"/>
      <c r="H9" s="13">
        <f t="shared" si="0"/>
        <v>0</v>
      </c>
      <c r="I9">
        <f t="shared" si="1"/>
        <v>0</v>
      </c>
      <c r="J9">
        <f t="shared" si="3"/>
        <v>0</v>
      </c>
      <c r="K9" s="6">
        <f t="shared" si="4"/>
        <v>0</v>
      </c>
      <c r="M9" s="2">
        <f>'rockfish harvests'!O8</f>
        <v>127.68929559524418</v>
      </c>
      <c r="N9">
        <f>'rockfish harvests'!P8</f>
        <v>4991.087377424823</v>
      </c>
      <c r="Q9" s="13" t="e">
        <f>#REF!*M9</f>
        <v>#REF!</v>
      </c>
      <c r="R9" s="14" t="e">
        <f>(M9^2)*#REF!+(#REF!^2)*N9-(#REF!*N9)</f>
        <v>#REF!</v>
      </c>
      <c r="S9" t="e">
        <f t="shared" si="5"/>
        <v>#REF!</v>
      </c>
      <c r="T9" s="6" t="e">
        <f t="shared" si="6"/>
        <v>#REF!</v>
      </c>
      <c r="V9" s="13" t="e">
        <f t="shared" si="2"/>
        <v>#REF!</v>
      </c>
      <c r="W9" t="e">
        <f t="shared" si="2"/>
        <v>#REF!</v>
      </c>
      <c r="X9" t="e">
        <f t="shared" si="7"/>
        <v>#REF!</v>
      </c>
      <c r="Y9" s="6" t="e">
        <f t="shared" si="8"/>
        <v>#REF!</v>
      </c>
    </row>
    <row r="10" spans="1:30" x14ac:dyDescent="0.3">
      <c r="A10" t="str">
        <f>'rockfish harvests'!A9</f>
        <v>SC</v>
      </c>
      <c r="B10">
        <f>'rockfish harvests'!B9</f>
        <v>2005</v>
      </c>
      <c r="C10" t="str">
        <f>'rockfish harvests'!C9</f>
        <v>AFOGNAK</v>
      </c>
      <c r="D10">
        <f>'rockfish harvests'!D9</f>
        <v>1385</v>
      </c>
      <c r="E10">
        <f>'YE harvest'!E10</f>
        <v>206</v>
      </c>
      <c r="F10" s="38"/>
      <c r="G10" s="39"/>
      <c r="H10" s="13">
        <f t="shared" si="0"/>
        <v>0</v>
      </c>
      <c r="I10">
        <f t="shared" si="1"/>
        <v>0</v>
      </c>
      <c r="J10">
        <f t="shared" si="3"/>
        <v>0</v>
      </c>
      <c r="K10" s="6">
        <f t="shared" si="4"/>
        <v>0</v>
      </c>
      <c r="M10" s="2">
        <f>'rockfish harvests'!O9</f>
        <v>377.8839196568656</v>
      </c>
      <c r="N10">
        <f>'rockfish harvests'!P9</f>
        <v>43712.235118346529</v>
      </c>
      <c r="Q10" s="13" t="e">
        <f>#REF!*M10</f>
        <v>#REF!</v>
      </c>
      <c r="R10" s="14" t="e">
        <f>(M10^2)*#REF!+(#REF!^2)*N10-(#REF!*N10)</f>
        <v>#REF!</v>
      </c>
      <c r="S10" t="e">
        <f t="shared" si="5"/>
        <v>#REF!</v>
      </c>
      <c r="T10" s="6" t="e">
        <f t="shared" si="6"/>
        <v>#REF!</v>
      </c>
      <c r="V10" s="13" t="e">
        <f t="shared" si="2"/>
        <v>#REF!</v>
      </c>
      <c r="W10" t="e">
        <f t="shared" si="2"/>
        <v>#REF!</v>
      </c>
      <c r="X10" t="e">
        <f t="shared" si="7"/>
        <v>#REF!</v>
      </c>
      <c r="Y10" s="6" t="e">
        <f t="shared" si="8"/>
        <v>#REF!</v>
      </c>
    </row>
    <row r="11" spans="1:30" x14ac:dyDescent="0.3">
      <c r="A11" t="str">
        <f>'rockfish harvests'!A10</f>
        <v>SC</v>
      </c>
      <c r="B11">
        <f>'rockfish harvests'!B10</f>
        <v>2006</v>
      </c>
      <c r="C11" t="str">
        <f>'rockfish harvests'!C10</f>
        <v>AFOGNAK</v>
      </c>
      <c r="D11">
        <f>'rockfish harvests'!D10</f>
        <v>925</v>
      </c>
      <c r="E11">
        <f>'YE harvest'!E11</f>
        <v>159</v>
      </c>
      <c r="H11" s="13" t="e">
        <f>#REF!</f>
        <v>#REF!</v>
      </c>
      <c r="I11">
        <f t="shared" si="1"/>
        <v>0</v>
      </c>
      <c r="J11">
        <f t="shared" si="3"/>
        <v>0</v>
      </c>
      <c r="K11" s="6">
        <f t="shared" si="4"/>
        <v>0</v>
      </c>
      <c r="M11" s="2">
        <f>'rockfish harvests'!O10</f>
        <v>252.37734706324954</v>
      </c>
      <c r="N11">
        <f>'rockfish harvests'!P10</f>
        <v>19497.859309067106</v>
      </c>
      <c r="Q11" s="13" t="e">
        <f>#REF!*M11</f>
        <v>#REF!</v>
      </c>
      <c r="R11" s="14" t="e">
        <f>(M11^2)*#REF!+(#REF!^2)*N11-(#REF!*N11)</f>
        <v>#REF!</v>
      </c>
      <c r="S11" t="e">
        <f t="shared" si="5"/>
        <v>#REF!</v>
      </c>
      <c r="T11" s="6" t="e">
        <f t="shared" si="6"/>
        <v>#REF!</v>
      </c>
      <c r="V11" s="13" t="e">
        <f t="shared" si="2"/>
        <v>#REF!</v>
      </c>
      <c r="W11" t="e">
        <f t="shared" si="2"/>
        <v>#REF!</v>
      </c>
      <c r="X11" t="e">
        <f t="shared" si="7"/>
        <v>#REF!</v>
      </c>
      <c r="Y11" s="6" t="e">
        <f t="shared" si="8"/>
        <v>#REF!</v>
      </c>
    </row>
    <row r="12" spans="1:30" x14ac:dyDescent="0.3">
      <c r="A12" t="str">
        <f>'rockfish harvests'!A11</f>
        <v>SC</v>
      </c>
      <c r="B12">
        <f>'rockfish harvests'!B11</f>
        <v>2007</v>
      </c>
      <c r="C12" t="str">
        <f>'rockfish harvests'!C11</f>
        <v>AFOGNAK</v>
      </c>
      <c r="D12">
        <f>'rockfish harvests'!D11</f>
        <v>2488</v>
      </c>
      <c r="E12">
        <f>'YE harvest'!E12</f>
        <v>304</v>
      </c>
      <c r="H12" s="13" t="e">
        <f>#REF!</f>
        <v>#REF!</v>
      </c>
      <c r="I12">
        <f t="shared" si="1"/>
        <v>0</v>
      </c>
      <c r="J12">
        <f t="shared" si="3"/>
        <v>0</v>
      </c>
      <c r="K12" s="6">
        <f t="shared" si="4"/>
        <v>0</v>
      </c>
      <c r="M12" s="2">
        <f>'rockfish harvests'!O11</f>
        <v>678.82685350634074</v>
      </c>
      <c r="N12">
        <f>'rockfish harvests'!P11</f>
        <v>141060.11022920778</v>
      </c>
      <c r="Q12" s="13" t="e">
        <f>#REF!*M12</f>
        <v>#REF!</v>
      </c>
      <c r="R12" s="14" t="e">
        <f>(M12^2)*#REF!+(#REF!^2)*N12-(#REF!*N12)</f>
        <v>#REF!</v>
      </c>
      <c r="S12" t="e">
        <f t="shared" si="5"/>
        <v>#REF!</v>
      </c>
      <c r="T12" s="6" t="e">
        <f t="shared" si="6"/>
        <v>#REF!</v>
      </c>
      <c r="V12" s="13" t="e">
        <f t="shared" si="2"/>
        <v>#REF!</v>
      </c>
      <c r="W12" t="e">
        <f t="shared" si="2"/>
        <v>#REF!</v>
      </c>
      <c r="X12" t="e">
        <f t="shared" si="7"/>
        <v>#REF!</v>
      </c>
      <c r="Y12" s="6" t="e">
        <f t="shared" si="8"/>
        <v>#REF!</v>
      </c>
    </row>
    <row r="13" spans="1:30" x14ac:dyDescent="0.3">
      <c r="A13" t="str">
        <f>'rockfish harvests'!A12</f>
        <v>SC</v>
      </c>
      <c r="B13">
        <f>'rockfish harvests'!B12</f>
        <v>2008</v>
      </c>
      <c r="C13" t="str">
        <f>'rockfish harvests'!C12</f>
        <v>AFOGNAK</v>
      </c>
      <c r="D13">
        <f>'rockfish harvests'!D12</f>
        <v>2670</v>
      </c>
      <c r="E13">
        <f>'YE harvest'!E13</f>
        <v>601</v>
      </c>
      <c r="H13" s="13" t="e">
        <f>#REF!</f>
        <v>#REF!</v>
      </c>
      <c r="I13">
        <f t="shared" si="1"/>
        <v>0</v>
      </c>
      <c r="J13">
        <f t="shared" si="3"/>
        <v>0</v>
      </c>
      <c r="K13" s="6">
        <f t="shared" si="4"/>
        <v>0</v>
      </c>
      <c r="M13" s="2">
        <f>'rockfish harvests'!O12</f>
        <v>728.48380179337983</v>
      </c>
      <c r="N13">
        <f>'rockfish harvests'!P12</f>
        <v>162452.3467972634</v>
      </c>
      <c r="Q13" s="13" t="e">
        <f>#REF!*M13</f>
        <v>#REF!</v>
      </c>
      <c r="R13" s="14" t="e">
        <f>(M13^2)*#REF!+(#REF!^2)*N13-(#REF!*N13)</f>
        <v>#REF!</v>
      </c>
      <c r="S13" t="e">
        <f t="shared" si="5"/>
        <v>#REF!</v>
      </c>
      <c r="T13" s="6" t="e">
        <f t="shared" si="6"/>
        <v>#REF!</v>
      </c>
      <c r="V13" s="13" t="e">
        <f t="shared" si="2"/>
        <v>#REF!</v>
      </c>
      <c r="W13" t="e">
        <f t="shared" si="2"/>
        <v>#REF!</v>
      </c>
      <c r="X13" t="e">
        <f t="shared" si="7"/>
        <v>#REF!</v>
      </c>
      <c r="Y13" s="6" t="e">
        <f t="shared" si="8"/>
        <v>#REF!</v>
      </c>
    </row>
    <row r="14" spans="1:30" x14ac:dyDescent="0.3">
      <c r="A14" t="str">
        <f>'rockfish harvests'!A13</f>
        <v>SC</v>
      </c>
      <c r="B14">
        <f>'rockfish harvests'!B13</f>
        <v>2009</v>
      </c>
      <c r="C14" t="str">
        <f>'rockfish harvests'!C13</f>
        <v>AFOGNAK</v>
      </c>
      <c r="D14">
        <f>'rockfish harvests'!D13</f>
        <v>3763</v>
      </c>
      <c r="E14">
        <f>'YE harvest'!E14</f>
        <v>557</v>
      </c>
      <c r="H14" s="13" t="e">
        <f>#REF!</f>
        <v>#REF!</v>
      </c>
      <c r="I14">
        <f t="shared" si="1"/>
        <v>0</v>
      </c>
      <c r="J14">
        <f t="shared" si="3"/>
        <v>0</v>
      </c>
      <c r="K14" s="6">
        <f t="shared" si="4"/>
        <v>0</v>
      </c>
      <c r="M14" s="2">
        <f>'rockfish harvests'!O13</f>
        <v>1026.6983318908196</v>
      </c>
      <c r="N14">
        <f>'rockfish harvests'!P13</f>
        <v>322679.89242321515</v>
      </c>
      <c r="Q14" s="13" t="e">
        <f>#REF!*M14</f>
        <v>#REF!</v>
      </c>
      <c r="R14" s="14" t="e">
        <f>(M14^2)*#REF!+(#REF!^2)*N14-(#REF!*N14)</f>
        <v>#REF!</v>
      </c>
      <c r="S14" t="e">
        <f t="shared" si="5"/>
        <v>#REF!</v>
      </c>
      <c r="T14" s="6" t="e">
        <f t="shared" si="6"/>
        <v>#REF!</v>
      </c>
      <c r="V14" s="13" t="e">
        <f t="shared" si="2"/>
        <v>#REF!</v>
      </c>
      <c r="W14" t="e">
        <f t="shared" si="2"/>
        <v>#REF!</v>
      </c>
      <c r="X14" t="e">
        <f t="shared" si="7"/>
        <v>#REF!</v>
      </c>
      <c r="Y14" s="6" t="e">
        <f t="shared" si="8"/>
        <v>#REF!</v>
      </c>
    </row>
    <row r="15" spans="1:30" x14ac:dyDescent="0.3">
      <c r="A15" t="str">
        <f>'rockfish harvests'!A14</f>
        <v>SC</v>
      </c>
      <c r="B15">
        <f>'rockfish harvests'!B14</f>
        <v>2010</v>
      </c>
      <c r="C15" t="str">
        <f>'rockfish harvests'!C14</f>
        <v>AFOGNAK</v>
      </c>
      <c r="D15">
        <f>'rockfish harvests'!D14</f>
        <v>3032</v>
      </c>
      <c r="E15">
        <f>'YE harvest'!E15</f>
        <v>1061</v>
      </c>
      <c r="H15" s="13" t="e">
        <f>#REF!</f>
        <v>#REF!</v>
      </c>
      <c r="I15">
        <f t="shared" si="1"/>
        <v>0</v>
      </c>
      <c r="J15">
        <f t="shared" si="3"/>
        <v>0</v>
      </c>
      <c r="K15" s="6">
        <f t="shared" si="4"/>
        <v>0</v>
      </c>
      <c r="M15" s="2">
        <f>'rockfish harvests'!O14</f>
        <v>827.25201761705193</v>
      </c>
      <c r="N15">
        <f>'rockfish harvests'!P14</f>
        <v>209489.30732140518</v>
      </c>
      <c r="Q15" s="13" t="e">
        <f>#REF!*M15</f>
        <v>#REF!</v>
      </c>
      <c r="R15" s="14" t="e">
        <f>(M15^2)*#REF!+(#REF!^2)*N15-(#REF!*N15)</f>
        <v>#REF!</v>
      </c>
      <c r="S15" t="e">
        <f t="shared" si="5"/>
        <v>#REF!</v>
      </c>
      <c r="T15" s="6" t="e">
        <f t="shared" si="6"/>
        <v>#REF!</v>
      </c>
      <c r="V15" s="13" t="e">
        <f t="shared" si="2"/>
        <v>#REF!</v>
      </c>
      <c r="W15" t="e">
        <f t="shared" si="2"/>
        <v>#REF!</v>
      </c>
      <c r="X15" t="e">
        <f t="shared" si="7"/>
        <v>#REF!</v>
      </c>
      <c r="Y15" s="6" t="e">
        <f t="shared" si="8"/>
        <v>#REF!</v>
      </c>
    </row>
    <row r="16" spans="1:30" x14ac:dyDescent="0.3">
      <c r="A16" t="str">
        <f>'rockfish harvests'!A15</f>
        <v>SC</v>
      </c>
      <c r="B16">
        <f>'rockfish harvests'!B15</f>
        <v>2011</v>
      </c>
      <c r="C16" t="str">
        <f>'rockfish harvests'!C15</f>
        <v>AFOGNAK</v>
      </c>
      <c r="D16">
        <f>'rockfish harvests'!D15</f>
        <v>3052</v>
      </c>
      <c r="E16">
        <f>'YE harvest'!E16</f>
        <v>487</v>
      </c>
      <c r="H16" s="13" t="e">
        <f>#REF!</f>
        <v>#REF!</v>
      </c>
      <c r="I16">
        <f t="shared" si="1"/>
        <v>0</v>
      </c>
      <c r="J16">
        <f t="shared" si="3"/>
        <v>0</v>
      </c>
      <c r="K16" s="6">
        <f t="shared" si="4"/>
        <v>0</v>
      </c>
      <c r="M16" s="2">
        <f>'rockfish harvests'!O15</f>
        <v>852.74081958488568</v>
      </c>
      <c r="N16">
        <f>'rockfish harvests'!P15</f>
        <v>200039.3867927817</v>
      </c>
      <c r="Q16" s="13" t="e">
        <f>#REF!*M16</f>
        <v>#REF!</v>
      </c>
      <c r="R16" s="14" t="e">
        <f>(M16^2)*#REF!+(#REF!^2)*N16-(#REF!*N16)</f>
        <v>#REF!</v>
      </c>
      <c r="S16" t="e">
        <f t="shared" si="5"/>
        <v>#REF!</v>
      </c>
      <c r="T16" s="6" t="e">
        <f t="shared" si="6"/>
        <v>#REF!</v>
      </c>
      <c r="V16" s="13" t="e">
        <f t="shared" si="2"/>
        <v>#REF!</v>
      </c>
      <c r="W16" t="e">
        <f t="shared" si="2"/>
        <v>#REF!</v>
      </c>
      <c r="X16" t="e">
        <f t="shared" si="7"/>
        <v>#REF!</v>
      </c>
      <c r="Y16" s="6" t="e">
        <f t="shared" si="8"/>
        <v>#REF!</v>
      </c>
    </row>
    <row r="17" spans="1:25" x14ac:dyDescent="0.3">
      <c r="A17" t="str">
        <f>'rockfish harvests'!A16</f>
        <v>SC</v>
      </c>
      <c r="B17">
        <f>'rockfish harvests'!B16</f>
        <v>2012</v>
      </c>
      <c r="C17" t="str">
        <f>'rockfish harvests'!C16</f>
        <v>AFOGNAK</v>
      </c>
      <c r="D17">
        <f>'rockfish harvests'!D16</f>
        <v>3025</v>
      </c>
      <c r="E17">
        <f>'YE harvest'!E17</f>
        <v>564</v>
      </c>
      <c r="H17" s="13" t="e">
        <f>#REF!</f>
        <v>#REF!</v>
      </c>
      <c r="I17">
        <f t="shared" si="1"/>
        <v>0</v>
      </c>
      <c r="J17">
        <f t="shared" si="3"/>
        <v>0</v>
      </c>
      <c r="K17" s="6">
        <f t="shared" si="4"/>
        <v>0</v>
      </c>
      <c r="M17" s="2">
        <f>'rockfish harvests'!O16</f>
        <v>1110.7541899441339</v>
      </c>
      <c r="N17">
        <f>'rockfish harvests'!P16</f>
        <v>261396.56419933448</v>
      </c>
      <c r="Q17" s="13" t="e">
        <f>#REF!*M17</f>
        <v>#REF!</v>
      </c>
      <c r="R17" s="14" t="e">
        <f>(M17^2)*#REF!+(#REF!^2)*N17-(#REF!*N17)</f>
        <v>#REF!</v>
      </c>
      <c r="S17" t="e">
        <f t="shared" si="5"/>
        <v>#REF!</v>
      </c>
      <c r="T17" s="6" t="e">
        <f t="shared" si="6"/>
        <v>#REF!</v>
      </c>
      <c r="V17" s="13" t="e">
        <f t="shared" si="2"/>
        <v>#REF!</v>
      </c>
      <c r="W17" t="e">
        <f t="shared" si="2"/>
        <v>#REF!</v>
      </c>
      <c r="X17" t="e">
        <f t="shared" si="7"/>
        <v>#REF!</v>
      </c>
      <c r="Y17" s="6" t="e">
        <f t="shared" si="8"/>
        <v>#REF!</v>
      </c>
    </row>
    <row r="18" spans="1:25" x14ac:dyDescent="0.3">
      <c r="A18" t="str">
        <f>'rockfish harvests'!A17</f>
        <v>SC</v>
      </c>
      <c r="B18">
        <f>'rockfish harvests'!B17</f>
        <v>2013</v>
      </c>
      <c r="C18" t="str">
        <f>'rockfish harvests'!C17</f>
        <v>AFOGNAK</v>
      </c>
      <c r="D18">
        <f>'rockfish harvests'!D17</f>
        <v>2487</v>
      </c>
      <c r="E18">
        <f>'YE harvest'!E18</f>
        <v>473</v>
      </c>
      <c r="H18" s="13" t="e">
        <f>#REF!</f>
        <v>#REF!</v>
      </c>
      <c r="I18">
        <f t="shared" si="1"/>
        <v>0</v>
      </c>
      <c r="J18">
        <f t="shared" si="3"/>
        <v>0</v>
      </c>
      <c r="K18" s="6">
        <f t="shared" si="4"/>
        <v>0</v>
      </c>
      <c r="M18" s="2">
        <f>'rockfish harvests'!O17</f>
        <v>731.12895692786697</v>
      </c>
      <c r="N18">
        <f>'rockfish harvests'!P17</f>
        <v>125971.00775365347</v>
      </c>
      <c r="Q18" s="13" t="e">
        <f>#REF!*M18</f>
        <v>#REF!</v>
      </c>
      <c r="R18" s="14" t="e">
        <f>(M18^2)*#REF!+(#REF!^2)*N18-(#REF!*N18)</f>
        <v>#REF!</v>
      </c>
      <c r="S18" t="e">
        <f t="shared" si="5"/>
        <v>#REF!</v>
      </c>
      <c r="T18" s="6" t="e">
        <f t="shared" si="6"/>
        <v>#REF!</v>
      </c>
      <c r="V18" s="13" t="e">
        <f t="shared" si="2"/>
        <v>#REF!</v>
      </c>
      <c r="W18" t="e">
        <f t="shared" si="2"/>
        <v>#REF!</v>
      </c>
      <c r="X18" t="e">
        <f t="shared" si="7"/>
        <v>#REF!</v>
      </c>
      <c r="Y18" s="6" t="e">
        <f t="shared" si="8"/>
        <v>#REF!</v>
      </c>
    </row>
    <row r="19" spans="1:25" x14ac:dyDescent="0.3">
      <c r="A19" t="str">
        <f>'rockfish harvests'!A18</f>
        <v>SC</v>
      </c>
      <c r="B19">
        <f>'rockfish harvests'!B18</f>
        <v>2014</v>
      </c>
      <c r="C19" t="str">
        <f>'rockfish harvests'!C18</f>
        <v>AFOGNAK</v>
      </c>
      <c r="D19">
        <f>'rockfish harvests'!D18</f>
        <v>2843</v>
      </c>
      <c r="E19">
        <f>'YE harvest'!E19</f>
        <v>580</v>
      </c>
      <c r="H19" s="13" t="e">
        <f>#REF!</f>
        <v>#REF!</v>
      </c>
      <c r="I19">
        <f t="shared" si="1"/>
        <v>0</v>
      </c>
      <c r="J19">
        <f t="shared" si="3"/>
        <v>0</v>
      </c>
      <c r="K19" s="6">
        <f t="shared" si="4"/>
        <v>0</v>
      </c>
      <c r="M19" s="2">
        <f>'rockfish harvests'!O18</f>
        <v>1234.1607301869994</v>
      </c>
      <c r="N19">
        <f>'rockfish harvests'!P18</f>
        <v>268862.96198516607</v>
      </c>
      <c r="Q19" s="13" t="e">
        <f>#REF!*M19</f>
        <v>#REF!</v>
      </c>
      <c r="R19" s="14" t="e">
        <f>(M19^2)*#REF!+(#REF!^2)*N19-(#REF!*N19)</f>
        <v>#REF!</v>
      </c>
      <c r="S19" t="e">
        <f t="shared" si="5"/>
        <v>#REF!</v>
      </c>
      <c r="T19" s="6" t="e">
        <f t="shared" si="6"/>
        <v>#REF!</v>
      </c>
      <c r="V19" s="13" t="e">
        <f t="shared" si="2"/>
        <v>#REF!</v>
      </c>
      <c r="W19" t="e">
        <f t="shared" si="2"/>
        <v>#REF!</v>
      </c>
      <c r="X19" t="e">
        <f t="shared" si="7"/>
        <v>#REF!</v>
      </c>
      <c r="Y19" s="6" t="e">
        <f t="shared" si="8"/>
        <v>#REF!</v>
      </c>
    </row>
    <row r="20" spans="1:25" x14ac:dyDescent="0.3">
      <c r="A20" t="str">
        <f>'rockfish harvests'!A19</f>
        <v>SC</v>
      </c>
      <c r="B20">
        <f>'rockfish harvests'!B19</f>
        <v>2015</v>
      </c>
      <c r="C20" t="str">
        <f>'rockfish harvests'!C19</f>
        <v>AFOGNAK</v>
      </c>
      <c r="D20">
        <f>'rockfish harvests'!D19</f>
        <v>3919</v>
      </c>
      <c r="E20">
        <f>'YE harvest'!E20</f>
        <v>630</v>
      </c>
      <c r="H20" s="13" t="e">
        <f>#REF!</f>
        <v>#REF!</v>
      </c>
      <c r="I20">
        <f t="shared" si="1"/>
        <v>0</v>
      </c>
      <c r="J20">
        <f t="shared" si="3"/>
        <v>0</v>
      </c>
      <c r="K20" s="6">
        <f t="shared" si="4"/>
        <v>0</v>
      </c>
      <c r="M20" s="2">
        <f>'rockfish harvests'!O19</f>
        <v>1736.4958972529439</v>
      </c>
      <c r="N20">
        <f>'rockfish harvests'!P19</f>
        <v>1075446.4405794584</v>
      </c>
      <c r="Q20" s="13" t="e">
        <f>#REF!*M20</f>
        <v>#REF!</v>
      </c>
      <c r="R20" s="14" t="e">
        <f>(M20^2)*#REF!+(#REF!^2)*N20-(#REF!*N20)</f>
        <v>#REF!</v>
      </c>
      <c r="S20" t="e">
        <f t="shared" si="5"/>
        <v>#REF!</v>
      </c>
      <c r="T20" s="6" t="e">
        <f t="shared" si="6"/>
        <v>#REF!</v>
      </c>
      <c r="V20" s="13" t="e">
        <f t="shared" si="2"/>
        <v>#REF!</v>
      </c>
      <c r="W20" t="e">
        <f t="shared" si="2"/>
        <v>#REF!</v>
      </c>
      <c r="X20" t="e">
        <f t="shared" si="7"/>
        <v>#REF!</v>
      </c>
      <c r="Y20" s="6" t="e">
        <f t="shared" si="8"/>
        <v>#REF!</v>
      </c>
    </row>
    <row r="21" spans="1:25" x14ac:dyDescent="0.3">
      <c r="A21" t="str">
        <f>'rockfish harvests'!A20</f>
        <v>SC</v>
      </c>
      <c r="B21">
        <f>'rockfish harvests'!B20</f>
        <v>2016</v>
      </c>
      <c r="C21" t="str">
        <f>'rockfish harvests'!C20</f>
        <v>AFOGNAK</v>
      </c>
      <c r="D21">
        <f>'rockfish harvests'!D20</f>
        <v>5287</v>
      </c>
      <c r="E21">
        <f>'YE harvest'!E21</f>
        <v>760</v>
      </c>
      <c r="H21" s="13" t="e">
        <f>#REF!</f>
        <v>#REF!</v>
      </c>
      <c r="I21">
        <f t="shared" si="1"/>
        <v>0</v>
      </c>
      <c r="J21">
        <f t="shared" si="3"/>
        <v>0</v>
      </c>
      <c r="K21" s="6">
        <f t="shared" si="4"/>
        <v>0</v>
      </c>
      <c r="M21" s="2">
        <f>'rockfish harvests'!O20</f>
        <v>467.58654422040308</v>
      </c>
      <c r="N21">
        <f>'rockfish harvests'!P20</f>
        <v>63684.114088437818</v>
      </c>
      <c r="Q21" s="13" t="e">
        <f>#REF!*M21</f>
        <v>#REF!</v>
      </c>
      <c r="R21" s="14" t="e">
        <f>(M21^2)*#REF!+(#REF!^2)*N21-(#REF!*N21)</f>
        <v>#REF!</v>
      </c>
      <c r="S21" t="e">
        <f t="shared" si="5"/>
        <v>#REF!</v>
      </c>
      <c r="T21" s="6" t="e">
        <f t="shared" si="6"/>
        <v>#REF!</v>
      </c>
      <c r="V21" s="13" t="e">
        <f t="shared" si="2"/>
        <v>#REF!</v>
      </c>
      <c r="W21" t="e">
        <f t="shared" si="2"/>
        <v>#REF!</v>
      </c>
      <c r="X21" t="e">
        <f t="shared" si="7"/>
        <v>#REF!</v>
      </c>
      <c r="Y21" s="6" t="e">
        <f t="shared" si="8"/>
        <v>#REF!</v>
      </c>
    </row>
    <row r="22" spans="1:25" x14ac:dyDescent="0.3">
      <c r="A22" t="str">
        <f>'rockfish harvests'!A21</f>
        <v>SC</v>
      </c>
      <c r="B22">
        <f>'rockfish harvests'!B21</f>
        <v>2017</v>
      </c>
      <c r="C22" t="str">
        <f>'rockfish harvests'!C21</f>
        <v>AFOGNAK</v>
      </c>
      <c r="D22">
        <f>'rockfish harvests'!D21</f>
        <v>4756</v>
      </c>
      <c r="E22">
        <f>'YE harvest'!E22</f>
        <v>539</v>
      </c>
      <c r="H22" s="13" t="e">
        <f>#REF!</f>
        <v>#REF!</v>
      </c>
      <c r="I22">
        <f t="shared" si="1"/>
        <v>0</v>
      </c>
      <c r="J22">
        <f t="shared" si="3"/>
        <v>0</v>
      </c>
      <c r="K22" s="6">
        <f t="shared" si="4"/>
        <v>0</v>
      </c>
      <c r="M22" s="2">
        <f>'rockfish harvests'!O21</f>
        <v>537.74758244483019</v>
      </c>
      <c r="N22">
        <f>'rockfish harvests'!P21</f>
        <v>89663.784684390819</v>
      </c>
      <c r="Q22" s="13" t="e">
        <f>#REF!*M22</f>
        <v>#REF!</v>
      </c>
      <c r="R22" s="14" t="e">
        <f>(M22^2)*#REF!+(#REF!^2)*N22-(#REF!*N22)</f>
        <v>#REF!</v>
      </c>
      <c r="S22" t="e">
        <f t="shared" si="5"/>
        <v>#REF!</v>
      </c>
      <c r="T22" s="6" t="e">
        <f t="shared" si="6"/>
        <v>#REF!</v>
      </c>
      <c r="V22" s="13" t="e">
        <f t="shared" si="2"/>
        <v>#REF!</v>
      </c>
      <c r="W22" t="e">
        <f t="shared" si="2"/>
        <v>#REF!</v>
      </c>
      <c r="X22" t="e">
        <f t="shared" si="7"/>
        <v>#REF!</v>
      </c>
      <c r="Y22" s="6" t="e">
        <f t="shared" si="8"/>
        <v>#REF!</v>
      </c>
    </row>
    <row r="23" spans="1:25" x14ac:dyDescent="0.3">
      <c r="A23" t="str">
        <f>'rockfish harvests'!A22</f>
        <v>SC</v>
      </c>
      <c r="B23">
        <f>'rockfish harvests'!B22</f>
        <v>2018</v>
      </c>
      <c r="C23" t="str">
        <f>'rockfish harvests'!C22</f>
        <v>AFOGNAK</v>
      </c>
      <c r="D23">
        <f>'rockfish harvests'!D22</f>
        <v>5694</v>
      </c>
      <c r="E23">
        <f>'YE harvest'!E23</f>
        <v>602</v>
      </c>
      <c r="H23" s="13" t="e">
        <f>#REF!</f>
        <v>#REF!</v>
      </c>
      <c r="I23">
        <f t="shared" si="1"/>
        <v>0</v>
      </c>
      <c r="J23">
        <f t="shared" si="3"/>
        <v>0</v>
      </c>
      <c r="K23" s="6">
        <f t="shared" si="4"/>
        <v>0</v>
      </c>
      <c r="M23" s="2">
        <f>'rockfish harvests'!O22</f>
        <v>1496.4016172506736</v>
      </c>
      <c r="N23">
        <f>'rockfish harvests'!P22</f>
        <v>412259.26032139536</v>
      </c>
      <c r="Q23" s="13" t="e">
        <f>#REF!*M23</f>
        <v>#REF!</v>
      </c>
      <c r="R23" s="14" t="e">
        <f>(M23^2)*#REF!+(#REF!^2)*N23-(#REF!*N23)</f>
        <v>#REF!</v>
      </c>
      <c r="S23" t="e">
        <f t="shared" si="5"/>
        <v>#REF!</v>
      </c>
      <c r="T23" s="6" t="e">
        <f t="shared" si="6"/>
        <v>#REF!</v>
      </c>
      <c r="V23" s="13" t="e">
        <f t="shared" si="2"/>
        <v>#REF!</v>
      </c>
      <c r="W23" t="e">
        <f t="shared" si="2"/>
        <v>#REF!</v>
      </c>
      <c r="X23" t="e">
        <f t="shared" si="7"/>
        <v>#REF!</v>
      </c>
      <c r="Y23" s="6" t="e">
        <f t="shared" si="8"/>
        <v>#REF!</v>
      </c>
    </row>
    <row r="24" spans="1:25" x14ac:dyDescent="0.3">
      <c r="A24" t="str">
        <f>'rockfish harvests'!A23</f>
        <v>SC</v>
      </c>
      <c r="B24">
        <f>'rockfish harvests'!B23</f>
        <v>2019</v>
      </c>
      <c r="C24" t="str">
        <f>'rockfish harvests'!C23</f>
        <v>AFOGNAK</v>
      </c>
      <c r="D24">
        <f>'rockfish harvests'!D23</f>
        <v>6782</v>
      </c>
      <c r="E24">
        <f>'YE harvest'!E24</f>
        <v>1020</v>
      </c>
      <c r="I24">
        <f t="shared" ref="I24:I25" si="9">(E24^2)*G24</f>
        <v>0</v>
      </c>
      <c r="J24">
        <f t="shared" ref="J24:J25" si="10">SQRT(I24)</f>
        <v>0</v>
      </c>
      <c r="K24" s="6">
        <f t="shared" ref="K24:K25" si="11">(1.96*J24)</f>
        <v>0</v>
      </c>
      <c r="M24" s="2">
        <f>'rockfish harvests'!O23</f>
        <v>4435.3764258555148</v>
      </c>
      <c r="N24">
        <f>'rockfish harvests'!P23</f>
        <v>3560251.2769631236</v>
      </c>
      <c r="R24" s="14"/>
      <c r="S24"/>
      <c r="T24" s="6"/>
      <c r="Y24" s="6"/>
    </row>
    <row r="25" spans="1:25" x14ac:dyDescent="0.3">
      <c r="A25" t="str">
        <f>'rockfish harvests'!A24</f>
        <v>SC</v>
      </c>
      <c r="B25">
        <f>'rockfish harvests'!B24</f>
        <v>2020</v>
      </c>
      <c r="C25" t="str">
        <f>'rockfish harvests'!C24</f>
        <v>AFOGNAK</v>
      </c>
      <c r="D25">
        <f>'rockfish harvests'!D24</f>
        <v>5835</v>
      </c>
      <c r="E25">
        <f>'YE harvest'!E25</f>
        <v>831</v>
      </c>
      <c r="I25">
        <f t="shared" si="9"/>
        <v>0</v>
      </c>
      <c r="J25">
        <f t="shared" si="10"/>
        <v>0</v>
      </c>
      <c r="K25" s="6">
        <f t="shared" si="11"/>
        <v>0</v>
      </c>
      <c r="M25" s="2">
        <f>'rockfish harvests'!O24</f>
        <v>1752.4199820520489</v>
      </c>
      <c r="N25">
        <f>'rockfish harvests'!P24</f>
        <v>564645.39156800637</v>
      </c>
      <c r="R25" s="14"/>
      <c r="S25"/>
      <c r="T25" s="6"/>
      <c r="Y25" s="6"/>
    </row>
    <row r="26" spans="1:25" x14ac:dyDescent="0.3">
      <c r="A26" t="str">
        <f>'rockfish harvests'!A25</f>
        <v>SC</v>
      </c>
      <c r="B26">
        <f>'rockfish harvests'!B25</f>
        <v>2021</v>
      </c>
      <c r="C26" t="str">
        <f>'rockfish harvests'!C25</f>
        <v>AFOGNAK</v>
      </c>
      <c r="D26">
        <f>'rockfish harvests'!D25</f>
        <v>9007</v>
      </c>
      <c r="E26">
        <f>'YE harvest'!E26</f>
        <v>1077</v>
      </c>
      <c r="K26" s="6"/>
      <c r="M26" s="2">
        <f>'rockfish harvests'!O25</f>
        <v>1406.6827148896191</v>
      </c>
      <c r="N26">
        <f>'rockfish harvests'!P25</f>
        <v>336808.63980312884</v>
      </c>
      <c r="R26" s="14"/>
      <c r="S26"/>
      <c r="T26" s="6"/>
      <c r="Y26" s="6"/>
    </row>
    <row r="27" spans="1:25" x14ac:dyDescent="0.3">
      <c r="A27" t="str">
        <f>'rockfish harvests'!A27</f>
        <v>SC</v>
      </c>
      <c r="B27">
        <f>'rockfish harvests'!B27</f>
        <v>1998</v>
      </c>
      <c r="C27" t="str">
        <f>'rockfish harvests'!C27</f>
        <v>WKMA</v>
      </c>
      <c r="D27">
        <f>'rockfish harvests'!D27</f>
        <v>148</v>
      </c>
      <c r="E27">
        <f>'YE harvest'!E28</f>
        <v>31</v>
      </c>
      <c r="F27" s="38"/>
      <c r="G27" s="39"/>
      <c r="H27" s="13">
        <f t="shared" ref="H27:H34" si="12">E27*F27</f>
        <v>0</v>
      </c>
      <c r="I27">
        <f t="shared" si="1"/>
        <v>0</v>
      </c>
      <c r="J27">
        <f t="shared" si="3"/>
        <v>0</v>
      </c>
      <c r="K27" s="6">
        <f t="shared" si="4"/>
        <v>0</v>
      </c>
      <c r="M27" s="2">
        <f>'rockfish harvests'!O27</f>
        <v>42.686604162511713</v>
      </c>
      <c r="N27">
        <f>'rockfish harvests'!P27</f>
        <v>681.09032990436276</v>
      </c>
      <c r="Q27" s="13" t="e">
        <f>#REF!*M27</f>
        <v>#REF!</v>
      </c>
      <c r="R27" s="14" t="e">
        <f>(M27^2)*#REF!+(#REF!^2)*N27-(#REF!*N27)</f>
        <v>#REF!</v>
      </c>
      <c r="S27" t="e">
        <f t="shared" si="5"/>
        <v>#REF!</v>
      </c>
      <c r="T27" s="6" t="e">
        <f t="shared" si="6"/>
        <v>#REF!</v>
      </c>
      <c r="V27" s="13" t="e">
        <f t="shared" si="2"/>
        <v>#REF!</v>
      </c>
      <c r="W27" t="e">
        <f t="shared" si="2"/>
        <v>#REF!</v>
      </c>
      <c r="X27" t="e">
        <f t="shared" si="7"/>
        <v>#REF!</v>
      </c>
      <c r="Y27" s="6" t="e">
        <f t="shared" si="8"/>
        <v>#REF!</v>
      </c>
    </row>
    <row r="28" spans="1:25" x14ac:dyDescent="0.3">
      <c r="A28" t="str">
        <f>'rockfish harvests'!A28</f>
        <v>SC</v>
      </c>
      <c r="B28">
        <f>'rockfish harvests'!B28</f>
        <v>1999</v>
      </c>
      <c r="C28" t="str">
        <f>'rockfish harvests'!C28</f>
        <v>WKMA</v>
      </c>
      <c r="D28">
        <f>'rockfish harvests'!D28</f>
        <v>228</v>
      </c>
      <c r="E28">
        <f>'YE harvest'!E29</f>
        <v>5</v>
      </c>
      <c r="F28" s="38"/>
      <c r="G28" s="39"/>
      <c r="H28" s="13">
        <f t="shared" si="12"/>
        <v>0</v>
      </c>
      <c r="I28">
        <f t="shared" si="1"/>
        <v>0</v>
      </c>
      <c r="J28">
        <f t="shared" si="3"/>
        <v>0</v>
      </c>
      <c r="K28" s="6">
        <f t="shared" si="4"/>
        <v>0</v>
      </c>
      <c r="M28" s="2">
        <f>'rockfish harvests'!O28</f>
        <v>65.760444250355874</v>
      </c>
      <c r="N28">
        <f>'rockfish harvests'!P28</f>
        <v>1616.4079487649926</v>
      </c>
      <c r="Q28" s="13" t="e">
        <f>#REF!*M28</f>
        <v>#REF!</v>
      </c>
      <c r="R28" s="14" t="e">
        <f>(M28^2)*#REF!+(#REF!^2)*N28-(#REF!*N28)</f>
        <v>#REF!</v>
      </c>
      <c r="S28" t="e">
        <f t="shared" si="5"/>
        <v>#REF!</v>
      </c>
      <c r="T28" s="6" t="e">
        <f t="shared" si="6"/>
        <v>#REF!</v>
      </c>
      <c r="V28" s="13" t="e">
        <f t="shared" si="2"/>
        <v>#REF!</v>
      </c>
      <c r="W28" t="e">
        <f t="shared" si="2"/>
        <v>#REF!</v>
      </c>
      <c r="X28" t="e">
        <f t="shared" si="7"/>
        <v>#REF!</v>
      </c>
      <c r="Y28" s="6" t="e">
        <f t="shared" si="8"/>
        <v>#REF!</v>
      </c>
    </row>
    <row r="29" spans="1:25" x14ac:dyDescent="0.3">
      <c r="A29" t="str">
        <f>'rockfish harvests'!A29</f>
        <v>SC</v>
      </c>
      <c r="B29">
        <f>'rockfish harvests'!B29</f>
        <v>2000</v>
      </c>
      <c r="C29" t="str">
        <f>'rockfish harvests'!C29</f>
        <v>WKMA</v>
      </c>
      <c r="D29">
        <f>'rockfish harvests'!D29</f>
        <v>386</v>
      </c>
      <c r="E29">
        <f>'YE harvest'!E30</f>
        <v>78</v>
      </c>
      <c r="F29" s="38"/>
      <c r="G29" s="39"/>
      <c r="H29" s="13">
        <f t="shared" si="12"/>
        <v>0</v>
      </c>
      <c r="I29">
        <f t="shared" si="1"/>
        <v>0</v>
      </c>
      <c r="J29">
        <f t="shared" si="3"/>
        <v>0</v>
      </c>
      <c r="K29" s="6">
        <f t="shared" si="4"/>
        <v>0</v>
      </c>
      <c r="M29" s="2">
        <f>'rockfish harvests'!O29</f>
        <v>111.33127842384812</v>
      </c>
      <c r="N29">
        <f>'rockfish harvests'!P29</f>
        <v>4632.9316469334572</v>
      </c>
      <c r="Q29" s="13" t="e">
        <f>#REF!*M29</f>
        <v>#REF!</v>
      </c>
      <c r="R29" s="14" t="e">
        <f>(M29^2)*#REF!+(#REF!^2)*N29-(#REF!*N29)</f>
        <v>#REF!</v>
      </c>
      <c r="S29" t="e">
        <f t="shared" si="5"/>
        <v>#REF!</v>
      </c>
      <c r="T29" s="6" t="e">
        <f t="shared" si="6"/>
        <v>#REF!</v>
      </c>
      <c r="V29" s="13" t="e">
        <f t="shared" si="2"/>
        <v>#REF!</v>
      </c>
      <c r="W29" t="e">
        <f t="shared" si="2"/>
        <v>#REF!</v>
      </c>
      <c r="X29" t="e">
        <f t="shared" si="7"/>
        <v>#REF!</v>
      </c>
      <c r="Y29" s="6" t="e">
        <f t="shared" si="8"/>
        <v>#REF!</v>
      </c>
    </row>
    <row r="30" spans="1:25" x14ac:dyDescent="0.3">
      <c r="A30" t="str">
        <f>'rockfish harvests'!A30</f>
        <v>SC</v>
      </c>
      <c r="B30">
        <f>'rockfish harvests'!B30</f>
        <v>2001</v>
      </c>
      <c r="C30" t="str">
        <f>'rockfish harvests'!C30</f>
        <v>WKMA</v>
      </c>
      <c r="D30">
        <f>'rockfish harvests'!D30</f>
        <v>1182</v>
      </c>
      <c r="E30">
        <f>'YE harvest'!E31</f>
        <v>24</v>
      </c>
      <c r="F30" s="38"/>
      <c r="G30" s="39"/>
      <c r="H30" s="13">
        <f t="shared" si="12"/>
        <v>0</v>
      </c>
      <c r="I30">
        <f t="shared" si="1"/>
        <v>0</v>
      </c>
      <c r="J30">
        <f t="shared" si="3"/>
        <v>0</v>
      </c>
      <c r="K30" s="6">
        <f t="shared" si="4"/>
        <v>0</v>
      </c>
      <c r="M30" s="2">
        <f>'rockfish harvests'!O30</f>
        <v>340.91598729789757</v>
      </c>
      <c r="N30">
        <f>'rockfish harvests'!P30</f>
        <v>43442.642717188777</v>
      </c>
      <c r="Q30" s="13" t="e">
        <f>#REF!*M30</f>
        <v>#REF!</v>
      </c>
      <c r="R30" s="14" t="e">
        <f>(M30^2)*#REF!+(#REF!^2)*N30-(#REF!*N30)</f>
        <v>#REF!</v>
      </c>
      <c r="S30" t="e">
        <f t="shared" si="5"/>
        <v>#REF!</v>
      </c>
      <c r="T30" s="6" t="e">
        <f t="shared" si="6"/>
        <v>#REF!</v>
      </c>
      <c r="V30" s="13" t="e">
        <f t="shared" si="2"/>
        <v>#REF!</v>
      </c>
      <c r="W30" t="e">
        <f t="shared" si="2"/>
        <v>#REF!</v>
      </c>
      <c r="X30" t="e">
        <f t="shared" si="7"/>
        <v>#REF!</v>
      </c>
      <c r="Y30" s="6" t="e">
        <f t="shared" si="8"/>
        <v>#REF!</v>
      </c>
    </row>
    <row r="31" spans="1:25" x14ac:dyDescent="0.3">
      <c r="A31" t="str">
        <f>'rockfish harvests'!A31</f>
        <v>SC</v>
      </c>
      <c r="B31">
        <f>'rockfish harvests'!B31</f>
        <v>2002</v>
      </c>
      <c r="C31" t="str">
        <f>'rockfish harvests'!C31</f>
        <v>WKMA</v>
      </c>
      <c r="D31">
        <f>'rockfish harvests'!D31</f>
        <v>880</v>
      </c>
      <c r="E31">
        <f>'YE harvest'!E32</f>
        <v>69</v>
      </c>
      <c r="F31" s="38"/>
      <c r="G31" s="39"/>
      <c r="H31" s="13">
        <f t="shared" si="12"/>
        <v>0</v>
      </c>
      <c r="I31">
        <f t="shared" si="1"/>
        <v>0</v>
      </c>
      <c r="J31">
        <f t="shared" si="3"/>
        <v>0</v>
      </c>
      <c r="K31" s="6">
        <f t="shared" si="4"/>
        <v>0</v>
      </c>
      <c r="M31" s="2">
        <f>'rockfish harvests'!O31</f>
        <v>253.8122409662858</v>
      </c>
      <c r="N31">
        <f>'rockfish harvests'!P31</f>
        <v>24079.453591943871</v>
      </c>
      <c r="Q31" s="13" t="e">
        <f>#REF!*M31</f>
        <v>#REF!</v>
      </c>
      <c r="R31" s="14" t="e">
        <f>(M31^2)*#REF!+(#REF!^2)*N31-(#REF!*N31)</f>
        <v>#REF!</v>
      </c>
      <c r="S31" t="e">
        <f t="shared" si="5"/>
        <v>#REF!</v>
      </c>
      <c r="T31" s="6" t="e">
        <f t="shared" si="6"/>
        <v>#REF!</v>
      </c>
      <c r="V31" s="13" t="e">
        <f t="shared" si="2"/>
        <v>#REF!</v>
      </c>
      <c r="W31" t="e">
        <f t="shared" si="2"/>
        <v>#REF!</v>
      </c>
      <c r="X31" t="e">
        <f t="shared" si="7"/>
        <v>#REF!</v>
      </c>
      <c r="Y31" s="6" t="e">
        <f t="shared" si="8"/>
        <v>#REF!</v>
      </c>
    </row>
    <row r="32" spans="1:25" x14ac:dyDescent="0.3">
      <c r="A32" t="str">
        <f>'rockfish harvests'!A32</f>
        <v>SC</v>
      </c>
      <c r="B32">
        <f>'rockfish harvests'!B32</f>
        <v>2003</v>
      </c>
      <c r="C32" t="str">
        <f>'rockfish harvests'!C32</f>
        <v>WKMA</v>
      </c>
      <c r="D32">
        <f>'rockfish harvests'!D32</f>
        <v>1107</v>
      </c>
      <c r="E32">
        <f>'YE harvest'!E33</f>
        <v>149</v>
      </c>
      <c r="F32" s="38"/>
      <c r="G32" s="39"/>
      <c r="H32" s="13">
        <f t="shared" si="12"/>
        <v>0</v>
      </c>
      <c r="I32">
        <f t="shared" si="1"/>
        <v>0</v>
      </c>
      <c r="J32">
        <f t="shared" si="3"/>
        <v>0</v>
      </c>
      <c r="K32" s="6">
        <f t="shared" si="4"/>
        <v>0</v>
      </c>
      <c r="M32" s="2">
        <f>'rockfish harvests'!O32</f>
        <v>319.28426221554378</v>
      </c>
      <c r="N32">
        <f>'rockfish harvests'!P32</f>
        <v>38104.522630157575</v>
      </c>
      <c r="Q32" s="13" t="e">
        <f>#REF!*M32</f>
        <v>#REF!</v>
      </c>
      <c r="R32" s="14" t="e">
        <f>(M32^2)*#REF!+(#REF!^2)*N32-(#REF!*N32)</f>
        <v>#REF!</v>
      </c>
      <c r="S32" t="e">
        <f t="shared" si="5"/>
        <v>#REF!</v>
      </c>
      <c r="T32" s="6" t="e">
        <f t="shared" si="6"/>
        <v>#REF!</v>
      </c>
      <c r="V32" s="13" t="e">
        <f t="shared" si="2"/>
        <v>#REF!</v>
      </c>
      <c r="W32" t="e">
        <f t="shared" si="2"/>
        <v>#REF!</v>
      </c>
      <c r="X32" t="e">
        <f t="shared" si="7"/>
        <v>#REF!</v>
      </c>
      <c r="Y32" s="6" t="e">
        <f t="shared" si="8"/>
        <v>#REF!</v>
      </c>
    </row>
    <row r="33" spans="1:25" x14ac:dyDescent="0.3">
      <c r="A33" t="str">
        <f>'rockfish harvests'!A33</f>
        <v>SC</v>
      </c>
      <c r="B33">
        <f>'rockfish harvests'!B33</f>
        <v>2004</v>
      </c>
      <c r="C33" t="str">
        <f>'rockfish harvests'!C33</f>
        <v>WKMA</v>
      </c>
      <c r="D33">
        <f>'rockfish harvests'!D33</f>
        <v>810</v>
      </c>
      <c r="E33">
        <f>'YE harvest'!E34</f>
        <v>94</v>
      </c>
      <c r="F33" s="38"/>
      <c r="G33" s="39"/>
      <c r="H33" s="13">
        <f t="shared" si="12"/>
        <v>0</v>
      </c>
      <c r="I33">
        <f t="shared" si="1"/>
        <v>0</v>
      </c>
      <c r="J33">
        <f t="shared" si="3"/>
        <v>0</v>
      </c>
      <c r="K33" s="6">
        <f t="shared" si="4"/>
        <v>0</v>
      </c>
      <c r="M33" s="2">
        <f>'rockfish harvests'!O33</f>
        <v>233.62263088942223</v>
      </c>
      <c r="N33">
        <f>'rockfish harvests'!P33</f>
        <v>20400.993674682817</v>
      </c>
      <c r="Q33" s="13" t="e">
        <f>#REF!*M33</f>
        <v>#REF!</v>
      </c>
      <c r="R33" s="14" t="e">
        <f>(M33^2)*#REF!+(#REF!^2)*N33-(#REF!*N33)</f>
        <v>#REF!</v>
      </c>
      <c r="S33" t="e">
        <f t="shared" si="5"/>
        <v>#REF!</v>
      </c>
      <c r="T33" s="6" t="e">
        <f t="shared" si="6"/>
        <v>#REF!</v>
      </c>
      <c r="V33" s="13" t="e">
        <f t="shared" si="2"/>
        <v>#REF!</v>
      </c>
      <c r="W33" t="e">
        <f t="shared" si="2"/>
        <v>#REF!</v>
      </c>
      <c r="X33" t="e">
        <f t="shared" si="7"/>
        <v>#REF!</v>
      </c>
      <c r="Y33" s="6" t="e">
        <f t="shared" si="8"/>
        <v>#REF!</v>
      </c>
    </row>
    <row r="34" spans="1:25" x14ac:dyDescent="0.3">
      <c r="A34" t="str">
        <f>'rockfish harvests'!A34</f>
        <v>SC</v>
      </c>
      <c r="B34">
        <f>'rockfish harvests'!B34</f>
        <v>2005</v>
      </c>
      <c r="C34" t="str">
        <f>'rockfish harvests'!C34</f>
        <v>WKMA</v>
      </c>
      <c r="D34">
        <f>'rockfish harvests'!D34</f>
        <v>1266</v>
      </c>
      <c r="E34">
        <f>'YE harvest'!E35</f>
        <v>133</v>
      </c>
      <c r="F34" s="38"/>
      <c r="G34" s="39"/>
      <c r="H34" s="13">
        <f t="shared" si="12"/>
        <v>0</v>
      </c>
      <c r="I34">
        <f t="shared" si="1"/>
        <v>0</v>
      </c>
      <c r="J34">
        <f t="shared" si="3"/>
        <v>0</v>
      </c>
      <c r="K34" s="6">
        <f t="shared" si="4"/>
        <v>0</v>
      </c>
      <c r="M34" s="2">
        <f>'rockfish harvests'!O34</f>
        <v>365.14351939013386</v>
      </c>
      <c r="N34">
        <f>'rockfish harvests'!P34</f>
        <v>49836.633162719001</v>
      </c>
      <c r="Q34" s="13" t="e">
        <f>#REF!*M34</f>
        <v>#REF!</v>
      </c>
      <c r="R34" s="14" t="e">
        <f>(M34^2)*#REF!+(#REF!^2)*N34-(#REF!*N34)</f>
        <v>#REF!</v>
      </c>
      <c r="S34" t="e">
        <f t="shared" si="5"/>
        <v>#REF!</v>
      </c>
      <c r="T34" s="6" t="e">
        <f t="shared" si="6"/>
        <v>#REF!</v>
      </c>
      <c r="V34" s="13" t="e">
        <f t="shared" si="2"/>
        <v>#REF!</v>
      </c>
      <c r="W34" t="e">
        <f t="shared" si="2"/>
        <v>#REF!</v>
      </c>
      <c r="X34" t="e">
        <f t="shared" si="7"/>
        <v>#REF!</v>
      </c>
      <c r="Y34" s="6" t="e">
        <f t="shared" si="8"/>
        <v>#REF!</v>
      </c>
    </row>
    <row r="35" spans="1:25" x14ac:dyDescent="0.3">
      <c r="A35" t="str">
        <f>'rockfish harvests'!A35</f>
        <v>SC</v>
      </c>
      <c r="B35">
        <f>'rockfish harvests'!B35</f>
        <v>2006</v>
      </c>
      <c r="C35" t="str">
        <f>'rockfish harvests'!C35</f>
        <v>WKMA</v>
      </c>
      <c r="D35">
        <f>'rockfish harvests'!D35</f>
        <v>737</v>
      </c>
      <c r="E35">
        <f>'YE harvest'!E36</f>
        <v>155</v>
      </c>
      <c r="H35" s="13" t="e">
        <f>#REF!</f>
        <v>#REF!</v>
      </c>
      <c r="I35">
        <f t="shared" si="1"/>
        <v>0</v>
      </c>
      <c r="J35">
        <f t="shared" si="3"/>
        <v>0</v>
      </c>
      <c r="K35" s="6">
        <f t="shared" si="4"/>
        <v>0</v>
      </c>
      <c r="M35" s="2">
        <f>'rockfish harvests'!O35</f>
        <v>212.56775180926445</v>
      </c>
      <c r="N35">
        <f>'rockfish harvests'!P35</f>
        <v>16889.47924597438</v>
      </c>
      <c r="Q35" s="13" t="e">
        <f>#REF!*M35</f>
        <v>#REF!</v>
      </c>
      <c r="R35" s="14" t="e">
        <f>(M35^2)*#REF!+(#REF!^2)*N35-(#REF!*N35)</f>
        <v>#REF!</v>
      </c>
      <c r="S35" t="e">
        <f t="shared" si="5"/>
        <v>#REF!</v>
      </c>
      <c r="T35" s="6" t="e">
        <f t="shared" si="6"/>
        <v>#REF!</v>
      </c>
      <c r="V35" s="13" t="e">
        <f t="shared" si="2"/>
        <v>#REF!</v>
      </c>
      <c r="W35" t="e">
        <f t="shared" si="2"/>
        <v>#REF!</v>
      </c>
      <c r="X35" t="e">
        <f t="shared" si="7"/>
        <v>#REF!</v>
      </c>
      <c r="Y35" s="6" t="e">
        <f t="shared" si="8"/>
        <v>#REF!</v>
      </c>
    </row>
    <row r="36" spans="1:25" x14ac:dyDescent="0.3">
      <c r="A36" t="str">
        <f>'rockfish harvests'!A36</f>
        <v>SC</v>
      </c>
      <c r="B36">
        <f>'rockfish harvests'!B36</f>
        <v>2007</v>
      </c>
      <c r="C36" t="str">
        <f>'rockfish harvests'!C36</f>
        <v>WKMA</v>
      </c>
      <c r="D36">
        <f>'rockfish harvests'!D36</f>
        <v>1645</v>
      </c>
      <c r="E36">
        <f>'YE harvest'!E37</f>
        <v>337</v>
      </c>
      <c r="H36" s="13" t="e">
        <f>#REF!</f>
        <v>#REF!</v>
      </c>
      <c r="I36">
        <f t="shared" si="1"/>
        <v>0</v>
      </c>
      <c r="J36">
        <f t="shared" si="3"/>
        <v>0</v>
      </c>
      <c r="K36" s="6">
        <f t="shared" si="4"/>
        <v>0</v>
      </c>
      <c r="M36" s="2">
        <f>'rockfish harvests'!O36</f>
        <v>474.45583680629579</v>
      </c>
      <c r="N36">
        <f>'rockfish harvests'!P36</f>
        <v>84142.049852969925</v>
      </c>
      <c r="Q36" s="13" t="e">
        <f>#REF!*M36</f>
        <v>#REF!</v>
      </c>
      <c r="R36" s="14" t="e">
        <f>(M36^2)*#REF!+(#REF!^2)*N36-(#REF!*N36)</f>
        <v>#REF!</v>
      </c>
      <c r="S36" t="e">
        <f t="shared" si="5"/>
        <v>#REF!</v>
      </c>
      <c r="T36" s="6" t="e">
        <f t="shared" si="6"/>
        <v>#REF!</v>
      </c>
      <c r="V36" s="13" t="e">
        <f t="shared" si="2"/>
        <v>#REF!</v>
      </c>
      <c r="W36" t="e">
        <f t="shared" si="2"/>
        <v>#REF!</v>
      </c>
      <c r="X36" t="e">
        <f t="shared" si="7"/>
        <v>#REF!</v>
      </c>
      <c r="Y36" s="6" t="e">
        <f t="shared" si="8"/>
        <v>#REF!</v>
      </c>
    </row>
    <row r="37" spans="1:25" x14ac:dyDescent="0.3">
      <c r="A37" t="str">
        <f>'rockfish harvests'!A37</f>
        <v>SC</v>
      </c>
      <c r="B37">
        <f>'rockfish harvests'!B37</f>
        <v>2008</v>
      </c>
      <c r="C37" t="str">
        <f>'rockfish harvests'!C37</f>
        <v>WKMA</v>
      </c>
      <c r="D37">
        <f>'rockfish harvests'!D37</f>
        <v>1196</v>
      </c>
      <c r="E37">
        <f>'YE harvest'!E38</f>
        <v>296</v>
      </c>
      <c r="H37" s="13" t="e">
        <f>#REF!</f>
        <v>#REF!</v>
      </c>
      <c r="I37">
        <f t="shared" si="1"/>
        <v>0</v>
      </c>
      <c r="J37">
        <f t="shared" si="3"/>
        <v>0</v>
      </c>
      <c r="K37" s="6">
        <f t="shared" si="4"/>
        <v>0</v>
      </c>
      <c r="M37" s="2">
        <f>'rockfish harvests'!O37</f>
        <v>344.95390931327029</v>
      </c>
      <c r="N37">
        <f>'rockfish harvests'!P37</f>
        <v>44477.835342425082</v>
      </c>
      <c r="Q37" s="13" t="e">
        <f>#REF!*M37</f>
        <v>#REF!</v>
      </c>
      <c r="R37" s="14" t="e">
        <f>(M37^2)*#REF!+(#REF!^2)*N37-(#REF!*N37)</f>
        <v>#REF!</v>
      </c>
      <c r="S37" t="e">
        <f t="shared" si="5"/>
        <v>#REF!</v>
      </c>
      <c r="T37" s="6" t="e">
        <f t="shared" si="6"/>
        <v>#REF!</v>
      </c>
      <c r="V37" s="13" t="e">
        <f t="shared" si="2"/>
        <v>#REF!</v>
      </c>
      <c r="W37" t="e">
        <f t="shared" si="2"/>
        <v>#REF!</v>
      </c>
      <c r="X37" t="e">
        <f t="shared" si="7"/>
        <v>#REF!</v>
      </c>
      <c r="Y37" s="6" t="e">
        <f t="shared" si="8"/>
        <v>#REF!</v>
      </c>
    </row>
    <row r="38" spans="1:25" x14ac:dyDescent="0.3">
      <c r="A38" t="str">
        <f>'rockfish harvests'!A38</f>
        <v>SC</v>
      </c>
      <c r="B38">
        <f>'rockfish harvests'!B38</f>
        <v>2009</v>
      </c>
      <c r="C38" t="str">
        <f>'rockfish harvests'!C38</f>
        <v>WKMA</v>
      </c>
      <c r="D38">
        <f>'rockfish harvests'!D38</f>
        <v>1849</v>
      </c>
      <c r="E38">
        <f>'YE harvest'!E39</f>
        <v>332</v>
      </c>
      <c r="H38" s="13" t="e">
        <f>#REF!</f>
        <v>#REF!</v>
      </c>
      <c r="I38">
        <f t="shared" si="1"/>
        <v>0</v>
      </c>
      <c r="J38">
        <f t="shared" si="3"/>
        <v>0</v>
      </c>
      <c r="K38" s="6">
        <f t="shared" si="4"/>
        <v>0</v>
      </c>
      <c r="M38" s="2">
        <f>'rockfish harvests'!O38</f>
        <v>533.29412903029834</v>
      </c>
      <c r="N38">
        <f>'rockfish harvests'!P38</f>
        <v>106305.34609967883</v>
      </c>
      <c r="Q38" s="13" t="e">
        <f>#REF!*M38</f>
        <v>#REF!</v>
      </c>
      <c r="R38" s="14" t="e">
        <f>(M38^2)*#REF!+(#REF!^2)*N38-(#REF!*N38)</f>
        <v>#REF!</v>
      </c>
      <c r="S38" t="e">
        <f t="shared" si="5"/>
        <v>#REF!</v>
      </c>
      <c r="T38" s="6" t="e">
        <f t="shared" si="6"/>
        <v>#REF!</v>
      </c>
      <c r="V38" s="13" t="e">
        <f t="shared" si="2"/>
        <v>#REF!</v>
      </c>
      <c r="W38" t="e">
        <f t="shared" si="2"/>
        <v>#REF!</v>
      </c>
      <c r="X38" t="e">
        <f t="shared" si="7"/>
        <v>#REF!</v>
      </c>
      <c r="Y38" s="6" t="e">
        <f t="shared" si="8"/>
        <v>#REF!</v>
      </c>
    </row>
    <row r="39" spans="1:25" x14ac:dyDescent="0.3">
      <c r="A39" t="str">
        <f>'rockfish harvests'!A39</f>
        <v>SC</v>
      </c>
      <c r="B39">
        <f>'rockfish harvests'!B39</f>
        <v>2010</v>
      </c>
      <c r="C39" t="str">
        <f>'rockfish harvests'!C39</f>
        <v>WKMA</v>
      </c>
      <c r="D39">
        <f>'rockfish harvests'!D39</f>
        <v>1266</v>
      </c>
      <c r="E39">
        <f>'YE harvest'!E40</f>
        <v>473</v>
      </c>
      <c r="H39" s="13" t="e">
        <f>#REF!</f>
        <v>#REF!</v>
      </c>
      <c r="I39">
        <f t="shared" si="1"/>
        <v>0</v>
      </c>
      <c r="J39">
        <f t="shared" si="3"/>
        <v>0</v>
      </c>
      <c r="K39" s="6">
        <f t="shared" si="4"/>
        <v>0</v>
      </c>
      <c r="M39" s="2">
        <f>'rockfish harvests'!O39</f>
        <v>365.14351939013386</v>
      </c>
      <c r="N39">
        <f>'rockfish harvests'!P39</f>
        <v>49836.633162719001</v>
      </c>
      <c r="Q39" s="13" t="e">
        <f>#REF!*M39</f>
        <v>#REF!</v>
      </c>
      <c r="R39" s="14" t="e">
        <f>(M39^2)*#REF!+(#REF!^2)*N39-(#REF!*N39)</f>
        <v>#REF!</v>
      </c>
      <c r="S39" t="e">
        <f t="shared" si="5"/>
        <v>#REF!</v>
      </c>
      <c r="T39" s="6" t="e">
        <f t="shared" si="6"/>
        <v>#REF!</v>
      </c>
      <c r="V39" s="13" t="e">
        <f t="shared" si="2"/>
        <v>#REF!</v>
      </c>
      <c r="W39" t="e">
        <f t="shared" si="2"/>
        <v>#REF!</v>
      </c>
      <c r="X39" t="e">
        <f t="shared" si="7"/>
        <v>#REF!</v>
      </c>
      <c r="Y39" s="6" t="e">
        <f t="shared" si="8"/>
        <v>#REF!</v>
      </c>
    </row>
    <row r="40" spans="1:25" x14ac:dyDescent="0.3">
      <c r="A40" t="str">
        <f>'rockfish harvests'!A40</f>
        <v>SC</v>
      </c>
      <c r="B40">
        <f>'rockfish harvests'!B40</f>
        <v>2011</v>
      </c>
      <c r="C40" t="str">
        <f>'rockfish harvests'!C40</f>
        <v>WKMA</v>
      </c>
      <c r="D40">
        <f>'rockfish harvests'!D40</f>
        <v>1366</v>
      </c>
      <c r="E40">
        <f>'YE harvest'!E41</f>
        <v>249</v>
      </c>
      <c r="H40" s="13" t="e">
        <f>#REF!</f>
        <v>#REF!</v>
      </c>
      <c r="I40">
        <f t="shared" si="1"/>
        <v>0</v>
      </c>
      <c r="J40">
        <f t="shared" si="3"/>
        <v>0</v>
      </c>
      <c r="K40" s="6">
        <f t="shared" si="4"/>
        <v>0</v>
      </c>
      <c r="M40" s="2">
        <f>'rockfish harvests'!O40</f>
        <v>321.1685166498487</v>
      </c>
      <c r="N40">
        <f>'rockfish harvests'!P40</f>
        <v>51469.344301835146</v>
      </c>
      <c r="Q40" s="13" t="e">
        <f>#REF!*M40</f>
        <v>#REF!</v>
      </c>
      <c r="R40" s="14" t="e">
        <f>(M40^2)*#REF!+(#REF!^2)*N40-(#REF!*N40)</f>
        <v>#REF!</v>
      </c>
      <c r="S40" t="e">
        <f t="shared" si="5"/>
        <v>#REF!</v>
      </c>
      <c r="T40" s="6" t="e">
        <f t="shared" si="6"/>
        <v>#REF!</v>
      </c>
      <c r="V40" s="13" t="e">
        <f t="shared" si="2"/>
        <v>#REF!</v>
      </c>
      <c r="W40" t="e">
        <f t="shared" si="2"/>
        <v>#REF!</v>
      </c>
      <c r="X40" t="e">
        <f t="shared" si="7"/>
        <v>#REF!</v>
      </c>
      <c r="Y40" s="6" t="e">
        <f t="shared" si="8"/>
        <v>#REF!</v>
      </c>
    </row>
    <row r="41" spans="1:25" x14ac:dyDescent="0.3">
      <c r="A41" t="str">
        <f>'rockfish harvests'!A41</f>
        <v>SC</v>
      </c>
      <c r="B41">
        <f>'rockfish harvests'!B41</f>
        <v>2012</v>
      </c>
      <c r="C41" t="str">
        <f>'rockfish harvests'!C41</f>
        <v>WKMA</v>
      </c>
      <c r="D41">
        <f>'rockfish harvests'!D41</f>
        <v>1747</v>
      </c>
      <c r="E41">
        <f>'YE harvest'!E42</f>
        <v>425</v>
      </c>
      <c r="H41" s="13" t="e">
        <f>#REF!</f>
        <v>#REF!</v>
      </c>
      <c r="I41">
        <f t="shared" si="1"/>
        <v>0</v>
      </c>
      <c r="J41">
        <f t="shared" si="3"/>
        <v>0</v>
      </c>
      <c r="K41" s="6">
        <f t="shared" si="4"/>
        <v>0</v>
      </c>
      <c r="M41" s="2">
        <f>'rockfish harvests'!O41</f>
        <v>1124.7026143790849</v>
      </c>
      <c r="N41">
        <f>'rockfish harvests'!P41</f>
        <v>412684.87548151758</v>
      </c>
      <c r="Q41" s="13" t="e">
        <f>#REF!*M41</f>
        <v>#REF!</v>
      </c>
      <c r="R41" s="14" t="e">
        <f>(M41^2)*#REF!+(#REF!^2)*N41-(#REF!*N41)</f>
        <v>#REF!</v>
      </c>
      <c r="S41" t="e">
        <f t="shared" si="5"/>
        <v>#REF!</v>
      </c>
      <c r="T41" s="6" t="e">
        <f t="shared" si="6"/>
        <v>#REF!</v>
      </c>
      <c r="V41" s="13" t="e">
        <f t="shared" si="2"/>
        <v>#REF!</v>
      </c>
      <c r="W41" t="e">
        <f t="shared" si="2"/>
        <v>#REF!</v>
      </c>
      <c r="X41" t="e">
        <f t="shared" si="7"/>
        <v>#REF!</v>
      </c>
      <c r="Y41" s="6" t="e">
        <f t="shared" si="8"/>
        <v>#REF!</v>
      </c>
    </row>
    <row r="42" spans="1:25" x14ac:dyDescent="0.3">
      <c r="A42" t="str">
        <f>'rockfish harvests'!A42</f>
        <v>SC</v>
      </c>
      <c r="B42">
        <f>'rockfish harvests'!B42</f>
        <v>2013</v>
      </c>
      <c r="C42" t="str">
        <f>'rockfish harvests'!C42</f>
        <v>WKMA</v>
      </c>
      <c r="D42">
        <f>'rockfish harvests'!D42</f>
        <v>1983</v>
      </c>
      <c r="E42">
        <f>'YE harvest'!E43</f>
        <v>357</v>
      </c>
      <c r="H42" s="13" t="e">
        <f>#REF!</f>
        <v>#REF!</v>
      </c>
      <c r="I42">
        <f t="shared" si="1"/>
        <v>0</v>
      </c>
      <c r="J42">
        <f t="shared" si="3"/>
        <v>0</v>
      </c>
      <c r="K42" s="6">
        <f t="shared" si="4"/>
        <v>0</v>
      </c>
      <c r="M42" s="2">
        <f>'rockfish harvests'!O42</f>
        <v>401.95945945945914</v>
      </c>
      <c r="N42">
        <f>'rockfish harvests'!P42</f>
        <v>69446.330827502126</v>
      </c>
      <c r="Q42" s="13" t="e">
        <f>#REF!*M42</f>
        <v>#REF!</v>
      </c>
      <c r="R42" s="14" t="e">
        <f>(M42^2)*#REF!+(#REF!^2)*N42-(#REF!*N42)</f>
        <v>#REF!</v>
      </c>
      <c r="S42" t="e">
        <f t="shared" si="5"/>
        <v>#REF!</v>
      </c>
      <c r="T42" s="6" t="e">
        <f t="shared" si="6"/>
        <v>#REF!</v>
      </c>
      <c r="V42" s="13" t="e">
        <f t="shared" si="2"/>
        <v>#REF!</v>
      </c>
      <c r="W42" t="e">
        <f t="shared" si="2"/>
        <v>#REF!</v>
      </c>
      <c r="X42" t="e">
        <f t="shared" si="7"/>
        <v>#REF!</v>
      </c>
      <c r="Y42" s="6" t="e">
        <f t="shared" si="8"/>
        <v>#REF!</v>
      </c>
    </row>
    <row r="43" spans="1:25" x14ac:dyDescent="0.3">
      <c r="A43" t="str">
        <f>'rockfish harvests'!A43</f>
        <v>SC</v>
      </c>
      <c r="B43">
        <f>'rockfish harvests'!B43</f>
        <v>2014</v>
      </c>
      <c r="C43" t="str">
        <f>'rockfish harvests'!C43</f>
        <v>WKMA</v>
      </c>
      <c r="D43">
        <f>'rockfish harvests'!D43</f>
        <v>2396</v>
      </c>
      <c r="E43">
        <f>'YE harvest'!E44</f>
        <v>639</v>
      </c>
      <c r="H43" s="13" t="e">
        <f>#REF!</f>
        <v>#REF!</v>
      </c>
      <c r="I43">
        <f t="shared" si="1"/>
        <v>0</v>
      </c>
      <c r="J43">
        <f t="shared" si="3"/>
        <v>0</v>
      </c>
      <c r="K43" s="6">
        <f t="shared" si="4"/>
        <v>0</v>
      </c>
      <c r="M43" s="2">
        <f>'rockfish harvests'!O43</f>
        <v>806.87092451987473</v>
      </c>
      <c r="N43">
        <f>'rockfish harvests'!P43</f>
        <v>244720.20702808804</v>
      </c>
      <c r="Q43" s="13" t="e">
        <f>#REF!*M43</f>
        <v>#REF!</v>
      </c>
      <c r="R43" s="14" t="e">
        <f>(M43^2)*#REF!+(#REF!^2)*N43-(#REF!*N43)</f>
        <v>#REF!</v>
      </c>
      <c r="S43" t="e">
        <f t="shared" si="5"/>
        <v>#REF!</v>
      </c>
      <c r="T43" s="6" t="e">
        <f t="shared" si="6"/>
        <v>#REF!</v>
      </c>
      <c r="V43" s="13" t="e">
        <f t="shared" si="2"/>
        <v>#REF!</v>
      </c>
      <c r="W43" t="e">
        <f t="shared" si="2"/>
        <v>#REF!</v>
      </c>
      <c r="X43" t="e">
        <f t="shared" si="7"/>
        <v>#REF!</v>
      </c>
      <c r="Y43" s="6" t="e">
        <f t="shared" si="8"/>
        <v>#REF!</v>
      </c>
    </row>
    <row r="44" spans="1:25" x14ac:dyDescent="0.3">
      <c r="A44" t="str">
        <f>'rockfish harvests'!A44</f>
        <v>SC</v>
      </c>
      <c r="B44">
        <f>'rockfish harvests'!B44</f>
        <v>2015</v>
      </c>
      <c r="C44" t="str">
        <f>'rockfish harvests'!C44</f>
        <v>WKMA</v>
      </c>
      <c r="D44">
        <f>'rockfish harvests'!D44</f>
        <v>2031</v>
      </c>
      <c r="E44">
        <f>'YE harvest'!E45</f>
        <v>367</v>
      </c>
      <c r="H44" s="13" t="e">
        <f>#REF!</f>
        <v>#REF!</v>
      </c>
      <c r="I44">
        <f t="shared" si="1"/>
        <v>0</v>
      </c>
      <c r="J44">
        <f t="shared" si="3"/>
        <v>0</v>
      </c>
      <c r="K44" s="6">
        <f t="shared" si="4"/>
        <v>0</v>
      </c>
      <c r="M44" s="2">
        <f>'rockfish harvests'!O44</f>
        <v>924.55105533371352</v>
      </c>
      <c r="N44">
        <f>'rockfish harvests'!P44</f>
        <v>669754.36895301775</v>
      </c>
      <c r="Q44" s="13" t="e">
        <f>#REF!*M44</f>
        <v>#REF!</v>
      </c>
      <c r="R44" s="14" t="e">
        <f>(M44^2)*#REF!+(#REF!^2)*N44-(#REF!*N44)</f>
        <v>#REF!</v>
      </c>
      <c r="S44" t="e">
        <f t="shared" si="5"/>
        <v>#REF!</v>
      </c>
      <c r="T44" s="6" t="e">
        <f t="shared" si="6"/>
        <v>#REF!</v>
      </c>
      <c r="V44" s="13" t="e">
        <f t="shared" si="2"/>
        <v>#REF!</v>
      </c>
      <c r="W44" t="e">
        <f t="shared" si="2"/>
        <v>#REF!</v>
      </c>
      <c r="X44" t="e">
        <f t="shared" si="7"/>
        <v>#REF!</v>
      </c>
      <c r="Y44" s="6" t="e">
        <f t="shared" si="8"/>
        <v>#REF!</v>
      </c>
    </row>
    <row r="45" spans="1:25" x14ac:dyDescent="0.3">
      <c r="A45" t="str">
        <f>'rockfish harvests'!A45</f>
        <v>SC</v>
      </c>
      <c r="B45">
        <f>'rockfish harvests'!B45</f>
        <v>2016</v>
      </c>
      <c r="C45" t="str">
        <f>'rockfish harvests'!C45</f>
        <v>WKMA</v>
      </c>
      <c r="D45">
        <f>'rockfish harvests'!D45</f>
        <v>3337</v>
      </c>
      <c r="E45">
        <f>'YE harvest'!E46</f>
        <v>693</v>
      </c>
      <c r="H45" s="13" t="e">
        <f>#REF!</f>
        <v>#REF!</v>
      </c>
      <c r="I45">
        <f t="shared" si="1"/>
        <v>0</v>
      </c>
      <c r="J45">
        <f t="shared" si="3"/>
        <v>0</v>
      </c>
      <c r="K45" s="6">
        <f t="shared" si="4"/>
        <v>0</v>
      </c>
      <c r="M45" s="2">
        <f>'rockfish harvests'!O45</f>
        <v>295.12697145138736</v>
      </c>
      <c r="N45">
        <f>'rockfish harvests'!P45</f>
        <v>25370.25919469192</v>
      </c>
      <c r="Q45" s="13" t="e">
        <f>#REF!*M45</f>
        <v>#REF!</v>
      </c>
      <c r="R45" s="14" t="e">
        <f>(M45^2)*#REF!+(#REF!^2)*N45-(#REF!*N45)</f>
        <v>#REF!</v>
      </c>
      <c r="S45" t="e">
        <f t="shared" si="5"/>
        <v>#REF!</v>
      </c>
      <c r="T45" s="6" t="e">
        <f t="shared" si="6"/>
        <v>#REF!</v>
      </c>
      <c r="V45" s="13" t="e">
        <f t="shared" si="2"/>
        <v>#REF!</v>
      </c>
      <c r="W45" t="e">
        <f t="shared" si="2"/>
        <v>#REF!</v>
      </c>
      <c r="X45" t="e">
        <f t="shared" si="7"/>
        <v>#REF!</v>
      </c>
      <c r="Y45" s="6" t="e">
        <f t="shared" si="8"/>
        <v>#REF!</v>
      </c>
    </row>
    <row r="46" spans="1:25" x14ac:dyDescent="0.3">
      <c r="A46" t="str">
        <f>'rockfish harvests'!A46</f>
        <v>SC</v>
      </c>
      <c r="B46">
        <f>'rockfish harvests'!B46</f>
        <v>2017</v>
      </c>
      <c r="C46" t="str">
        <f>'rockfish harvests'!C46</f>
        <v>WKMA</v>
      </c>
      <c r="D46">
        <f>'rockfish harvests'!D46</f>
        <v>2899</v>
      </c>
      <c r="E46">
        <f>'YE harvest'!E47</f>
        <v>598</v>
      </c>
      <c r="H46" s="13" t="e">
        <f>#REF!</f>
        <v>#REF!</v>
      </c>
      <c r="I46">
        <f t="shared" si="1"/>
        <v>0</v>
      </c>
      <c r="J46">
        <f t="shared" si="3"/>
        <v>0</v>
      </c>
      <c r="K46" s="6">
        <f t="shared" si="4"/>
        <v>0</v>
      </c>
      <c r="M46" s="2">
        <f>'rockfish harvests'!O46</f>
        <v>997.88339552238813</v>
      </c>
      <c r="N46">
        <f>'rockfish harvests'!P46</f>
        <v>341376.2270959196</v>
      </c>
      <c r="Q46" s="13" t="e">
        <f>#REF!*M46</f>
        <v>#REF!</v>
      </c>
      <c r="R46" s="14" t="e">
        <f>(M46^2)*#REF!+(#REF!^2)*N46-(#REF!*N46)</f>
        <v>#REF!</v>
      </c>
      <c r="S46" t="e">
        <f t="shared" si="5"/>
        <v>#REF!</v>
      </c>
      <c r="T46" s="6" t="e">
        <f t="shared" si="6"/>
        <v>#REF!</v>
      </c>
      <c r="V46" s="13" t="e">
        <f t="shared" si="2"/>
        <v>#REF!</v>
      </c>
      <c r="W46" t="e">
        <f t="shared" si="2"/>
        <v>#REF!</v>
      </c>
      <c r="X46" t="e">
        <f t="shared" si="7"/>
        <v>#REF!</v>
      </c>
      <c r="Y46" s="6" t="e">
        <f t="shared" si="8"/>
        <v>#REF!</v>
      </c>
    </row>
    <row r="47" spans="1:25" x14ac:dyDescent="0.3">
      <c r="A47" t="str">
        <f>'rockfish harvests'!A47</f>
        <v>SC</v>
      </c>
      <c r="B47">
        <f>'rockfish harvests'!B47</f>
        <v>2018</v>
      </c>
      <c r="C47" t="str">
        <f>'rockfish harvests'!C47</f>
        <v>WKMA</v>
      </c>
      <c r="D47">
        <f>'rockfish harvests'!D47</f>
        <v>4291</v>
      </c>
      <c r="E47">
        <f>'YE harvest'!E48</f>
        <v>708</v>
      </c>
      <c r="H47" s="13" t="e">
        <f>#REF!</f>
        <v>#REF!</v>
      </c>
      <c r="I47">
        <f t="shared" si="1"/>
        <v>0</v>
      </c>
      <c r="J47">
        <f t="shared" si="3"/>
        <v>0</v>
      </c>
      <c r="K47" s="6">
        <f t="shared" si="4"/>
        <v>0</v>
      </c>
      <c r="M47" s="2">
        <f>'rockfish harvests'!O47</f>
        <v>688.36627310061613</v>
      </c>
      <c r="N47">
        <f>'rockfish harvests'!P47</f>
        <v>176905.35655507445</v>
      </c>
      <c r="Q47" s="13" t="e">
        <f>#REF!*M47</f>
        <v>#REF!</v>
      </c>
      <c r="R47" s="14" t="e">
        <f>(M47^2)*#REF!+(#REF!^2)*N47-(#REF!*N47)</f>
        <v>#REF!</v>
      </c>
      <c r="S47" t="e">
        <f t="shared" si="5"/>
        <v>#REF!</v>
      </c>
      <c r="T47" s="6" t="e">
        <f t="shared" si="6"/>
        <v>#REF!</v>
      </c>
      <c r="V47" s="13" t="e">
        <f t="shared" si="2"/>
        <v>#REF!</v>
      </c>
      <c r="W47" t="e">
        <f t="shared" si="2"/>
        <v>#REF!</v>
      </c>
      <c r="X47" t="e">
        <f t="shared" si="7"/>
        <v>#REF!</v>
      </c>
      <c r="Y47" s="6" t="e">
        <f t="shared" si="8"/>
        <v>#REF!</v>
      </c>
    </row>
    <row r="48" spans="1:25" x14ac:dyDescent="0.3">
      <c r="A48" t="str">
        <f>'rockfish harvests'!A48</f>
        <v>SC</v>
      </c>
      <c r="B48">
        <f>'rockfish harvests'!B48</f>
        <v>2019</v>
      </c>
      <c r="C48" t="str">
        <f>'rockfish harvests'!C48</f>
        <v>WKMA</v>
      </c>
      <c r="D48">
        <f>'rockfish harvests'!D48</f>
        <v>6954</v>
      </c>
      <c r="E48">
        <f>'YE harvest'!E49</f>
        <v>1310</v>
      </c>
      <c r="I48">
        <f t="shared" ref="I48:I49" si="13">(E48^2)*G48</f>
        <v>0</v>
      </c>
      <c r="J48">
        <f t="shared" ref="J48:J49" si="14">SQRT(I48)</f>
        <v>0</v>
      </c>
      <c r="K48" s="6">
        <f t="shared" ref="K48:K49" si="15">(1.96*J48)</f>
        <v>0</v>
      </c>
      <c r="M48" s="2">
        <f>'rockfish harvests'!O48</f>
        <v>4547.8631178707237</v>
      </c>
      <c r="N48">
        <f>'rockfish harvests'!P48</f>
        <v>3743126.0537553802</v>
      </c>
      <c r="R48" s="14"/>
      <c r="S48"/>
      <c r="T48" s="6"/>
      <c r="Y48" s="6"/>
    </row>
    <row r="49" spans="1:25" x14ac:dyDescent="0.3">
      <c r="A49" t="str">
        <f>'rockfish harvests'!A49</f>
        <v>SC</v>
      </c>
      <c r="B49">
        <f>'rockfish harvests'!B49</f>
        <v>2020</v>
      </c>
      <c r="C49" t="str">
        <f>'rockfish harvests'!C49</f>
        <v>WKMA</v>
      </c>
      <c r="D49">
        <f>'rockfish harvests'!D49</f>
        <v>4035</v>
      </c>
      <c r="E49">
        <f>'YE harvest'!E50</f>
        <v>579</v>
      </c>
      <c r="I49">
        <f t="shared" si="13"/>
        <v>0</v>
      </c>
      <c r="J49">
        <f t="shared" si="14"/>
        <v>0</v>
      </c>
      <c r="K49" s="6">
        <f t="shared" si="15"/>
        <v>0</v>
      </c>
      <c r="M49" s="2">
        <f>'rockfish harvests'!O49</f>
        <v>763.28309305373477</v>
      </c>
      <c r="N49">
        <f>'rockfish harvests'!P49</f>
        <v>145836.37674785985</v>
      </c>
      <c r="R49" s="14"/>
      <c r="S49"/>
      <c r="T49" s="6"/>
      <c r="Y49" s="6"/>
    </row>
    <row r="50" spans="1:25" x14ac:dyDescent="0.3">
      <c r="A50" t="str">
        <f>'rockfish harvests'!A50</f>
        <v>SC</v>
      </c>
      <c r="B50">
        <f>'rockfish harvests'!B50</f>
        <v>2021</v>
      </c>
      <c r="C50" t="str">
        <f>'rockfish harvests'!C50</f>
        <v>WKMA</v>
      </c>
      <c r="D50">
        <f>'rockfish harvests'!D50</f>
        <v>7924</v>
      </c>
      <c r="E50">
        <f>'YE harvest'!E51</f>
        <v>1031</v>
      </c>
      <c r="K50" s="6"/>
      <c r="M50" s="2">
        <f>'rockfish harvests'!O50</f>
        <v>1237.5434476279934</v>
      </c>
      <c r="N50">
        <f>'rockfish harvests'!P50</f>
        <v>260682.47263099358</v>
      </c>
      <c r="R50" s="14"/>
      <c r="S50"/>
      <c r="T50" s="6"/>
      <c r="Y50" s="6"/>
    </row>
    <row r="51" spans="1:25" x14ac:dyDescent="0.3">
      <c r="A51" t="str">
        <f>'rockfish harvests'!A52</f>
        <v>SC</v>
      </c>
      <c r="B51">
        <f>'rockfish harvests'!B52</f>
        <v>1998</v>
      </c>
      <c r="C51" t="str">
        <f>'rockfish harvests'!C52</f>
        <v>SKMA</v>
      </c>
      <c r="D51">
        <f>'rockfish harvests'!D52</f>
        <v>27</v>
      </c>
      <c r="E51">
        <f>'YE harvest'!E53</f>
        <v>5</v>
      </c>
      <c r="F51" s="38"/>
      <c r="G51" s="39"/>
      <c r="H51" s="13">
        <f t="shared" ref="H51:H58" si="16">E51*F51</f>
        <v>0</v>
      </c>
      <c r="I51">
        <f t="shared" si="1"/>
        <v>0</v>
      </c>
      <c r="J51">
        <f t="shared" si="3"/>
        <v>0</v>
      </c>
      <c r="K51" s="6">
        <f t="shared" si="4"/>
        <v>0</v>
      </c>
      <c r="M51" s="2">
        <f>'rockfish harvests'!O52</f>
        <v>7.9215011476053405</v>
      </c>
      <c r="N51">
        <f>'rockfish harvests'!P52</f>
        <v>23.019267226088481</v>
      </c>
      <c r="Q51" s="13" t="e">
        <f>#REF!*M51</f>
        <v>#REF!</v>
      </c>
      <c r="R51" s="14" t="e">
        <f>(M51^2)*#REF!+(#REF!^2)*N51-(#REF!*N51)</f>
        <v>#REF!</v>
      </c>
      <c r="S51" t="e">
        <f t="shared" si="5"/>
        <v>#REF!</v>
      </c>
      <c r="T51" s="6" t="e">
        <f t="shared" si="6"/>
        <v>#REF!</v>
      </c>
      <c r="V51" s="13" t="e">
        <f t="shared" si="2"/>
        <v>#REF!</v>
      </c>
      <c r="W51" t="e">
        <f t="shared" si="2"/>
        <v>#REF!</v>
      </c>
      <c r="X51" t="e">
        <f t="shared" si="7"/>
        <v>#REF!</v>
      </c>
      <c r="Y51" s="6" t="e">
        <f t="shared" si="8"/>
        <v>#REF!</v>
      </c>
    </row>
    <row r="52" spans="1:25" x14ac:dyDescent="0.3">
      <c r="A52" t="str">
        <f>'rockfish harvests'!A53</f>
        <v>SC</v>
      </c>
      <c r="B52">
        <f>'rockfish harvests'!B53</f>
        <v>1999</v>
      </c>
      <c r="C52" t="str">
        <f>'rockfish harvests'!C53</f>
        <v>SKMA</v>
      </c>
      <c r="D52">
        <f>'rockfish harvests'!D53</f>
        <v>88</v>
      </c>
      <c r="E52">
        <f>'YE harvest'!E54</f>
        <v>15</v>
      </c>
      <c r="F52" s="38"/>
      <c r="G52" s="39"/>
      <c r="H52" s="13">
        <f t="shared" si="16"/>
        <v>0</v>
      </c>
      <c r="I52">
        <f t="shared" si="1"/>
        <v>0</v>
      </c>
      <c r="J52">
        <f t="shared" si="3"/>
        <v>0</v>
      </c>
      <c r="K52" s="6">
        <f t="shared" si="4"/>
        <v>0</v>
      </c>
      <c r="M52" s="2">
        <f>'rockfish harvests'!O53</f>
        <v>25.818225962565563</v>
      </c>
      <c r="N52">
        <f>'rockfish harvests'!P53</f>
        <v>244.52840246752979</v>
      </c>
      <c r="Q52" s="13" t="e">
        <f>#REF!*M52</f>
        <v>#REF!</v>
      </c>
      <c r="R52" s="14" t="e">
        <f>(M52^2)*#REF!+(#REF!^2)*N52-(#REF!*N52)</f>
        <v>#REF!</v>
      </c>
      <c r="S52" t="e">
        <f t="shared" si="5"/>
        <v>#REF!</v>
      </c>
      <c r="T52" s="6" t="e">
        <f t="shared" si="6"/>
        <v>#REF!</v>
      </c>
      <c r="V52" s="13" t="e">
        <f t="shared" si="2"/>
        <v>#REF!</v>
      </c>
      <c r="W52" t="e">
        <f t="shared" si="2"/>
        <v>#REF!</v>
      </c>
      <c r="X52" t="e">
        <f t="shared" si="7"/>
        <v>#REF!</v>
      </c>
      <c r="Y52" s="6" t="e">
        <f t="shared" si="8"/>
        <v>#REF!</v>
      </c>
    </row>
    <row r="53" spans="1:25" x14ac:dyDescent="0.3">
      <c r="A53" t="str">
        <f>'rockfish harvests'!A54</f>
        <v>SC</v>
      </c>
      <c r="B53">
        <f>'rockfish harvests'!B54</f>
        <v>2000</v>
      </c>
      <c r="C53" t="str">
        <f>'rockfish harvests'!C54</f>
        <v>SKMA</v>
      </c>
      <c r="D53">
        <f>'rockfish harvests'!D54</f>
        <v>65</v>
      </c>
      <c r="E53">
        <f>'YE harvest'!E55</f>
        <v>60</v>
      </c>
      <c r="F53" s="38"/>
      <c r="G53" s="39"/>
      <c r="H53" s="13">
        <f t="shared" si="16"/>
        <v>0</v>
      </c>
      <c r="I53">
        <f t="shared" si="1"/>
        <v>0</v>
      </c>
      <c r="J53">
        <f t="shared" si="3"/>
        <v>0</v>
      </c>
      <c r="K53" s="6">
        <f t="shared" si="4"/>
        <v>0</v>
      </c>
      <c r="M53" s="2">
        <f>'rockfish harvests'!O54</f>
        <v>19.070280540531371</v>
      </c>
      <c r="N53">
        <f>'rockfish harvests'!P54</f>
        <v>133.41070511690512</v>
      </c>
      <c r="Q53" s="13" t="e">
        <f>#REF!*M53</f>
        <v>#REF!</v>
      </c>
      <c r="R53" s="14" t="e">
        <f>(M53^2)*#REF!+(#REF!^2)*N53-(#REF!*N53)</f>
        <v>#REF!</v>
      </c>
      <c r="S53" t="e">
        <f t="shared" si="5"/>
        <v>#REF!</v>
      </c>
      <c r="T53" s="6" t="e">
        <f t="shared" si="6"/>
        <v>#REF!</v>
      </c>
      <c r="V53" s="13" t="e">
        <f t="shared" si="2"/>
        <v>#REF!</v>
      </c>
      <c r="W53" t="e">
        <f t="shared" si="2"/>
        <v>#REF!</v>
      </c>
      <c r="X53" t="e">
        <f t="shared" si="7"/>
        <v>#REF!</v>
      </c>
      <c r="Y53" s="6" t="e">
        <f t="shared" si="8"/>
        <v>#REF!</v>
      </c>
    </row>
    <row r="54" spans="1:25" x14ac:dyDescent="0.3">
      <c r="A54" t="str">
        <f>'rockfish harvests'!A55</f>
        <v>SC</v>
      </c>
      <c r="B54">
        <f>'rockfish harvests'!B55</f>
        <v>2001</v>
      </c>
      <c r="C54" t="str">
        <f>'rockfish harvests'!C55</f>
        <v>SKMA</v>
      </c>
      <c r="D54">
        <f>'rockfish harvests'!D55</f>
        <v>27</v>
      </c>
      <c r="E54">
        <f>'YE harvest'!E56</f>
        <v>19</v>
      </c>
      <c r="F54" s="38"/>
      <c r="G54" s="39"/>
      <c r="H54" s="13">
        <f t="shared" si="16"/>
        <v>0</v>
      </c>
      <c r="I54">
        <f t="shared" si="1"/>
        <v>0</v>
      </c>
      <c r="J54">
        <f t="shared" si="3"/>
        <v>0</v>
      </c>
      <c r="K54" s="6">
        <f t="shared" si="4"/>
        <v>0</v>
      </c>
      <c r="M54" s="2">
        <f>'rockfish harvests'!O55</f>
        <v>7.9215011476053405</v>
      </c>
      <c r="N54">
        <f>'rockfish harvests'!P55</f>
        <v>23.019267226088481</v>
      </c>
      <c r="Q54" s="13" t="e">
        <f>#REF!*M54</f>
        <v>#REF!</v>
      </c>
      <c r="R54" s="14" t="e">
        <f>(M54^2)*#REF!+(#REF!^2)*N54-(#REF!*N54)</f>
        <v>#REF!</v>
      </c>
      <c r="S54" t="e">
        <f t="shared" si="5"/>
        <v>#REF!</v>
      </c>
      <c r="T54" s="6" t="e">
        <f t="shared" si="6"/>
        <v>#REF!</v>
      </c>
      <c r="V54" s="13" t="e">
        <f t="shared" si="2"/>
        <v>#REF!</v>
      </c>
      <c r="W54" t="e">
        <f t="shared" si="2"/>
        <v>#REF!</v>
      </c>
      <c r="X54" t="e">
        <f t="shared" si="7"/>
        <v>#REF!</v>
      </c>
      <c r="Y54" s="6" t="e">
        <f t="shared" si="8"/>
        <v>#REF!</v>
      </c>
    </row>
    <row r="55" spans="1:25" x14ac:dyDescent="0.3">
      <c r="A55" t="str">
        <f>'rockfish harvests'!A56</f>
        <v>SC</v>
      </c>
      <c r="B55">
        <f>'rockfish harvests'!B56</f>
        <v>2002</v>
      </c>
      <c r="C55" t="str">
        <f>'rockfish harvests'!C56</f>
        <v>SKMA</v>
      </c>
      <c r="D55">
        <f>'rockfish harvests'!D56</f>
        <v>99</v>
      </c>
      <c r="E55">
        <f>'YE harvest'!E57</f>
        <v>11</v>
      </c>
      <c r="F55" s="38"/>
      <c r="G55" s="39"/>
      <c r="H55" s="13">
        <f t="shared" si="16"/>
        <v>0</v>
      </c>
      <c r="I55">
        <f t="shared" si="1"/>
        <v>0</v>
      </c>
      <c r="J55">
        <f t="shared" si="3"/>
        <v>0</v>
      </c>
      <c r="K55" s="6">
        <f t="shared" si="4"/>
        <v>0</v>
      </c>
      <c r="M55" s="2">
        <f>'rockfish harvests'!O56</f>
        <v>29.045504207886239</v>
      </c>
      <c r="N55">
        <f>'rockfish harvests'!P56</f>
        <v>309.48125937296737</v>
      </c>
      <c r="Q55" s="13" t="e">
        <f>#REF!*M55</f>
        <v>#REF!</v>
      </c>
      <c r="R55" s="14" t="e">
        <f>(M55^2)*#REF!+(#REF!^2)*N55-(#REF!*N55)</f>
        <v>#REF!</v>
      </c>
      <c r="S55" t="e">
        <f t="shared" si="5"/>
        <v>#REF!</v>
      </c>
      <c r="T55" s="6" t="e">
        <f t="shared" si="6"/>
        <v>#REF!</v>
      </c>
      <c r="V55" s="13" t="e">
        <f t="shared" si="2"/>
        <v>#REF!</v>
      </c>
      <c r="W55" t="e">
        <f t="shared" si="2"/>
        <v>#REF!</v>
      </c>
      <c r="X55" t="e">
        <f t="shared" si="7"/>
        <v>#REF!</v>
      </c>
      <c r="Y55" s="6" t="e">
        <f t="shared" si="8"/>
        <v>#REF!</v>
      </c>
    </row>
    <row r="56" spans="1:25" x14ac:dyDescent="0.3">
      <c r="A56" t="str">
        <f>'rockfish harvests'!A57</f>
        <v>SC</v>
      </c>
      <c r="B56">
        <f>'rockfish harvests'!B57</f>
        <v>2003</v>
      </c>
      <c r="C56" t="str">
        <f>'rockfish harvests'!C57</f>
        <v>SKMA</v>
      </c>
      <c r="D56">
        <f>'rockfish harvests'!D57</f>
        <v>144</v>
      </c>
      <c r="E56">
        <f>'YE harvest'!E58</f>
        <v>40</v>
      </c>
      <c r="F56" s="38"/>
      <c r="G56" s="39"/>
      <c r="H56" s="13">
        <f t="shared" si="16"/>
        <v>0</v>
      </c>
      <c r="I56">
        <f t="shared" si="1"/>
        <v>0</v>
      </c>
      <c r="J56">
        <f t="shared" si="3"/>
        <v>0</v>
      </c>
      <c r="K56" s="6">
        <f t="shared" si="4"/>
        <v>0</v>
      </c>
      <c r="M56" s="2">
        <f>'rockfish harvests'!O57</f>
        <v>42.248006120561826</v>
      </c>
      <c r="N56">
        <f>'rockfish harvests'!P57</f>
        <v>654.77026776429454</v>
      </c>
      <c r="Q56" s="13" t="e">
        <f>#REF!*M56</f>
        <v>#REF!</v>
      </c>
      <c r="R56" s="14" t="e">
        <f>(M56^2)*#REF!+(#REF!^2)*N56-(#REF!*N56)</f>
        <v>#REF!</v>
      </c>
      <c r="S56" t="e">
        <f t="shared" si="5"/>
        <v>#REF!</v>
      </c>
      <c r="T56" s="6" t="e">
        <f t="shared" si="6"/>
        <v>#REF!</v>
      </c>
      <c r="V56" s="13" t="e">
        <f t="shared" si="2"/>
        <v>#REF!</v>
      </c>
      <c r="W56" t="e">
        <f t="shared" si="2"/>
        <v>#REF!</v>
      </c>
      <c r="X56" t="e">
        <f t="shared" si="7"/>
        <v>#REF!</v>
      </c>
      <c r="Y56" s="6" t="e">
        <f t="shared" si="8"/>
        <v>#REF!</v>
      </c>
    </row>
    <row r="57" spans="1:25" x14ac:dyDescent="0.3">
      <c r="A57" t="str">
        <f>'rockfish harvests'!A58</f>
        <v>SC</v>
      </c>
      <c r="B57">
        <f>'rockfish harvests'!B58</f>
        <v>2004</v>
      </c>
      <c r="C57" t="str">
        <f>'rockfish harvests'!C58</f>
        <v>SKMA</v>
      </c>
      <c r="D57">
        <f>'rockfish harvests'!D58</f>
        <v>200</v>
      </c>
      <c r="E57">
        <f>'YE harvest'!E59</f>
        <v>41</v>
      </c>
      <c r="F57" s="38"/>
      <c r="G57" s="39"/>
      <c r="H57" s="13">
        <f t="shared" si="16"/>
        <v>0</v>
      </c>
      <c r="I57">
        <f t="shared" si="1"/>
        <v>0</v>
      </c>
      <c r="J57">
        <f t="shared" si="3"/>
        <v>0</v>
      </c>
      <c r="K57" s="6">
        <f t="shared" si="4"/>
        <v>0</v>
      </c>
      <c r="M57" s="2">
        <f>'rockfish harvests'!O58</f>
        <v>58.677786278558074</v>
      </c>
      <c r="N57">
        <f>'rockfish harvests'!P58</f>
        <v>1263.059930100877</v>
      </c>
      <c r="Q57" s="13" t="e">
        <f>#REF!*M57</f>
        <v>#REF!</v>
      </c>
      <c r="R57" s="14" t="e">
        <f>(M57^2)*#REF!+(#REF!^2)*N57-(#REF!*N57)</f>
        <v>#REF!</v>
      </c>
      <c r="S57" t="e">
        <f t="shared" si="5"/>
        <v>#REF!</v>
      </c>
      <c r="T57" s="6" t="e">
        <f t="shared" si="6"/>
        <v>#REF!</v>
      </c>
      <c r="V57" s="13" t="e">
        <f t="shared" si="2"/>
        <v>#REF!</v>
      </c>
      <c r="W57" t="e">
        <f t="shared" si="2"/>
        <v>#REF!</v>
      </c>
      <c r="X57" t="e">
        <f t="shared" si="7"/>
        <v>#REF!</v>
      </c>
      <c r="Y57" s="6" t="e">
        <f t="shared" si="8"/>
        <v>#REF!</v>
      </c>
    </row>
    <row r="58" spans="1:25" x14ac:dyDescent="0.3">
      <c r="A58" t="str">
        <f>'rockfish harvests'!A59</f>
        <v>SC</v>
      </c>
      <c r="B58">
        <f>'rockfish harvests'!B59</f>
        <v>2005</v>
      </c>
      <c r="C58" t="str">
        <f>'rockfish harvests'!C59</f>
        <v>SKMA</v>
      </c>
      <c r="D58">
        <f>'rockfish harvests'!D59</f>
        <v>287</v>
      </c>
      <c r="E58">
        <f>'YE harvest'!E60</f>
        <v>159</v>
      </c>
      <c r="F58" s="38"/>
      <c r="G58" s="39"/>
      <c r="H58" s="13">
        <f t="shared" si="16"/>
        <v>0</v>
      </c>
      <c r="I58">
        <f t="shared" si="1"/>
        <v>0</v>
      </c>
      <c r="J58">
        <f t="shared" si="3"/>
        <v>0</v>
      </c>
      <c r="K58" s="6">
        <f t="shared" si="4"/>
        <v>0</v>
      </c>
      <c r="M58" s="2">
        <f>'rockfish harvests'!O59</f>
        <v>84.202623309730882</v>
      </c>
      <c r="N58">
        <f>'rockfish harvests'!P59</f>
        <v>2600.9245845619785</v>
      </c>
      <c r="Q58" s="13" t="e">
        <f>#REF!*M58</f>
        <v>#REF!</v>
      </c>
      <c r="R58" s="14" t="e">
        <f>(M58^2)*#REF!+(#REF!^2)*N58-(#REF!*N58)</f>
        <v>#REF!</v>
      </c>
      <c r="S58" t="e">
        <f t="shared" si="5"/>
        <v>#REF!</v>
      </c>
      <c r="T58" s="6" t="e">
        <f t="shared" si="6"/>
        <v>#REF!</v>
      </c>
      <c r="V58" s="13" t="e">
        <f t="shared" si="2"/>
        <v>#REF!</v>
      </c>
      <c r="W58" t="e">
        <f t="shared" si="2"/>
        <v>#REF!</v>
      </c>
      <c r="X58" t="e">
        <f t="shared" si="7"/>
        <v>#REF!</v>
      </c>
      <c r="Y58" s="6" t="e">
        <f t="shared" si="8"/>
        <v>#REF!</v>
      </c>
    </row>
    <row r="59" spans="1:25" x14ac:dyDescent="0.3">
      <c r="A59" t="str">
        <f>'rockfish harvests'!A60</f>
        <v>SC</v>
      </c>
      <c r="B59">
        <f>'rockfish harvests'!B60</f>
        <v>2006</v>
      </c>
      <c r="C59" t="str">
        <f>'rockfish harvests'!C60</f>
        <v>SKMA</v>
      </c>
      <c r="D59">
        <f>'rockfish harvests'!D60</f>
        <v>303</v>
      </c>
      <c r="E59">
        <f>'YE harvest'!E61</f>
        <v>112</v>
      </c>
      <c r="G59" s="16"/>
      <c r="H59" s="13" t="e">
        <f>#REF!</f>
        <v>#REF!</v>
      </c>
      <c r="I59">
        <f t="shared" si="1"/>
        <v>0</v>
      </c>
      <c r="J59">
        <f t="shared" si="3"/>
        <v>0</v>
      </c>
      <c r="K59" s="6">
        <f t="shared" si="4"/>
        <v>0</v>
      </c>
      <c r="M59" s="2">
        <f>'rockfish harvests'!O60</f>
        <v>88.896846212015475</v>
      </c>
      <c r="N59">
        <f>'rockfish harvests'!P60</f>
        <v>2899.0067280657854</v>
      </c>
      <c r="Q59" s="13" t="e">
        <f>#REF!*M59</f>
        <v>#REF!</v>
      </c>
      <c r="R59" s="14" t="e">
        <f>(M59^2)*#REF!+(#REF!^2)*N59-(#REF!*N59)</f>
        <v>#REF!</v>
      </c>
      <c r="S59" t="e">
        <f t="shared" si="5"/>
        <v>#REF!</v>
      </c>
      <c r="T59" s="6" t="e">
        <f t="shared" si="6"/>
        <v>#REF!</v>
      </c>
      <c r="V59" s="13" t="e">
        <f t="shared" si="2"/>
        <v>#REF!</v>
      </c>
      <c r="W59" t="e">
        <f t="shared" si="2"/>
        <v>#REF!</v>
      </c>
      <c r="X59" t="e">
        <f t="shared" si="7"/>
        <v>#REF!</v>
      </c>
      <c r="Y59" s="6" t="e">
        <f t="shared" si="8"/>
        <v>#REF!</v>
      </c>
    </row>
    <row r="60" spans="1:25" x14ac:dyDescent="0.3">
      <c r="A60" t="str">
        <f>'rockfish harvests'!A61</f>
        <v>SC</v>
      </c>
      <c r="B60">
        <f>'rockfish harvests'!B61</f>
        <v>2007</v>
      </c>
      <c r="C60" t="str">
        <f>'rockfish harvests'!C61</f>
        <v>SKMA</v>
      </c>
      <c r="D60">
        <f>'rockfish harvests'!D61</f>
        <v>1148</v>
      </c>
      <c r="E60">
        <f>'YE harvest'!E62</f>
        <v>179</v>
      </c>
      <c r="G60" s="16"/>
      <c r="H60" s="13" t="e">
        <f>#REF!</f>
        <v>#REF!</v>
      </c>
      <c r="I60">
        <f t="shared" si="1"/>
        <v>0</v>
      </c>
      <c r="J60">
        <f t="shared" si="3"/>
        <v>0</v>
      </c>
      <c r="K60" s="6">
        <f t="shared" si="4"/>
        <v>0</v>
      </c>
      <c r="M60" s="2">
        <f>'rockfish harvests'!O61</f>
        <v>336.81049323892353</v>
      </c>
      <c r="N60">
        <f>'rockfish harvests'!P61</f>
        <v>41614.793352991655</v>
      </c>
      <c r="Q60" s="13" t="e">
        <f>#REF!*M60</f>
        <v>#REF!</v>
      </c>
      <c r="R60" s="14" t="e">
        <f>(M60^2)*#REF!+(#REF!^2)*N60-(#REF!*N60)</f>
        <v>#REF!</v>
      </c>
      <c r="S60" t="e">
        <f t="shared" si="5"/>
        <v>#REF!</v>
      </c>
      <c r="T60" s="6" t="e">
        <f t="shared" si="6"/>
        <v>#REF!</v>
      </c>
      <c r="V60" s="13" t="e">
        <f t="shared" si="2"/>
        <v>#REF!</v>
      </c>
      <c r="W60" t="e">
        <f t="shared" si="2"/>
        <v>#REF!</v>
      </c>
      <c r="X60" t="e">
        <f t="shared" si="7"/>
        <v>#REF!</v>
      </c>
      <c r="Y60" s="6" t="e">
        <f t="shared" si="8"/>
        <v>#REF!</v>
      </c>
    </row>
    <row r="61" spans="1:25" x14ac:dyDescent="0.3">
      <c r="A61" t="str">
        <f>'rockfish harvests'!A62</f>
        <v>SC</v>
      </c>
      <c r="B61">
        <f>'rockfish harvests'!B62</f>
        <v>2008</v>
      </c>
      <c r="C61" t="str">
        <f>'rockfish harvests'!C62</f>
        <v>SKMA</v>
      </c>
      <c r="D61">
        <f>'rockfish harvests'!D62</f>
        <v>1130</v>
      </c>
      <c r="E61">
        <f>'YE harvest'!E63</f>
        <v>88</v>
      </c>
      <c r="G61" s="16"/>
      <c r="H61" s="13" t="e">
        <f>#REF!</f>
        <v>#REF!</v>
      </c>
      <c r="I61">
        <f t="shared" si="1"/>
        <v>0</v>
      </c>
      <c r="J61">
        <f t="shared" si="3"/>
        <v>0</v>
      </c>
      <c r="K61" s="6">
        <f t="shared" si="4"/>
        <v>0</v>
      </c>
      <c r="M61" s="2">
        <f>'rockfish harvests'!O62</f>
        <v>331.52949247385322</v>
      </c>
      <c r="N61">
        <f>'rockfish harvests'!P62</f>
        <v>40320.030618645244</v>
      </c>
      <c r="Q61" s="13" t="e">
        <f>#REF!*M61</f>
        <v>#REF!</v>
      </c>
      <c r="R61" s="14" t="e">
        <f>(M61^2)*#REF!+(#REF!^2)*N61-(#REF!*N61)</f>
        <v>#REF!</v>
      </c>
      <c r="S61" t="e">
        <f t="shared" si="5"/>
        <v>#REF!</v>
      </c>
      <c r="T61" s="6" t="e">
        <f t="shared" si="6"/>
        <v>#REF!</v>
      </c>
      <c r="V61" s="13" t="e">
        <f t="shared" si="2"/>
        <v>#REF!</v>
      </c>
      <c r="W61" t="e">
        <f t="shared" si="2"/>
        <v>#REF!</v>
      </c>
      <c r="X61" t="e">
        <f t="shared" si="7"/>
        <v>#REF!</v>
      </c>
      <c r="Y61" s="6" t="e">
        <f t="shared" si="8"/>
        <v>#REF!</v>
      </c>
    </row>
    <row r="62" spans="1:25" x14ac:dyDescent="0.3">
      <c r="A62" t="str">
        <f>'rockfish harvests'!A63</f>
        <v>SC</v>
      </c>
      <c r="B62">
        <f>'rockfish harvests'!B63</f>
        <v>2009</v>
      </c>
      <c r="C62" t="str">
        <f>'rockfish harvests'!C63</f>
        <v>SKMA</v>
      </c>
      <c r="D62">
        <f>'rockfish harvests'!D63</f>
        <v>810</v>
      </c>
      <c r="E62">
        <f>'YE harvest'!E64</f>
        <v>89</v>
      </c>
      <c r="G62" s="16"/>
      <c r="H62" s="13" t="e">
        <f>#REF!</f>
        <v>#REF!</v>
      </c>
      <c r="I62">
        <f t="shared" si="1"/>
        <v>0</v>
      </c>
      <c r="J62">
        <f t="shared" si="3"/>
        <v>0</v>
      </c>
      <c r="K62" s="6">
        <f t="shared" si="4"/>
        <v>0</v>
      </c>
      <c r="M62" s="2">
        <f>'rockfish harvests'!O63</f>
        <v>237.64503442816022</v>
      </c>
      <c r="N62">
        <f>'rockfish harvests'!P63</f>
        <v>20717.340503479634</v>
      </c>
      <c r="Q62" s="13" t="e">
        <f>#REF!*M62</f>
        <v>#REF!</v>
      </c>
      <c r="R62" s="14" t="e">
        <f>(M62^2)*#REF!+(#REF!^2)*N62-(#REF!*N62)</f>
        <v>#REF!</v>
      </c>
      <c r="S62" t="e">
        <f t="shared" si="5"/>
        <v>#REF!</v>
      </c>
      <c r="T62" s="6" t="e">
        <f t="shared" si="6"/>
        <v>#REF!</v>
      </c>
      <c r="V62" s="13" t="e">
        <f t="shared" si="2"/>
        <v>#REF!</v>
      </c>
      <c r="W62" t="e">
        <f t="shared" si="2"/>
        <v>#REF!</v>
      </c>
      <c r="X62" t="e">
        <f t="shared" si="7"/>
        <v>#REF!</v>
      </c>
      <c r="Y62" s="6" t="e">
        <f t="shared" si="8"/>
        <v>#REF!</v>
      </c>
    </row>
    <row r="63" spans="1:25" x14ac:dyDescent="0.3">
      <c r="A63" t="str">
        <f>'rockfish harvests'!A64</f>
        <v>SC</v>
      </c>
      <c r="B63">
        <f>'rockfish harvests'!B64</f>
        <v>2010</v>
      </c>
      <c r="C63" t="str">
        <f>'rockfish harvests'!C64</f>
        <v>SKMA</v>
      </c>
      <c r="D63">
        <f>'rockfish harvests'!D64</f>
        <v>644</v>
      </c>
      <c r="E63">
        <f>'YE harvest'!E65</f>
        <v>244</v>
      </c>
      <c r="G63" s="16"/>
      <c r="H63" s="13" t="e">
        <f>#REF!</f>
        <v>#REF!</v>
      </c>
      <c r="I63">
        <f t="shared" si="1"/>
        <v>0</v>
      </c>
      <c r="J63">
        <f t="shared" si="3"/>
        <v>0</v>
      </c>
      <c r="K63" s="6">
        <f t="shared" si="4"/>
        <v>0</v>
      </c>
      <c r="M63" s="2">
        <f>'rockfish harvests'!O64</f>
        <v>188.94247181695698</v>
      </c>
      <c r="N63">
        <f>'rockfish harvests'!P64</f>
        <v>13095.910579257932</v>
      </c>
      <c r="Q63" s="13" t="e">
        <f>#REF!*M63</f>
        <v>#REF!</v>
      </c>
      <c r="R63" s="14" t="e">
        <f>(M63^2)*#REF!+(#REF!^2)*N63-(#REF!*N63)</f>
        <v>#REF!</v>
      </c>
      <c r="S63" t="e">
        <f t="shared" si="5"/>
        <v>#REF!</v>
      </c>
      <c r="T63" s="6" t="e">
        <f t="shared" si="6"/>
        <v>#REF!</v>
      </c>
      <c r="V63" s="13" t="e">
        <f t="shared" si="2"/>
        <v>#REF!</v>
      </c>
      <c r="W63" t="e">
        <f t="shared" si="2"/>
        <v>#REF!</v>
      </c>
      <c r="X63" t="e">
        <f t="shared" si="7"/>
        <v>#REF!</v>
      </c>
      <c r="Y63" s="6" t="e">
        <f t="shared" si="8"/>
        <v>#REF!</v>
      </c>
    </row>
    <row r="64" spans="1:25" x14ac:dyDescent="0.3">
      <c r="A64" t="str">
        <f>'rockfish harvests'!A65</f>
        <v>SC</v>
      </c>
      <c r="B64">
        <f>'rockfish harvests'!B65</f>
        <v>2011</v>
      </c>
      <c r="C64" t="str">
        <f>'rockfish harvests'!C65</f>
        <v>SKMA</v>
      </c>
      <c r="D64">
        <f>'rockfish harvests'!D65</f>
        <v>689</v>
      </c>
      <c r="E64">
        <f>'YE harvest'!E66</f>
        <v>137</v>
      </c>
      <c r="G64" s="16"/>
      <c r="H64" s="13" t="e">
        <f>#REF!</f>
        <v>#REF!</v>
      </c>
      <c r="I64">
        <f t="shared" si="1"/>
        <v>0</v>
      </c>
      <c r="J64">
        <f t="shared" si="3"/>
        <v>0</v>
      </c>
      <c r="K64" s="6">
        <f t="shared" si="4"/>
        <v>0</v>
      </c>
      <c r="M64" s="2">
        <f>'rockfish harvests'!O65</f>
        <v>161.99495459132186</v>
      </c>
      <c r="N64">
        <f>'rockfish harvests'!P65</f>
        <v>13094.402331197241</v>
      </c>
      <c r="Q64" s="13" t="e">
        <f>#REF!*M64</f>
        <v>#REF!</v>
      </c>
      <c r="R64" s="14" t="e">
        <f>(M64^2)*#REF!+(#REF!^2)*N64-(#REF!*N64)</f>
        <v>#REF!</v>
      </c>
      <c r="S64" t="e">
        <f t="shared" si="5"/>
        <v>#REF!</v>
      </c>
      <c r="T64" s="6" t="e">
        <f t="shared" si="6"/>
        <v>#REF!</v>
      </c>
      <c r="V64" s="13" t="e">
        <f t="shared" si="2"/>
        <v>#REF!</v>
      </c>
      <c r="W64" t="e">
        <f t="shared" si="2"/>
        <v>#REF!</v>
      </c>
      <c r="X64" t="e">
        <f t="shared" si="7"/>
        <v>#REF!</v>
      </c>
      <c r="Y64" s="6" t="e">
        <f t="shared" si="8"/>
        <v>#REF!</v>
      </c>
    </row>
    <row r="65" spans="1:25" x14ac:dyDescent="0.3">
      <c r="A65" t="str">
        <f>'rockfish harvests'!A66</f>
        <v>SC</v>
      </c>
      <c r="B65">
        <f>'rockfish harvests'!B66</f>
        <v>2012</v>
      </c>
      <c r="C65" t="str">
        <f>'rockfish harvests'!C66</f>
        <v>SKMA</v>
      </c>
      <c r="D65">
        <f>'rockfish harvests'!D66</f>
        <v>918</v>
      </c>
      <c r="E65">
        <f>'YE harvest'!E67</f>
        <v>350</v>
      </c>
      <c r="G65" s="16"/>
      <c r="H65" s="13" t="e">
        <f>#REF!</f>
        <v>#REF!</v>
      </c>
      <c r="I65">
        <f t="shared" si="1"/>
        <v>0</v>
      </c>
      <c r="J65">
        <f t="shared" si="3"/>
        <v>0</v>
      </c>
      <c r="K65" s="6">
        <f t="shared" si="4"/>
        <v>0</v>
      </c>
      <c r="M65" s="2">
        <f>'rockfish harvests'!O66</f>
        <v>591</v>
      </c>
      <c r="N65">
        <f>'rockfish harvests'!P66</f>
        <v>113950.9906442892</v>
      </c>
      <c r="Q65" s="13" t="e">
        <f>#REF!*M65</f>
        <v>#REF!</v>
      </c>
      <c r="R65" s="14" t="e">
        <f>(M65^2)*#REF!+(#REF!^2)*N65-(#REF!*N65)</f>
        <v>#REF!</v>
      </c>
      <c r="S65" t="e">
        <f t="shared" si="5"/>
        <v>#REF!</v>
      </c>
      <c r="T65" s="6" t="e">
        <f t="shared" si="6"/>
        <v>#REF!</v>
      </c>
      <c r="V65" s="13" t="e">
        <f t="shared" si="2"/>
        <v>#REF!</v>
      </c>
      <c r="W65" t="e">
        <f t="shared" si="2"/>
        <v>#REF!</v>
      </c>
      <c r="X65" t="e">
        <f t="shared" si="7"/>
        <v>#REF!</v>
      </c>
      <c r="Y65" s="6" t="e">
        <f t="shared" si="8"/>
        <v>#REF!</v>
      </c>
    </row>
    <row r="66" spans="1:25" x14ac:dyDescent="0.3">
      <c r="A66" t="str">
        <f>'rockfish harvests'!A67</f>
        <v>SC</v>
      </c>
      <c r="B66">
        <f>'rockfish harvests'!B67</f>
        <v>2013</v>
      </c>
      <c r="C66" t="str">
        <f>'rockfish harvests'!C67</f>
        <v>SKMA</v>
      </c>
      <c r="D66">
        <f>'rockfish harvests'!D67</f>
        <v>1035</v>
      </c>
      <c r="E66">
        <f>'YE harvest'!E68</f>
        <v>167</v>
      </c>
      <c r="G66" s="16"/>
      <c r="H66" s="13" t="e">
        <f>#REF!</f>
        <v>#REF!</v>
      </c>
      <c r="I66">
        <f t="shared" si="1"/>
        <v>0</v>
      </c>
      <c r="J66">
        <f t="shared" si="3"/>
        <v>0</v>
      </c>
      <c r="K66" s="6">
        <f t="shared" si="4"/>
        <v>0</v>
      </c>
      <c r="M66" s="2">
        <f>'rockfish harvests'!O67</f>
        <v>209.79729729729729</v>
      </c>
      <c r="N66">
        <f>'rockfish harvests'!P67</f>
        <v>18918.407507863983</v>
      </c>
      <c r="Q66" s="13" t="e">
        <f>#REF!*M66</f>
        <v>#REF!</v>
      </c>
      <c r="R66" s="14" t="e">
        <f>(M66^2)*#REF!+(#REF!^2)*N66-(#REF!*N66)</f>
        <v>#REF!</v>
      </c>
      <c r="S66" t="e">
        <f t="shared" si="5"/>
        <v>#REF!</v>
      </c>
      <c r="T66" s="6" t="e">
        <f t="shared" si="6"/>
        <v>#REF!</v>
      </c>
      <c r="V66" s="13" t="e">
        <f t="shared" si="2"/>
        <v>#REF!</v>
      </c>
      <c r="W66" t="e">
        <f t="shared" si="2"/>
        <v>#REF!</v>
      </c>
      <c r="X66" t="e">
        <f t="shared" si="7"/>
        <v>#REF!</v>
      </c>
      <c r="Y66" s="6" t="e">
        <f t="shared" si="8"/>
        <v>#REF!</v>
      </c>
    </row>
    <row r="67" spans="1:25" x14ac:dyDescent="0.3">
      <c r="A67" t="str">
        <f>'rockfish harvests'!A68</f>
        <v>SC</v>
      </c>
      <c r="B67">
        <f>'rockfish harvests'!B68</f>
        <v>2014</v>
      </c>
      <c r="C67" t="str">
        <f>'rockfish harvests'!C68</f>
        <v>SKMA</v>
      </c>
      <c r="D67">
        <f>'rockfish harvests'!D68</f>
        <v>653</v>
      </c>
      <c r="E67">
        <f>'YE harvest'!E69</f>
        <v>96</v>
      </c>
      <c r="G67" s="16"/>
      <c r="H67" s="13" t="e">
        <f>#REF!</f>
        <v>#REF!</v>
      </c>
      <c r="I67">
        <f t="shared" si="1"/>
        <v>0</v>
      </c>
      <c r="J67">
        <f t="shared" si="3"/>
        <v>0</v>
      </c>
      <c r="K67" s="6">
        <f t="shared" si="4"/>
        <v>0</v>
      </c>
      <c r="M67" s="2">
        <f>'rockfish harvests'!O68</f>
        <v>219.90263510495754</v>
      </c>
      <c r="N67">
        <f>'rockfish harvests'!P68</f>
        <v>18177.015037346606</v>
      </c>
      <c r="Q67" s="13" t="e">
        <f>#REF!*M67</f>
        <v>#REF!</v>
      </c>
      <c r="R67" s="14" t="e">
        <f>(M67^2)*#REF!+(#REF!^2)*N67-(#REF!*N67)</f>
        <v>#REF!</v>
      </c>
      <c r="S67" t="e">
        <f t="shared" si="5"/>
        <v>#REF!</v>
      </c>
      <c r="T67" s="6" t="e">
        <f t="shared" si="6"/>
        <v>#REF!</v>
      </c>
      <c r="V67" s="13" t="e">
        <f t="shared" si="2"/>
        <v>#REF!</v>
      </c>
      <c r="W67" t="e">
        <f t="shared" si="2"/>
        <v>#REF!</v>
      </c>
      <c r="X67" t="e">
        <f t="shared" si="7"/>
        <v>#REF!</v>
      </c>
      <c r="Y67" s="6" t="e">
        <f t="shared" si="8"/>
        <v>#REF!</v>
      </c>
    </row>
    <row r="68" spans="1:25" x14ac:dyDescent="0.3">
      <c r="A68" t="str">
        <f>'rockfish harvests'!A69</f>
        <v>SC</v>
      </c>
      <c r="B68">
        <f>'rockfish harvests'!B69</f>
        <v>2015</v>
      </c>
      <c r="C68" t="str">
        <f>'rockfish harvests'!C69</f>
        <v>SKMA</v>
      </c>
      <c r="D68">
        <f>'rockfish harvests'!D69</f>
        <v>619</v>
      </c>
      <c r="E68">
        <f>'YE harvest'!E70</f>
        <v>72</v>
      </c>
      <c r="G68" s="16"/>
      <c r="H68" s="13" t="e">
        <f>#REF!</f>
        <v>#REF!</v>
      </c>
      <c r="I68">
        <f t="shared" si="1"/>
        <v>0</v>
      </c>
      <c r="J68">
        <f t="shared" si="3"/>
        <v>0</v>
      </c>
      <c r="K68" s="6">
        <f t="shared" si="4"/>
        <v>0</v>
      </c>
      <c r="M68" s="2">
        <f>'rockfish harvests'!O69</f>
        <v>281.78094694808897</v>
      </c>
      <c r="N68">
        <f>'rockfish harvests'!P69</f>
        <v>62212.407283949418</v>
      </c>
      <c r="Q68" s="13" t="e">
        <f>#REF!*M68</f>
        <v>#REF!</v>
      </c>
      <c r="R68" s="14" t="e">
        <f>(M68^2)*#REF!+(#REF!^2)*N68-(#REF!*N68)</f>
        <v>#REF!</v>
      </c>
      <c r="S68" t="e">
        <f t="shared" si="5"/>
        <v>#REF!</v>
      </c>
      <c r="T68" s="6" t="e">
        <f t="shared" si="6"/>
        <v>#REF!</v>
      </c>
      <c r="V68" s="13" t="e">
        <f t="shared" si="2"/>
        <v>#REF!</v>
      </c>
      <c r="W68" t="e">
        <f t="shared" si="2"/>
        <v>#REF!</v>
      </c>
      <c r="X68" t="e">
        <f t="shared" si="7"/>
        <v>#REF!</v>
      </c>
      <c r="Y68" s="6" t="e">
        <f t="shared" si="8"/>
        <v>#REF!</v>
      </c>
    </row>
    <row r="69" spans="1:25" x14ac:dyDescent="0.3">
      <c r="A69" t="str">
        <f>'rockfish harvests'!A70</f>
        <v>SC</v>
      </c>
      <c r="B69">
        <f>'rockfish harvests'!B70</f>
        <v>2016</v>
      </c>
      <c r="C69" t="str">
        <f>'rockfish harvests'!C70</f>
        <v>SKMA</v>
      </c>
      <c r="D69">
        <f>'rockfish harvests'!D70</f>
        <v>804</v>
      </c>
      <c r="E69">
        <f>'YE harvest'!E71</f>
        <v>91</v>
      </c>
      <c r="G69" s="16"/>
      <c r="H69" s="13" t="e">
        <f>#REF!</f>
        <v>#REF!</v>
      </c>
      <c r="I69">
        <f t="shared" si="1"/>
        <v>0</v>
      </c>
      <c r="J69">
        <f t="shared" si="3"/>
        <v>0</v>
      </c>
      <c r="K69" s="6">
        <f t="shared" si="4"/>
        <v>0</v>
      </c>
      <c r="M69" s="2">
        <f>'rockfish harvests'!O70</f>
        <v>94.418789808917268</v>
      </c>
      <c r="N69">
        <f>'rockfish harvests'!P70</f>
        <v>4384.8563398414108</v>
      </c>
      <c r="Q69" s="13" t="e">
        <f>#REF!*M69</f>
        <v>#REF!</v>
      </c>
      <c r="R69" s="14" t="e">
        <f>(M69^2)*#REF!+(#REF!^2)*N69-(#REF!*N69)</f>
        <v>#REF!</v>
      </c>
      <c r="S69" t="e">
        <f t="shared" si="5"/>
        <v>#REF!</v>
      </c>
      <c r="T69" s="6" t="e">
        <f t="shared" si="6"/>
        <v>#REF!</v>
      </c>
      <c r="V69" s="13" t="e">
        <f t="shared" si="2"/>
        <v>#REF!</v>
      </c>
      <c r="W69" t="e">
        <f t="shared" si="2"/>
        <v>#REF!</v>
      </c>
      <c r="X69" t="e">
        <f t="shared" si="7"/>
        <v>#REF!</v>
      </c>
      <c r="Y69" s="6" t="e">
        <f t="shared" si="8"/>
        <v>#REF!</v>
      </c>
    </row>
    <row r="70" spans="1:25" x14ac:dyDescent="0.3">
      <c r="A70" t="str">
        <f>'rockfish harvests'!A71</f>
        <v>SC</v>
      </c>
      <c r="B70">
        <f>'rockfish harvests'!B71</f>
        <v>2017</v>
      </c>
      <c r="C70" t="str">
        <f>'rockfish harvests'!C71</f>
        <v>SKMA</v>
      </c>
      <c r="D70">
        <f>'rockfish harvests'!D71</f>
        <v>666</v>
      </c>
      <c r="E70">
        <f>'YE harvest'!E72</f>
        <v>59</v>
      </c>
      <c r="G70" s="16"/>
      <c r="H70" s="13" t="e">
        <f>#REF!</f>
        <v>#REF!</v>
      </c>
      <c r="I70">
        <f t="shared" si="1"/>
        <v>0</v>
      </c>
      <c r="J70">
        <f t="shared" si="3"/>
        <v>0</v>
      </c>
      <c r="K70" s="6">
        <f t="shared" si="4"/>
        <v>0</v>
      </c>
      <c r="M70" s="2">
        <f>'rockfish harvests'!O71</f>
        <v>229.24813432835822</v>
      </c>
      <c r="N70">
        <f>'rockfish harvests'!P71</f>
        <v>18017.117128178837</v>
      </c>
      <c r="Q70" s="13" t="e">
        <f>#REF!*M70</f>
        <v>#REF!</v>
      </c>
      <c r="R70" s="14" t="e">
        <f>(M70^2)*#REF!+(#REF!^2)*N70-(#REF!*N70)</f>
        <v>#REF!</v>
      </c>
      <c r="S70" t="e">
        <f t="shared" si="5"/>
        <v>#REF!</v>
      </c>
      <c r="T70" s="6" t="e">
        <f t="shared" si="6"/>
        <v>#REF!</v>
      </c>
      <c r="V70" s="13" t="e">
        <f t="shared" si="2"/>
        <v>#REF!</v>
      </c>
      <c r="W70" t="e">
        <f t="shared" si="2"/>
        <v>#REF!</v>
      </c>
      <c r="X70" t="e">
        <f t="shared" si="7"/>
        <v>#REF!</v>
      </c>
      <c r="Y70" s="6" t="e">
        <f t="shared" si="8"/>
        <v>#REF!</v>
      </c>
    </row>
    <row r="71" spans="1:25" x14ac:dyDescent="0.3">
      <c r="A71" t="str">
        <f>'rockfish harvests'!A72</f>
        <v>SC</v>
      </c>
      <c r="B71">
        <f>'rockfish harvests'!B72</f>
        <v>2018</v>
      </c>
      <c r="C71" t="str">
        <f>'rockfish harvests'!C72</f>
        <v>SKMA</v>
      </c>
      <c r="D71">
        <f>'rockfish harvests'!D72</f>
        <v>671</v>
      </c>
      <c r="E71">
        <f>'YE harvest'!E73</f>
        <v>72</v>
      </c>
      <c r="G71" s="16"/>
      <c r="H71" s="13" t="e">
        <f>#REF!</f>
        <v>#REF!</v>
      </c>
      <c r="I71">
        <f t="shared" si="1"/>
        <v>0</v>
      </c>
      <c r="J71">
        <f t="shared" si="3"/>
        <v>0</v>
      </c>
      <c r="K71" s="6">
        <f t="shared" si="4"/>
        <v>0</v>
      </c>
      <c r="M71" s="2">
        <f>'rockfish harvests'!O72</f>
        <v>107.64245379876797</v>
      </c>
      <c r="N71">
        <f>'rockfish harvests'!P72</f>
        <v>4325.8254808581805</v>
      </c>
      <c r="Q71" s="13" t="e">
        <f>#REF!*M71</f>
        <v>#REF!</v>
      </c>
      <c r="R71" s="14" t="e">
        <f>(M71^2)*#REF!+(#REF!^2)*N71-(#REF!*N71)</f>
        <v>#REF!</v>
      </c>
      <c r="S71" t="e">
        <f t="shared" si="5"/>
        <v>#REF!</v>
      </c>
      <c r="T71" s="6" t="e">
        <f t="shared" si="6"/>
        <v>#REF!</v>
      </c>
      <c r="V71" s="13" t="e">
        <f t="shared" si="2"/>
        <v>#REF!</v>
      </c>
      <c r="W71" t="e">
        <f t="shared" si="2"/>
        <v>#REF!</v>
      </c>
      <c r="X71" t="e">
        <f t="shared" si="7"/>
        <v>#REF!</v>
      </c>
      <c r="Y71" s="6" t="e">
        <f t="shared" si="8"/>
        <v>#REF!</v>
      </c>
    </row>
    <row r="72" spans="1:25" x14ac:dyDescent="0.3">
      <c r="A72" t="str">
        <f>'rockfish harvests'!A73</f>
        <v>SC</v>
      </c>
      <c r="B72">
        <f>'rockfish harvests'!B73</f>
        <v>2019</v>
      </c>
      <c r="C72" t="str">
        <f>'rockfish harvests'!C73</f>
        <v>SKMA</v>
      </c>
      <c r="D72">
        <f>'rockfish harvests'!D73</f>
        <v>716</v>
      </c>
      <c r="E72">
        <f>'YE harvest'!E74</f>
        <v>128</v>
      </c>
      <c r="G72" s="16"/>
      <c r="I72">
        <f t="shared" ref="I72:I73" si="17">(E72^2)*G72</f>
        <v>0</v>
      </c>
      <c r="J72">
        <f t="shared" ref="J72:J73" si="18">SQRT(I72)</f>
        <v>0</v>
      </c>
      <c r="K72" s="6">
        <f t="shared" ref="K72:K73" si="19">(1.96*J72)</f>
        <v>0</v>
      </c>
      <c r="M72" s="2">
        <f>'rockfish harvests'!O73</f>
        <v>230.32441288913162</v>
      </c>
      <c r="N72">
        <f>'rockfish harvests'!P73</f>
        <v>30814.691102249373</v>
      </c>
      <c r="R72" s="14"/>
      <c r="S72"/>
      <c r="T72" s="6"/>
      <c r="Y72" s="6"/>
    </row>
    <row r="73" spans="1:25" x14ac:dyDescent="0.3">
      <c r="A73" t="str">
        <f>'rockfish harvests'!A74</f>
        <v>SC</v>
      </c>
      <c r="B73">
        <f>'rockfish harvests'!B74</f>
        <v>2020</v>
      </c>
      <c r="C73" t="str">
        <f>'rockfish harvests'!C74</f>
        <v>SKMA</v>
      </c>
      <c r="D73">
        <f>'rockfish harvests'!D74</f>
        <v>302</v>
      </c>
      <c r="E73">
        <f>'YE harvest'!E75</f>
        <v>47</v>
      </c>
      <c r="G73" s="16"/>
      <c r="I73">
        <f t="shared" si="17"/>
        <v>0</v>
      </c>
      <c r="J73">
        <f t="shared" si="18"/>
        <v>0</v>
      </c>
      <c r="K73" s="6">
        <f t="shared" si="19"/>
        <v>0</v>
      </c>
      <c r="M73" s="2">
        <f>'rockfish harvests'!O74</f>
        <v>57.128003494975985</v>
      </c>
      <c r="N73">
        <f>'rockfish harvests'!P74</f>
        <v>816.94472651239755</v>
      </c>
      <c r="R73" s="14"/>
      <c r="S73"/>
      <c r="T73" s="6"/>
      <c r="Y73" s="6"/>
    </row>
    <row r="74" spans="1:25" x14ac:dyDescent="0.3">
      <c r="A74" t="str">
        <f>'rockfish harvests'!A75</f>
        <v>SC</v>
      </c>
      <c r="B74">
        <f>'rockfish harvests'!B75</f>
        <v>2021</v>
      </c>
      <c r="C74" t="str">
        <f>'rockfish harvests'!C75</f>
        <v>SKMA</v>
      </c>
      <c r="D74">
        <f>'rockfish harvests'!D75</f>
        <v>1622</v>
      </c>
      <c r="E74">
        <f>'YE harvest'!E76</f>
        <v>194</v>
      </c>
      <c r="G74" s="16"/>
      <c r="K74" s="6"/>
      <c r="M74" s="2">
        <f>'rockfish harvests'!O75</f>
        <v>253.31845937059643</v>
      </c>
      <c r="N74">
        <f>'rockfish harvests'!P75</f>
        <v>10922.563990757333</v>
      </c>
      <c r="R74" s="14"/>
      <c r="S74"/>
      <c r="T74" s="6"/>
      <c r="Y74" s="6"/>
    </row>
    <row r="75" spans="1:25" x14ac:dyDescent="0.3">
      <c r="A75" t="str">
        <f>'rockfish harvests'!A77</f>
        <v>SC</v>
      </c>
      <c r="B75">
        <f>'rockfish harvests'!B77</f>
        <v>1998</v>
      </c>
      <c r="C75" t="str">
        <f>'rockfish harvests'!C77</f>
        <v>CI</v>
      </c>
      <c r="D75">
        <f>'rockfish harvests'!D77</f>
        <v>994</v>
      </c>
      <c r="E75">
        <f>'YE harvest'!E78</f>
        <v>271</v>
      </c>
      <c r="F75" s="38"/>
      <c r="G75" s="39"/>
      <c r="H75" s="13">
        <f t="shared" ref="H75:H82" si="20">E75*F75</f>
        <v>0</v>
      </c>
      <c r="I75">
        <f t="shared" si="1"/>
        <v>0</v>
      </c>
      <c r="J75">
        <f t="shared" si="3"/>
        <v>0</v>
      </c>
      <c r="K75" s="6">
        <f t="shared" si="4"/>
        <v>0</v>
      </c>
      <c r="M75" s="2">
        <f>'rockfish harvests'!O77</f>
        <v>692.47589516408812</v>
      </c>
      <c r="N75">
        <f>'rockfish harvests'!P77</f>
        <v>44240.136597187789</v>
      </c>
      <c r="O75" s="32"/>
      <c r="P75" s="32"/>
      <c r="Q75" s="13">
        <f t="shared" ref="Q75:Q95" si="21">M75*O75</f>
        <v>0</v>
      </c>
      <c r="R75" s="14">
        <f t="shared" ref="R75:R95" si="22">(M75^2)*P75+(O75^2)*N75-(P75*N75)</f>
        <v>0</v>
      </c>
      <c r="S75">
        <f t="shared" si="5"/>
        <v>0</v>
      </c>
      <c r="T75" s="6">
        <f t="shared" si="6"/>
        <v>0</v>
      </c>
      <c r="V75" s="13">
        <f t="shared" si="2"/>
        <v>0</v>
      </c>
      <c r="W75" s="14">
        <f t="shared" si="2"/>
        <v>0</v>
      </c>
      <c r="X75">
        <f t="shared" si="7"/>
        <v>0</v>
      </c>
      <c r="Y75" s="6">
        <f t="shared" si="8"/>
        <v>0</v>
      </c>
    </row>
    <row r="76" spans="1:25" x14ac:dyDescent="0.3">
      <c r="A76" t="str">
        <f>'rockfish harvests'!A78</f>
        <v>SC</v>
      </c>
      <c r="B76">
        <f>'rockfish harvests'!B78</f>
        <v>1999</v>
      </c>
      <c r="C76" t="str">
        <f>'rockfish harvests'!C78</f>
        <v>CI</v>
      </c>
      <c r="D76">
        <f>'rockfish harvests'!D78</f>
        <v>911</v>
      </c>
      <c r="E76">
        <f>'YE harvest'!E79</f>
        <v>102</v>
      </c>
      <c r="F76" s="38"/>
      <c r="G76" s="39"/>
      <c r="H76" s="13">
        <f t="shared" si="20"/>
        <v>0</v>
      </c>
      <c r="I76">
        <f t="shared" ref="I76:I148" si="23">(E76^2)*G76</f>
        <v>0</v>
      </c>
      <c r="J76">
        <f t="shared" si="3"/>
        <v>0</v>
      </c>
      <c r="K76" s="6">
        <f t="shared" si="4"/>
        <v>0</v>
      </c>
      <c r="M76" s="2">
        <f>'rockfish harvests'!O78</f>
        <v>634.65346126205668</v>
      </c>
      <c r="N76">
        <f>'rockfish harvests'!P78</f>
        <v>37160.4054962316</v>
      </c>
      <c r="Q76" s="13">
        <f t="shared" si="21"/>
        <v>0</v>
      </c>
      <c r="R76" s="14">
        <f t="shared" si="22"/>
        <v>0</v>
      </c>
      <c r="S76">
        <f t="shared" si="5"/>
        <v>0</v>
      </c>
      <c r="T76" s="6">
        <f t="shared" si="6"/>
        <v>0</v>
      </c>
      <c r="V76" s="13">
        <f t="shared" ref="V76:W148" si="24">Q76+H76</f>
        <v>0</v>
      </c>
      <c r="W76">
        <f t="shared" si="24"/>
        <v>0</v>
      </c>
      <c r="X76">
        <f t="shared" si="7"/>
        <v>0</v>
      </c>
      <c r="Y76" s="6">
        <f t="shared" si="8"/>
        <v>0</v>
      </c>
    </row>
    <row r="77" spans="1:25" x14ac:dyDescent="0.3">
      <c r="A77" t="str">
        <f>'rockfish harvests'!A79</f>
        <v>SC</v>
      </c>
      <c r="B77">
        <f>'rockfish harvests'!B79</f>
        <v>2000</v>
      </c>
      <c r="C77" t="str">
        <f>'rockfish harvests'!C79</f>
        <v>CI</v>
      </c>
      <c r="D77">
        <f>'rockfish harvests'!D79</f>
        <v>1400</v>
      </c>
      <c r="E77">
        <f>'YE harvest'!E80</f>
        <v>175</v>
      </c>
      <c r="F77" s="38"/>
      <c r="G77" s="39"/>
      <c r="H77" s="13">
        <f t="shared" si="20"/>
        <v>0</v>
      </c>
      <c r="I77">
        <f t="shared" si="23"/>
        <v>0</v>
      </c>
      <c r="J77">
        <f t="shared" ref="J77:J149" si="25">SQRT(I77)</f>
        <v>0</v>
      </c>
      <c r="K77" s="6">
        <f t="shared" ref="K77:K149" si="26">(1.96*J77)</f>
        <v>0</v>
      </c>
      <c r="M77" s="2">
        <f>'rockfish harvests'!O79</f>
        <v>975.31816220294104</v>
      </c>
      <c r="N77">
        <f>'rockfish harvests'!P79</f>
        <v>87760.635979344952</v>
      </c>
      <c r="O77" s="32"/>
      <c r="P77" s="32"/>
      <c r="Q77" s="13">
        <f t="shared" si="21"/>
        <v>0</v>
      </c>
      <c r="R77" s="14">
        <f t="shared" si="22"/>
        <v>0</v>
      </c>
      <c r="S77">
        <f t="shared" ref="S77:S149" si="27">SQRT(R77)</f>
        <v>0</v>
      </c>
      <c r="T77" s="6">
        <f t="shared" ref="T77:T149" si="28">(1.96*S77)</f>
        <v>0</v>
      </c>
      <c r="V77" s="13">
        <f t="shared" si="24"/>
        <v>0</v>
      </c>
      <c r="W77">
        <f t="shared" si="24"/>
        <v>0</v>
      </c>
      <c r="X77">
        <f t="shared" ref="X77:X149" si="29">SQRT(W77)</f>
        <v>0</v>
      </c>
      <c r="Y77" s="6">
        <f t="shared" ref="Y77:Y149" si="30">(1.96*X77)</f>
        <v>0</v>
      </c>
    </row>
    <row r="78" spans="1:25" x14ac:dyDescent="0.3">
      <c r="A78" t="str">
        <f>'rockfish harvests'!A80</f>
        <v>SC</v>
      </c>
      <c r="B78">
        <f>'rockfish harvests'!B80</f>
        <v>2001</v>
      </c>
      <c r="C78" t="str">
        <f>'rockfish harvests'!C80</f>
        <v>CI</v>
      </c>
      <c r="D78">
        <f>'rockfish harvests'!D80</f>
        <v>763</v>
      </c>
      <c r="E78">
        <f>'YE harvest'!E81</f>
        <v>69</v>
      </c>
      <c r="F78" s="38"/>
      <c r="G78" s="39"/>
      <c r="H78" s="13">
        <f t="shared" si="20"/>
        <v>0</v>
      </c>
      <c r="I78">
        <f t="shared" si="23"/>
        <v>0</v>
      </c>
      <c r="J78">
        <f t="shared" si="25"/>
        <v>0</v>
      </c>
      <c r="K78" s="6">
        <f t="shared" si="26"/>
        <v>0</v>
      </c>
      <c r="M78" s="2">
        <f>'rockfish harvests'!O80</f>
        <v>531.54839840060276</v>
      </c>
      <c r="N78">
        <f>'rockfish harvests'!P80</f>
        <v>26067.102901764931</v>
      </c>
      <c r="Q78" s="13">
        <f t="shared" si="21"/>
        <v>0</v>
      </c>
      <c r="R78" s="14">
        <f t="shared" si="22"/>
        <v>0</v>
      </c>
      <c r="S78">
        <f t="shared" si="27"/>
        <v>0</v>
      </c>
      <c r="T78" s="6">
        <f t="shared" si="28"/>
        <v>0</v>
      </c>
      <c r="V78" s="13">
        <f t="shared" si="24"/>
        <v>0</v>
      </c>
      <c r="W78">
        <f t="shared" si="24"/>
        <v>0</v>
      </c>
      <c r="X78">
        <f t="shared" si="29"/>
        <v>0</v>
      </c>
      <c r="Y78" s="6">
        <f t="shared" si="30"/>
        <v>0</v>
      </c>
    </row>
    <row r="79" spans="1:25" x14ac:dyDescent="0.3">
      <c r="A79" t="str">
        <f>'rockfish harvests'!A81</f>
        <v>SC</v>
      </c>
      <c r="B79">
        <f>'rockfish harvests'!B81</f>
        <v>2002</v>
      </c>
      <c r="C79" t="str">
        <f>'rockfish harvests'!C81</f>
        <v>CI</v>
      </c>
      <c r="D79">
        <f>'rockfish harvests'!D81</f>
        <v>2378</v>
      </c>
      <c r="E79">
        <f>'YE harvest'!E82</f>
        <v>271</v>
      </c>
      <c r="F79" s="38"/>
      <c r="G79" s="39"/>
      <c r="H79" s="13">
        <f t="shared" si="20"/>
        <v>0</v>
      </c>
      <c r="I79">
        <f t="shared" si="23"/>
        <v>0</v>
      </c>
      <c r="J79">
        <f t="shared" si="25"/>
        <v>0</v>
      </c>
      <c r="K79" s="6">
        <f t="shared" si="26"/>
        <v>0</v>
      </c>
      <c r="M79" s="2">
        <f>'rockfish harvests'!O81</f>
        <v>1656.6475640847098</v>
      </c>
      <c r="N79">
        <f>'rockfish harvests'!P81</f>
        <v>253202.15113746023</v>
      </c>
      <c r="O79" s="32"/>
      <c r="P79" s="32"/>
      <c r="Q79" s="13">
        <f t="shared" si="21"/>
        <v>0</v>
      </c>
      <c r="R79" s="14">
        <f t="shared" si="22"/>
        <v>0</v>
      </c>
      <c r="S79">
        <f t="shared" si="27"/>
        <v>0</v>
      </c>
      <c r="T79" s="6">
        <f t="shared" si="28"/>
        <v>0</v>
      </c>
      <c r="V79" s="13">
        <f t="shared" si="24"/>
        <v>0</v>
      </c>
      <c r="W79">
        <f t="shared" si="24"/>
        <v>0</v>
      </c>
      <c r="X79">
        <f t="shared" si="29"/>
        <v>0</v>
      </c>
      <c r="Y79" s="6">
        <f t="shared" si="30"/>
        <v>0</v>
      </c>
    </row>
    <row r="80" spans="1:25" x14ac:dyDescent="0.3">
      <c r="A80" t="str">
        <f>'rockfish harvests'!A82</f>
        <v>SC</v>
      </c>
      <c r="B80">
        <f>'rockfish harvests'!B82</f>
        <v>2003</v>
      </c>
      <c r="C80" t="str">
        <f>'rockfish harvests'!C82</f>
        <v>CI</v>
      </c>
      <c r="D80">
        <f>'rockfish harvests'!D82</f>
        <v>4623</v>
      </c>
      <c r="E80">
        <f>'YE harvest'!E83</f>
        <v>376</v>
      </c>
      <c r="F80" s="38"/>
      <c r="G80" s="39"/>
      <c r="H80" s="13">
        <f t="shared" si="20"/>
        <v>0</v>
      </c>
      <c r="I80">
        <f t="shared" si="23"/>
        <v>0</v>
      </c>
      <c r="J80">
        <f t="shared" si="25"/>
        <v>0</v>
      </c>
      <c r="K80" s="6">
        <f t="shared" si="26"/>
        <v>0</v>
      </c>
      <c r="M80" s="2">
        <f>'rockfish harvests'!O82</f>
        <v>3220.6399027601401</v>
      </c>
      <c r="N80">
        <f>'rockfish harvests'!P82</f>
        <v>956954.91493500082</v>
      </c>
      <c r="O80" s="32"/>
      <c r="P80" s="32"/>
      <c r="Q80" s="13">
        <f t="shared" si="21"/>
        <v>0</v>
      </c>
      <c r="R80" s="14">
        <f t="shared" si="22"/>
        <v>0</v>
      </c>
      <c r="S80">
        <f t="shared" si="27"/>
        <v>0</v>
      </c>
      <c r="T80" s="6">
        <f t="shared" si="28"/>
        <v>0</v>
      </c>
      <c r="V80" s="13">
        <f t="shared" si="24"/>
        <v>0</v>
      </c>
      <c r="W80">
        <f t="shared" si="24"/>
        <v>0</v>
      </c>
      <c r="X80">
        <f t="shared" si="29"/>
        <v>0</v>
      </c>
      <c r="Y80" s="6">
        <f t="shared" si="30"/>
        <v>0</v>
      </c>
    </row>
    <row r="81" spans="1:25" x14ac:dyDescent="0.3">
      <c r="A81" t="str">
        <f>'rockfish harvests'!A83</f>
        <v>SC</v>
      </c>
      <c r="B81">
        <f>'rockfish harvests'!B83</f>
        <v>2004</v>
      </c>
      <c r="C81" t="str">
        <f>'rockfish harvests'!C83</f>
        <v>CI</v>
      </c>
      <c r="D81">
        <f>'rockfish harvests'!D83</f>
        <v>4736</v>
      </c>
      <c r="E81">
        <f>'YE harvest'!E84</f>
        <v>266</v>
      </c>
      <c r="F81" s="38"/>
      <c r="G81" s="39"/>
      <c r="H81" s="13">
        <f t="shared" si="20"/>
        <v>0</v>
      </c>
      <c r="I81">
        <f t="shared" si="23"/>
        <v>0</v>
      </c>
      <c r="J81">
        <f t="shared" si="25"/>
        <v>0</v>
      </c>
      <c r="K81" s="6">
        <f t="shared" si="26"/>
        <v>0</v>
      </c>
      <c r="M81" s="2">
        <f>'rockfish harvests'!O83</f>
        <v>3299.3620115665199</v>
      </c>
      <c r="N81">
        <f>'rockfish harvests'!P83</f>
        <v>1004308.3600935558</v>
      </c>
      <c r="O81" s="32"/>
      <c r="P81" s="32"/>
      <c r="Q81" s="13">
        <f t="shared" si="21"/>
        <v>0</v>
      </c>
      <c r="R81" s="14">
        <f t="shared" si="22"/>
        <v>0</v>
      </c>
      <c r="S81">
        <f t="shared" si="27"/>
        <v>0</v>
      </c>
      <c r="T81" s="6">
        <f t="shared" si="28"/>
        <v>0</v>
      </c>
      <c r="V81" s="13">
        <f t="shared" si="24"/>
        <v>0</v>
      </c>
      <c r="W81">
        <f t="shared" si="24"/>
        <v>0</v>
      </c>
      <c r="X81">
        <f t="shared" si="29"/>
        <v>0</v>
      </c>
      <c r="Y81" s="6">
        <f t="shared" si="30"/>
        <v>0</v>
      </c>
    </row>
    <row r="82" spans="1:25" x14ac:dyDescent="0.3">
      <c r="A82" t="str">
        <f>'rockfish harvests'!A84</f>
        <v>SC</v>
      </c>
      <c r="B82">
        <f>'rockfish harvests'!B84</f>
        <v>2005</v>
      </c>
      <c r="C82" t="str">
        <f>'rockfish harvests'!C84</f>
        <v>CI</v>
      </c>
      <c r="D82">
        <f>'rockfish harvests'!D84</f>
        <v>3615</v>
      </c>
      <c r="E82">
        <f>'YE harvest'!E85</f>
        <v>155</v>
      </c>
      <c r="F82" s="38"/>
      <c r="G82" s="39"/>
      <c r="H82" s="13">
        <f t="shared" si="20"/>
        <v>0</v>
      </c>
      <c r="I82">
        <f t="shared" si="23"/>
        <v>0</v>
      </c>
      <c r="J82">
        <f t="shared" si="25"/>
        <v>0</v>
      </c>
      <c r="K82" s="6">
        <f t="shared" si="26"/>
        <v>0</v>
      </c>
      <c r="M82" s="2">
        <f>'rockfish harvests'!O84</f>
        <v>2518.4108259740224</v>
      </c>
      <c r="N82">
        <f>'rockfish harvests'!P84</f>
        <v>585140.68220468122</v>
      </c>
      <c r="O82" s="32"/>
      <c r="P82" s="32"/>
      <c r="Q82" s="13">
        <f t="shared" si="21"/>
        <v>0</v>
      </c>
      <c r="R82" s="14">
        <f t="shared" si="22"/>
        <v>0</v>
      </c>
      <c r="S82">
        <f t="shared" si="27"/>
        <v>0</v>
      </c>
      <c r="T82" s="6">
        <f t="shared" si="28"/>
        <v>0</v>
      </c>
      <c r="V82" s="13">
        <f t="shared" si="24"/>
        <v>0</v>
      </c>
      <c r="W82">
        <f t="shared" si="24"/>
        <v>0</v>
      </c>
      <c r="X82">
        <f t="shared" si="29"/>
        <v>0</v>
      </c>
      <c r="Y82" s="6">
        <f t="shared" si="30"/>
        <v>0</v>
      </c>
    </row>
    <row r="83" spans="1:25" x14ac:dyDescent="0.3">
      <c r="A83" t="str">
        <f>'rockfish harvests'!A85</f>
        <v>SC</v>
      </c>
      <c r="B83">
        <f>'rockfish harvests'!B85</f>
        <v>2006</v>
      </c>
      <c r="C83" t="str">
        <f>'rockfish harvests'!C85</f>
        <v>CI</v>
      </c>
      <c r="D83">
        <f>'rockfish harvests'!D85</f>
        <v>2463</v>
      </c>
      <c r="E83">
        <f>'YE harvest'!E86</f>
        <v>213</v>
      </c>
      <c r="H83" s="13" t="e">
        <f>#REF!</f>
        <v>#REF!</v>
      </c>
      <c r="I83">
        <f t="shared" si="23"/>
        <v>0</v>
      </c>
      <c r="J83">
        <f t="shared" si="25"/>
        <v>0</v>
      </c>
      <c r="K83" s="6">
        <f t="shared" si="26"/>
        <v>0</v>
      </c>
      <c r="M83" s="2">
        <f>'rockfish harvests'!O85</f>
        <v>1715.8633096470312</v>
      </c>
      <c r="N83">
        <f>'rockfish harvests'!P85</f>
        <v>271626.73547213408</v>
      </c>
      <c r="O83" s="32"/>
      <c r="P83" s="32"/>
      <c r="Q83" s="13">
        <f t="shared" si="21"/>
        <v>0</v>
      </c>
      <c r="R83" s="14">
        <f t="shared" si="22"/>
        <v>0</v>
      </c>
      <c r="S83">
        <f t="shared" si="27"/>
        <v>0</v>
      </c>
      <c r="T83" s="6">
        <f t="shared" si="28"/>
        <v>0</v>
      </c>
      <c r="V83" s="13" t="e">
        <f t="shared" si="24"/>
        <v>#REF!</v>
      </c>
      <c r="W83">
        <f t="shared" si="24"/>
        <v>0</v>
      </c>
      <c r="X83">
        <f t="shared" si="29"/>
        <v>0</v>
      </c>
      <c r="Y83" s="6">
        <f t="shared" si="30"/>
        <v>0</v>
      </c>
    </row>
    <row r="84" spans="1:25" x14ac:dyDescent="0.3">
      <c r="A84" t="str">
        <f>'rockfish harvests'!A86</f>
        <v>SC</v>
      </c>
      <c r="B84">
        <f>'rockfish harvests'!B86</f>
        <v>2007</v>
      </c>
      <c r="C84" t="str">
        <f>'rockfish harvests'!C86</f>
        <v>CI</v>
      </c>
      <c r="D84">
        <f>'rockfish harvests'!D86</f>
        <v>2559</v>
      </c>
      <c r="E84">
        <f>'YE harvest'!E87</f>
        <v>194</v>
      </c>
      <c r="H84" s="13" t="e">
        <f>#REF!</f>
        <v>#REF!</v>
      </c>
      <c r="I84">
        <f t="shared" si="23"/>
        <v>0</v>
      </c>
      <c r="J84">
        <f t="shared" si="25"/>
        <v>0</v>
      </c>
      <c r="K84" s="6">
        <f t="shared" si="26"/>
        <v>0</v>
      </c>
      <c r="M84" s="2">
        <f>'rockfish harvests'!O86</f>
        <v>1782.7422693409471</v>
      </c>
      <c r="N84">
        <f>'rockfish harvests'!P86</f>
        <v>293213.70268298819</v>
      </c>
      <c r="O84" s="32"/>
      <c r="P84" s="32"/>
      <c r="Q84" s="13">
        <f t="shared" si="21"/>
        <v>0</v>
      </c>
      <c r="R84" s="14">
        <f t="shared" si="22"/>
        <v>0</v>
      </c>
      <c r="S84">
        <f t="shared" si="27"/>
        <v>0</v>
      </c>
      <c r="T84" s="6">
        <f t="shared" si="28"/>
        <v>0</v>
      </c>
      <c r="V84" s="13" t="e">
        <f t="shared" si="24"/>
        <v>#REF!</v>
      </c>
      <c r="W84">
        <f t="shared" si="24"/>
        <v>0</v>
      </c>
      <c r="X84">
        <f t="shared" si="29"/>
        <v>0</v>
      </c>
      <c r="Y84" s="6">
        <f t="shared" si="30"/>
        <v>0</v>
      </c>
    </row>
    <row r="85" spans="1:25" x14ac:dyDescent="0.3">
      <c r="A85" t="str">
        <f>'rockfish harvests'!A87</f>
        <v>SC</v>
      </c>
      <c r="B85">
        <f>'rockfish harvests'!B87</f>
        <v>2008</v>
      </c>
      <c r="C85" t="str">
        <f>'rockfish harvests'!C87</f>
        <v>CI</v>
      </c>
      <c r="D85">
        <f>'rockfish harvests'!D87</f>
        <v>2163</v>
      </c>
      <c r="E85">
        <f>'YE harvest'!E88</f>
        <v>157</v>
      </c>
      <c r="H85" s="13" t="e">
        <f>#REF!</f>
        <v>#REF!</v>
      </c>
      <c r="I85">
        <f t="shared" si="23"/>
        <v>0</v>
      </c>
      <c r="J85">
        <f t="shared" si="25"/>
        <v>0</v>
      </c>
      <c r="K85" s="6">
        <f t="shared" si="26"/>
        <v>0</v>
      </c>
      <c r="M85" s="2">
        <f>'rockfish harvests'!O87</f>
        <v>1506.8665606035438</v>
      </c>
      <c r="N85">
        <f>'rockfish harvests'!P87</f>
        <v>209486.83209859589</v>
      </c>
      <c r="O85" s="32"/>
      <c r="P85" s="32"/>
      <c r="Q85" s="13">
        <f t="shared" si="21"/>
        <v>0</v>
      </c>
      <c r="R85" s="14">
        <f t="shared" si="22"/>
        <v>0</v>
      </c>
      <c r="S85">
        <f t="shared" si="27"/>
        <v>0</v>
      </c>
      <c r="T85" s="6">
        <f t="shared" si="28"/>
        <v>0</v>
      </c>
      <c r="V85" s="13" t="e">
        <f t="shared" si="24"/>
        <v>#REF!</v>
      </c>
      <c r="W85">
        <f t="shared" si="24"/>
        <v>0</v>
      </c>
      <c r="X85">
        <f t="shared" si="29"/>
        <v>0</v>
      </c>
      <c r="Y85" s="6">
        <f t="shared" si="30"/>
        <v>0</v>
      </c>
    </row>
    <row r="86" spans="1:25" x14ac:dyDescent="0.3">
      <c r="A86" t="str">
        <f>'rockfish harvests'!A88</f>
        <v>SC</v>
      </c>
      <c r="B86">
        <f>'rockfish harvests'!B88</f>
        <v>2009</v>
      </c>
      <c r="C86" t="str">
        <f>'rockfish harvests'!C88</f>
        <v>CI</v>
      </c>
      <c r="D86">
        <f>'rockfish harvests'!D88</f>
        <v>2918</v>
      </c>
      <c r="E86">
        <f>'YE harvest'!E89</f>
        <v>256</v>
      </c>
      <c r="H86" s="13" t="e">
        <f>#REF!</f>
        <v>#REF!</v>
      </c>
      <c r="I86">
        <f t="shared" si="23"/>
        <v>0</v>
      </c>
      <c r="J86">
        <f t="shared" si="25"/>
        <v>0</v>
      </c>
      <c r="K86" s="6">
        <f t="shared" si="26"/>
        <v>0</v>
      </c>
      <c r="M86" s="2">
        <f>'rockfish harvests'!O88</f>
        <v>2032.841712362987</v>
      </c>
      <c r="N86">
        <f>'rockfish harvests'!P88</f>
        <v>381253.87419826118</v>
      </c>
      <c r="Q86" s="13">
        <f t="shared" si="21"/>
        <v>0</v>
      </c>
      <c r="R86" s="14">
        <f t="shared" si="22"/>
        <v>0</v>
      </c>
      <c r="S86">
        <f t="shared" si="27"/>
        <v>0</v>
      </c>
      <c r="T86" s="6">
        <f t="shared" si="28"/>
        <v>0</v>
      </c>
      <c r="V86" s="13" t="e">
        <f t="shared" si="24"/>
        <v>#REF!</v>
      </c>
      <c r="W86">
        <f t="shared" si="24"/>
        <v>0</v>
      </c>
      <c r="X86">
        <f t="shared" si="29"/>
        <v>0</v>
      </c>
      <c r="Y86" s="6">
        <f t="shared" si="30"/>
        <v>0</v>
      </c>
    </row>
    <row r="87" spans="1:25" x14ac:dyDescent="0.3">
      <c r="A87" t="str">
        <f>'rockfish harvests'!A89</f>
        <v>SC</v>
      </c>
      <c r="B87">
        <f>'rockfish harvests'!B89</f>
        <v>2010</v>
      </c>
      <c r="C87" t="str">
        <f>'rockfish harvests'!C89</f>
        <v>CI</v>
      </c>
      <c r="D87">
        <f>'rockfish harvests'!D89</f>
        <v>4422</v>
      </c>
      <c r="E87">
        <f>'YE harvest'!E90</f>
        <v>1173</v>
      </c>
      <c r="H87" s="13" t="e">
        <f>#REF!</f>
        <v>#REF!</v>
      </c>
      <c r="I87">
        <f t="shared" si="23"/>
        <v>0</v>
      </c>
      <c r="J87">
        <f t="shared" si="25"/>
        <v>0</v>
      </c>
      <c r="K87" s="6">
        <f t="shared" si="26"/>
        <v>0</v>
      </c>
      <c r="M87" s="2">
        <f>'rockfish harvests'!O89</f>
        <v>3080.6120809010035</v>
      </c>
      <c r="N87">
        <f>'rockfish harvests'!P89</f>
        <v>875550.43256812927</v>
      </c>
      <c r="Q87" s="13">
        <f t="shared" si="21"/>
        <v>0</v>
      </c>
      <c r="R87" s="14">
        <f t="shared" si="22"/>
        <v>0</v>
      </c>
      <c r="S87">
        <f t="shared" si="27"/>
        <v>0</v>
      </c>
      <c r="T87" s="6">
        <f t="shared" si="28"/>
        <v>0</v>
      </c>
      <c r="V87" s="13" t="e">
        <f t="shared" si="24"/>
        <v>#REF!</v>
      </c>
      <c r="W87">
        <f t="shared" si="24"/>
        <v>0</v>
      </c>
      <c r="X87">
        <f t="shared" si="29"/>
        <v>0</v>
      </c>
      <c r="Y87" s="6">
        <f t="shared" si="30"/>
        <v>0</v>
      </c>
    </row>
    <row r="88" spans="1:25" x14ac:dyDescent="0.3">
      <c r="A88" t="str">
        <f>'rockfish harvests'!A90</f>
        <v>SC</v>
      </c>
      <c r="B88">
        <f>'rockfish harvests'!B90</f>
        <v>2011</v>
      </c>
      <c r="C88" t="str">
        <f>'rockfish harvests'!C90</f>
        <v>CI</v>
      </c>
      <c r="D88">
        <f>'rockfish harvests'!D90</f>
        <v>3046</v>
      </c>
      <c r="E88">
        <f>'YE harvest'!E91</f>
        <v>476</v>
      </c>
      <c r="H88" s="13" t="e">
        <f>#REF!</f>
        <v>#REF!</v>
      </c>
      <c r="I88">
        <f t="shared" si="23"/>
        <v>0</v>
      </c>
      <c r="J88">
        <f t="shared" si="25"/>
        <v>0</v>
      </c>
      <c r="K88" s="6">
        <f t="shared" si="26"/>
        <v>0</v>
      </c>
      <c r="M88" s="2">
        <f>'rockfish harvests'!O90</f>
        <v>2195.2886731391591</v>
      </c>
      <c r="N88">
        <f>'rockfish harvests'!P90</f>
        <v>347241.00971171423</v>
      </c>
      <c r="Q88" s="13">
        <f t="shared" si="21"/>
        <v>0</v>
      </c>
      <c r="R88" s="14">
        <f t="shared" si="22"/>
        <v>0</v>
      </c>
      <c r="S88">
        <f t="shared" si="27"/>
        <v>0</v>
      </c>
      <c r="T88" s="6">
        <f t="shared" si="28"/>
        <v>0</v>
      </c>
      <c r="V88" s="13" t="e">
        <f t="shared" si="24"/>
        <v>#REF!</v>
      </c>
      <c r="W88">
        <f t="shared" si="24"/>
        <v>0</v>
      </c>
      <c r="X88">
        <f t="shared" si="29"/>
        <v>0</v>
      </c>
      <c r="Y88" s="6">
        <f t="shared" si="30"/>
        <v>0</v>
      </c>
    </row>
    <row r="89" spans="1:25" x14ac:dyDescent="0.3">
      <c r="A89" t="str">
        <f>'rockfish harvests'!A91</f>
        <v>SC</v>
      </c>
      <c r="B89">
        <f>'rockfish harvests'!B91</f>
        <v>2012</v>
      </c>
      <c r="C89" t="str">
        <f>'rockfish harvests'!C91</f>
        <v>CI</v>
      </c>
      <c r="D89">
        <f>'rockfish harvests'!D91</f>
        <v>4677</v>
      </c>
      <c r="E89">
        <f>'YE harvest'!E92</f>
        <v>568</v>
      </c>
      <c r="H89" s="13" t="e">
        <f>#REF!</f>
        <v>#REF!</v>
      </c>
      <c r="I89">
        <f t="shared" si="23"/>
        <v>0</v>
      </c>
      <c r="J89">
        <f t="shared" si="25"/>
        <v>0</v>
      </c>
      <c r="K89" s="6">
        <f t="shared" si="26"/>
        <v>0</v>
      </c>
      <c r="M89" s="2">
        <f>'rockfish harvests'!O91</f>
        <v>5339.9412080536913</v>
      </c>
      <c r="N89">
        <f>'rockfish harvests'!P91</f>
        <v>1729256.1604569755</v>
      </c>
      <c r="Q89" s="13">
        <f t="shared" si="21"/>
        <v>0</v>
      </c>
      <c r="R89" s="14">
        <f t="shared" si="22"/>
        <v>0</v>
      </c>
      <c r="S89">
        <f t="shared" si="27"/>
        <v>0</v>
      </c>
      <c r="T89" s="6">
        <f t="shared" si="28"/>
        <v>0</v>
      </c>
      <c r="V89" s="13" t="e">
        <f t="shared" si="24"/>
        <v>#REF!</v>
      </c>
      <c r="W89">
        <f t="shared" si="24"/>
        <v>0</v>
      </c>
      <c r="X89">
        <f t="shared" si="29"/>
        <v>0</v>
      </c>
      <c r="Y89" s="6">
        <f t="shared" si="30"/>
        <v>0</v>
      </c>
    </row>
    <row r="90" spans="1:25" x14ac:dyDescent="0.3">
      <c r="A90" t="str">
        <f>'rockfish harvests'!A92</f>
        <v>SC</v>
      </c>
      <c r="B90">
        <f>'rockfish harvests'!B92</f>
        <v>2013</v>
      </c>
      <c r="C90" t="str">
        <f>'rockfish harvests'!C92</f>
        <v>CI</v>
      </c>
      <c r="D90">
        <f>'rockfish harvests'!D92</f>
        <v>4808</v>
      </c>
      <c r="E90">
        <f>'YE harvest'!E93</f>
        <v>428</v>
      </c>
      <c r="H90" s="13" t="e">
        <f>#REF!</f>
        <v>#REF!</v>
      </c>
      <c r="I90">
        <f t="shared" si="23"/>
        <v>0</v>
      </c>
      <c r="J90">
        <f t="shared" si="25"/>
        <v>0</v>
      </c>
      <c r="K90" s="6">
        <f t="shared" si="26"/>
        <v>0</v>
      </c>
      <c r="M90" s="2">
        <f>'rockfish harvests'!O92</f>
        <v>3482.4354718850645</v>
      </c>
      <c r="N90">
        <f>'rockfish harvests'!P92</f>
        <v>863231.70507392555</v>
      </c>
      <c r="Q90" s="13">
        <f t="shared" si="21"/>
        <v>0</v>
      </c>
      <c r="R90" s="14">
        <f t="shared" si="22"/>
        <v>0</v>
      </c>
      <c r="S90">
        <f t="shared" si="27"/>
        <v>0</v>
      </c>
      <c r="T90" s="6">
        <f t="shared" si="28"/>
        <v>0</v>
      </c>
      <c r="V90" s="13" t="e">
        <f t="shared" si="24"/>
        <v>#REF!</v>
      </c>
      <c r="W90">
        <f t="shared" si="24"/>
        <v>0</v>
      </c>
      <c r="X90">
        <f t="shared" si="29"/>
        <v>0</v>
      </c>
      <c r="Y90" s="6">
        <f t="shared" si="30"/>
        <v>0</v>
      </c>
    </row>
    <row r="91" spans="1:25" x14ac:dyDescent="0.3">
      <c r="A91" t="str">
        <f>'rockfish harvests'!A93</f>
        <v>SC</v>
      </c>
      <c r="B91">
        <f>'rockfish harvests'!B93</f>
        <v>2014</v>
      </c>
      <c r="C91" t="str">
        <f>'rockfish harvests'!C93</f>
        <v>CI</v>
      </c>
      <c r="D91">
        <f>'rockfish harvests'!D93</f>
        <v>4731</v>
      </c>
      <c r="E91">
        <f>'YE harvest'!E94</f>
        <v>362</v>
      </c>
      <c r="H91" s="13" t="e">
        <f>#REF!</f>
        <v>#REF!</v>
      </c>
      <c r="I91">
        <f t="shared" si="23"/>
        <v>0</v>
      </c>
      <c r="J91">
        <f t="shared" si="25"/>
        <v>0</v>
      </c>
      <c r="K91" s="6">
        <f t="shared" si="26"/>
        <v>0</v>
      </c>
      <c r="M91" s="2">
        <f>'rockfish harvests'!O93</f>
        <v>3444.6502099319532</v>
      </c>
      <c r="N91">
        <f>'rockfish harvests'!P93</f>
        <v>609818.57296968682</v>
      </c>
      <c r="Q91" s="13">
        <f t="shared" si="21"/>
        <v>0</v>
      </c>
      <c r="R91" s="14">
        <f t="shared" si="22"/>
        <v>0</v>
      </c>
      <c r="S91">
        <f t="shared" si="27"/>
        <v>0</v>
      </c>
      <c r="T91" s="6">
        <f t="shared" si="28"/>
        <v>0</v>
      </c>
      <c r="V91" s="13" t="e">
        <f t="shared" si="24"/>
        <v>#REF!</v>
      </c>
      <c r="W91">
        <f t="shared" si="24"/>
        <v>0</v>
      </c>
      <c r="X91">
        <f t="shared" si="29"/>
        <v>0</v>
      </c>
      <c r="Y91" s="6">
        <f t="shared" si="30"/>
        <v>0</v>
      </c>
    </row>
    <row r="92" spans="1:25" x14ac:dyDescent="0.3">
      <c r="A92" t="str">
        <f>'rockfish harvests'!A94</f>
        <v>SC</v>
      </c>
      <c r="B92">
        <f>'rockfish harvests'!B94</f>
        <v>2015</v>
      </c>
      <c r="C92" t="str">
        <f>'rockfish harvests'!C94</f>
        <v>CI</v>
      </c>
      <c r="D92">
        <f>'rockfish harvests'!D94</f>
        <v>6321</v>
      </c>
      <c r="E92">
        <f>'YE harvest'!E95</f>
        <v>457</v>
      </c>
      <c r="H92" s="13" t="e">
        <f>#REF!</f>
        <v>#REF!</v>
      </c>
      <c r="I92">
        <f t="shared" si="23"/>
        <v>0</v>
      </c>
      <c r="J92">
        <f t="shared" si="25"/>
        <v>0</v>
      </c>
      <c r="K92" s="6">
        <f t="shared" si="26"/>
        <v>0</v>
      </c>
      <c r="M92" s="2">
        <f>'rockfish harvests'!O94</f>
        <v>4002.3757374073521</v>
      </c>
      <c r="N92">
        <f>'rockfish harvests'!P94</f>
        <v>811336.58070905623</v>
      </c>
      <c r="Q92" s="13">
        <f t="shared" si="21"/>
        <v>0</v>
      </c>
      <c r="R92" s="14">
        <f t="shared" si="22"/>
        <v>0</v>
      </c>
      <c r="S92">
        <f t="shared" si="27"/>
        <v>0</v>
      </c>
      <c r="T92" s="6">
        <f t="shared" si="28"/>
        <v>0</v>
      </c>
      <c r="V92" s="13" t="e">
        <f t="shared" si="24"/>
        <v>#REF!</v>
      </c>
      <c r="W92">
        <f t="shared" si="24"/>
        <v>0</v>
      </c>
      <c r="X92">
        <f t="shared" si="29"/>
        <v>0</v>
      </c>
      <c r="Y92" s="6">
        <f t="shared" si="30"/>
        <v>0</v>
      </c>
    </row>
    <row r="93" spans="1:25" x14ac:dyDescent="0.3">
      <c r="A93" t="str">
        <f>'rockfish harvests'!A95</f>
        <v>SC</v>
      </c>
      <c r="B93">
        <f>'rockfish harvests'!B95</f>
        <v>2016</v>
      </c>
      <c r="C93" t="str">
        <f>'rockfish harvests'!C95</f>
        <v>CI</v>
      </c>
      <c r="D93">
        <f>'rockfish harvests'!D95</f>
        <v>10123</v>
      </c>
      <c r="E93">
        <f>'YE harvest'!E96</f>
        <v>779</v>
      </c>
      <c r="H93" s="13" t="e">
        <f>#REF!</f>
        <v>#REF!</v>
      </c>
      <c r="I93">
        <f t="shared" si="23"/>
        <v>0</v>
      </c>
      <c r="J93">
        <f t="shared" si="25"/>
        <v>0</v>
      </c>
      <c r="K93" s="6">
        <f t="shared" si="26"/>
        <v>0</v>
      </c>
      <c r="M93" s="2">
        <f>'rockfish harvests'!O95</f>
        <v>6323.0304871660555</v>
      </c>
      <c r="N93">
        <f>'rockfish harvests'!P95</f>
        <v>1298638.7245062976</v>
      </c>
      <c r="Q93" s="13">
        <f t="shared" si="21"/>
        <v>0</v>
      </c>
      <c r="R93" s="14">
        <f t="shared" si="22"/>
        <v>0</v>
      </c>
      <c r="S93">
        <f t="shared" si="27"/>
        <v>0</v>
      </c>
      <c r="T93" s="6">
        <f t="shared" si="28"/>
        <v>0</v>
      </c>
      <c r="V93" s="13" t="e">
        <f t="shared" si="24"/>
        <v>#REF!</v>
      </c>
      <c r="W93">
        <f t="shared" si="24"/>
        <v>0</v>
      </c>
      <c r="X93">
        <f t="shared" si="29"/>
        <v>0</v>
      </c>
      <c r="Y93" s="6">
        <f t="shared" si="30"/>
        <v>0</v>
      </c>
    </row>
    <row r="94" spans="1:25" x14ac:dyDescent="0.3">
      <c r="A94" t="str">
        <f>'rockfish harvests'!A96</f>
        <v>SC</v>
      </c>
      <c r="B94">
        <f>'rockfish harvests'!B96</f>
        <v>2017</v>
      </c>
      <c r="C94" t="str">
        <f>'rockfish harvests'!C96</f>
        <v>CI</v>
      </c>
      <c r="D94">
        <f>'rockfish harvests'!D96</f>
        <v>8376</v>
      </c>
      <c r="E94">
        <f>'YE harvest'!E97</f>
        <v>923</v>
      </c>
      <c r="H94" s="13" t="e">
        <f>#REF!</f>
        <v>#REF!</v>
      </c>
      <c r="I94">
        <f t="shared" si="23"/>
        <v>0</v>
      </c>
      <c r="J94">
        <f t="shared" si="25"/>
        <v>0</v>
      </c>
      <c r="K94" s="6">
        <f t="shared" si="26"/>
        <v>0</v>
      </c>
      <c r="M94" s="2">
        <f>'rockfish harvests'!O96</f>
        <v>3322.4902609334804</v>
      </c>
      <c r="N94">
        <f>'rockfish harvests'!P96</f>
        <v>525119.78521776723</v>
      </c>
      <c r="Q94" s="13">
        <f t="shared" si="21"/>
        <v>0</v>
      </c>
      <c r="R94" s="14">
        <f t="shared" si="22"/>
        <v>0</v>
      </c>
      <c r="S94">
        <f t="shared" si="27"/>
        <v>0</v>
      </c>
      <c r="T94" s="6">
        <f t="shared" si="28"/>
        <v>0</v>
      </c>
      <c r="V94" s="13" t="e">
        <f t="shared" si="24"/>
        <v>#REF!</v>
      </c>
      <c r="W94">
        <f t="shared" si="24"/>
        <v>0</v>
      </c>
      <c r="X94">
        <f t="shared" si="29"/>
        <v>0</v>
      </c>
      <c r="Y94" s="6">
        <f t="shared" si="30"/>
        <v>0</v>
      </c>
    </row>
    <row r="95" spans="1:25" x14ac:dyDescent="0.3">
      <c r="A95" t="str">
        <f>'rockfish harvests'!A97</f>
        <v>SC</v>
      </c>
      <c r="B95">
        <f>'rockfish harvests'!B97</f>
        <v>2018</v>
      </c>
      <c r="C95" t="str">
        <f>'rockfish harvests'!C97</f>
        <v>CI</v>
      </c>
      <c r="D95">
        <f>'rockfish harvests'!D97</f>
        <v>13009</v>
      </c>
      <c r="E95">
        <f>'YE harvest'!E98</f>
        <v>1031</v>
      </c>
      <c r="H95" s="13" t="e">
        <f>#REF!</f>
        <v>#REF!</v>
      </c>
      <c r="I95">
        <f t="shared" si="23"/>
        <v>0</v>
      </c>
      <c r="J95">
        <f t="shared" si="25"/>
        <v>0</v>
      </c>
      <c r="K95" s="6">
        <f t="shared" si="26"/>
        <v>0</v>
      </c>
      <c r="M95" s="2">
        <f>'rockfish harvests'!O97</f>
        <v>10029.600289296046</v>
      </c>
      <c r="N95">
        <f>'rockfish harvests'!P97</f>
        <v>5460886.0967642423</v>
      </c>
      <c r="Q95" s="13">
        <f t="shared" si="21"/>
        <v>0</v>
      </c>
      <c r="R95" s="14">
        <f t="shared" si="22"/>
        <v>0</v>
      </c>
      <c r="S95">
        <f t="shared" si="27"/>
        <v>0</v>
      </c>
      <c r="T95" s="6">
        <f t="shared" si="28"/>
        <v>0</v>
      </c>
      <c r="V95" s="13" t="e">
        <f t="shared" si="24"/>
        <v>#REF!</v>
      </c>
      <c r="W95">
        <f t="shared" si="24"/>
        <v>0</v>
      </c>
      <c r="X95">
        <f t="shared" si="29"/>
        <v>0</v>
      </c>
      <c r="Y95" s="6">
        <f t="shared" si="30"/>
        <v>0</v>
      </c>
    </row>
    <row r="96" spans="1:25" x14ac:dyDescent="0.3">
      <c r="A96" t="str">
        <f>'rockfish harvests'!A98</f>
        <v>SC</v>
      </c>
      <c r="B96">
        <f>'rockfish harvests'!B98</f>
        <v>2019</v>
      </c>
      <c r="C96" t="str">
        <f>'rockfish harvests'!C98</f>
        <v>CI</v>
      </c>
      <c r="D96">
        <f>'rockfish harvests'!D98</f>
        <v>16061</v>
      </c>
      <c r="E96">
        <f>'YE harvest'!E99</f>
        <v>985</v>
      </c>
      <c r="I96">
        <f t="shared" ref="I96:I97" si="31">(E96^2)*G96</f>
        <v>0</v>
      </c>
      <c r="J96">
        <f t="shared" ref="J96:J97" si="32">SQRT(I96)</f>
        <v>0</v>
      </c>
      <c r="K96" s="6">
        <f t="shared" ref="K96:K97" si="33">(1.96*J96)</f>
        <v>0</v>
      </c>
      <c r="M96" s="2">
        <f>'rockfish harvests'!O98</f>
        <v>11565.493536535585</v>
      </c>
      <c r="N96">
        <f>'rockfish harvests'!P98</f>
        <v>7400162.779370754</v>
      </c>
      <c r="R96" s="14"/>
      <c r="S96"/>
      <c r="T96" s="6"/>
      <c r="Y96" s="6"/>
    </row>
    <row r="97" spans="1:25" x14ac:dyDescent="0.3">
      <c r="A97" t="str">
        <f>'rockfish harvests'!A99</f>
        <v>SC</v>
      </c>
      <c r="B97">
        <f>'rockfish harvests'!B99</f>
        <v>2020</v>
      </c>
      <c r="C97" t="str">
        <f>'rockfish harvests'!C99</f>
        <v>CI</v>
      </c>
      <c r="D97">
        <f>'rockfish harvests'!D99</f>
        <v>9784</v>
      </c>
      <c r="E97">
        <f>'YE harvest'!E100</f>
        <v>650</v>
      </c>
      <c r="I97">
        <f t="shared" si="31"/>
        <v>0</v>
      </c>
      <c r="J97">
        <f t="shared" si="32"/>
        <v>0</v>
      </c>
      <c r="K97" s="6">
        <f t="shared" si="33"/>
        <v>0</v>
      </c>
      <c r="M97" s="2">
        <f>'rockfish harvests'!O99</f>
        <v>10340.813008130081</v>
      </c>
      <c r="N97">
        <f>'rockfish harvests'!P99</f>
        <v>6856537.925024569</v>
      </c>
      <c r="R97" s="14"/>
      <c r="S97"/>
      <c r="T97" s="6"/>
      <c r="Y97" s="6"/>
    </row>
    <row r="98" spans="1:25" x14ac:dyDescent="0.3">
      <c r="A98" t="str">
        <f>'rockfish harvests'!A100</f>
        <v>SC</v>
      </c>
      <c r="B98">
        <f>'rockfish harvests'!B100</f>
        <v>2021</v>
      </c>
      <c r="C98" t="str">
        <f>'rockfish harvests'!C100</f>
        <v>CI</v>
      </c>
      <c r="D98">
        <f>'rockfish harvests'!D100</f>
        <v>14326</v>
      </c>
      <c r="E98">
        <f>'YE harvest'!E101</f>
        <v>1101</v>
      </c>
      <c r="K98" s="6"/>
      <c r="M98" s="2">
        <f>'rockfish harvests'!O100</f>
        <v>7068.2694391332043</v>
      </c>
      <c r="N98">
        <f>'rockfish harvests'!P100</f>
        <v>3061133.8312190818</v>
      </c>
      <c r="R98" s="14"/>
      <c r="S98"/>
      <c r="T98" s="6"/>
      <c r="Y98" s="6"/>
    </row>
    <row r="99" spans="1:25" x14ac:dyDescent="0.3">
      <c r="A99" t="str">
        <f>'rockfish harvests'!A102</f>
        <v>SC</v>
      </c>
      <c r="B99">
        <f>'rockfish harvests'!B102</f>
        <v>1998</v>
      </c>
      <c r="C99" t="str">
        <f>'rockfish harvests'!C102</f>
        <v>EASTSIDE</v>
      </c>
      <c r="D99">
        <f>'rockfish harvests'!D102</f>
        <v>157</v>
      </c>
      <c r="E99">
        <f>'YE harvest'!E103</f>
        <v>82</v>
      </c>
      <c r="F99" s="38"/>
      <c r="G99" s="39"/>
      <c r="H99" s="13">
        <f t="shared" ref="H99:H106" si="34">E99*F99</f>
        <v>0</v>
      </c>
      <c r="I99">
        <f t="shared" si="23"/>
        <v>0</v>
      </c>
      <c r="J99">
        <f t="shared" si="25"/>
        <v>0</v>
      </c>
      <c r="K99" s="6">
        <f t="shared" si="26"/>
        <v>0</v>
      </c>
      <c r="M99" s="2">
        <f>'rockfish harvests'!O102</f>
        <v>22.108315533666314</v>
      </c>
      <c r="N99">
        <f>'rockfish harvests'!P102</f>
        <v>350.7410435791694</v>
      </c>
      <c r="Q99" s="13" t="e">
        <f>M99*#REF!</f>
        <v>#REF!</v>
      </c>
      <c r="R99" s="14" t="e">
        <f>(M99^2)*#REF!+(#REF!^2)*N99-(#REF!*N99)</f>
        <v>#REF!</v>
      </c>
      <c r="S99" t="e">
        <f t="shared" si="27"/>
        <v>#REF!</v>
      </c>
      <c r="T99" s="6" t="e">
        <f t="shared" si="28"/>
        <v>#REF!</v>
      </c>
      <c r="V99" s="13" t="e">
        <f t="shared" si="24"/>
        <v>#REF!</v>
      </c>
      <c r="W99" t="e">
        <f t="shared" si="24"/>
        <v>#REF!</v>
      </c>
      <c r="X99" t="e">
        <f t="shared" si="29"/>
        <v>#REF!</v>
      </c>
      <c r="Y99" s="6" t="e">
        <f t="shared" si="30"/>
        <v>#REF!</v>
      </c>
    </row>
    <row r="100" spans="1:25" x14ac:dyDescent="0.3">
      <c r="A100" t="str">
        <f>'rockfish harvests'!A103</f>
        <v>SC</v>
      </c>
      <c r="B100">
        <f>'rockfish harvests'!B103</f>
        <v>1999</v>
      </c>
      <c r="C100" t="str">
        <f>'rockfish harvests'!C103</f>
        <v>EASTSIDE</v>
      </c>
      <c r="D100">
        <f>'rockfish harvests'!D103</f>
        <v>121</v>
      </c>
      <c r="E100">
        <f>'YE harvest'!E104</f>
        <v>21</v>
      </c>
      <c r="F100" s="38"/>
      <c r="G100" s="39"/>
      <c r="H100" s="13">
        <f t="shared" si="34"/>
        <v>0</v>
      </c>
      <c r="I100">
        <f t="shared" si="23"/>
        <v>0</v>
      </c>
      <c r="J100">
        <f t="shared" si="25"/>
        <v>0</v>
      </c>
      <c r="K100" s="6">
        <f t="shared" si="26"/>
        <v>0</v>
      </c>
      <c r="M100" s="2">
        <f>'rockfish harvests'!O103</f>
        <v>16.687051745013036</v>
      </c>
      <c r="N100">
        <f>'rockfish harvests'!P103</f>
        <v>206.21704461477333</v>
      </c>
      <c r="Q100" s="13" t="e">
        <f>M100*#REF!</f>
        <v>#REF!</v>
      </c>
      <c r="R100" s="14" t="e">
        <f>(M100^2)*#REF!+(#REF!^2)*N100-(#REF!*N100)</f>
        <v>#REF!</v>
      </c>
      <c r="S100" t="e">
        <f t="shared" si="27"/>
        <v>#REF!</v>
      </c>
      <c r="T100" s="6" t="e">
        <f t="shared" si="28"/>
        <v>#REF!</v>
      </c>
      <c r="V100" s="13" t="e">
        <f t="shared" si="24"/>
        <v>#REF!</v>
      </c>
      <c r="W100" t="e">
        <f t="shared" si="24"/>
        <v>#REF!</v>
      </c>
      <c r="X100" t="e">
        <f t="shared" si="29"/>
        <v>#REF!</v>
      </c>
      <c r="Y100" s="6" t="e">
        <f t="shared" si="30"/>
        <v>#REF!</v>
      </c>
    </row>
    <row r="101" spans="1:25" x14ac:dyDescent="0.3">
      <c r="A101" t="str">
        <f>'rockfish harvests'!A104</f>
        <v>SC</v>
      </c>
      <c r="B101">
        <f>'rockfish harvests'!B104</f>
        <v>2000</v>
      </c>
      <c r="C101" t="str">
        <f>'rockfish harvests'!C104</f>
        <v>EASTSIDE</v>
      </c>
      <c r="D101">
        <f>'rockfish harvests'!D104</f>
        <v>423</v>
      </c>
      <c r="E101">
        <f>'YE harvest'!E105</f>
        <v>43</v>
      </c>
      <c r="F101" s="38"/>
      <c r="G101" s="39"/>
      <c r="H101" s="13">
        <f t="shared" si="34"/>
        <v>0</v>
      </c>
      <c r="I101">
        <f t="shared" si="23"/>
        <v>0</v>
      </c>
      <c r="J101">
        <f t="shared" si="25"/>
        <v>0</v>
      </c>
      <c r="K101" s="6">
        <f t="shared" si="26"/>
        <v>0</v>
      </c>
      <c r="M101" s="2">
        <f>'rockfish harvests'!O104</f>
        <v>58.335726348268736</v>
      </c>
      <c r="N101">
        <f>'rockfish harvests'!P104</f>
        <v>2520.1973619204136</v>
      </c>
      <c r="Q101" s="13" t="e">
        <f>M101*#REF!</f>
        <v>#REF!</v>
      </c>
      <c r="R101" s="14" t="e">
        <f>(M101^2)*#REF!+(#REF!^2)*N101-(#REF!*N101)</f>
        <v>#REF!</v>
      </c>
      <c r="S101" t="e">
        <f t="shared" si="27"/>
        <v>#REF!</v>
      </c>
      <c r="T101" s="6" t="e">
        <f t="shared" si="28"/>
        <v>#REF!</v>
      </c>
      <c r="V101" s="13" t="e">
        <f t="shared" si="24"/>
        <v>#REF!</v>
      </c>
      <c r="W101" t="e">
        <f t="shared" si="24"/>
        <v>#REF!</v>
      </c>
      <c r="X101" t="e">
        <f t="shared" si="29"/>
        <v>#REF!</v>
      </c>
      <c r="Y101" s="6" t="e">
        <f t="shared" si="30"/>
        <v>#REF!</v>
      </c>
    </row>
    <row r="102" spans="1:25" x14ac:dyDescent="0.3">
      <c r="A102" t="str">
        <f>'rockfish harvests'!A105</f>
        <v>SC</v>
      </c>
      <c r="B102">
        <f>'rockfish harvests'!B105</f>
        <v>2001</v>
      </c>
      <c r="C102" t="str">
        <f>'rockfish harvests'!C105</f>
        <v>EASTSIDE</v>
      </c>
      <c r="D102">
        <f>'rockfish harvests'!D105</f>
        <v>298</v>
      </c>
      <c r="E102">
        <f>'YE harvest'!E106</f>
        <v>67</v>
      </c>
      <c r="F102" s="38"/>
      <c r="G102" s="39"/>
      <c r="H102" s="13">
        <f t="shared" si="34"/>
        <v>0</v>
      </c>
      <c r="I102">
        <f t="shared" si="23"/>
        <v>0</v>
      </c>
      <c r="J102">
        <f t="shared" si="25"/>
        <v>0</v>
      </c>
      <c r="K102" s="6">
        <f t="shared" si="26"/>
        <v>0</v>
      </c>
      <c r="M102" s="2">
        <f>'rockfish harvests'!O105</f>
        <v>41.097036529040395</v>
      </c>
      <c r="N102">
        <f>'rockfish harvests'!P105</f>
        <v>1250.7956034403612</v>
      </c>
      <c r="Q102" s="13" t="e">
        <f>M102*#REF!</f>
        <v>#REF!</v>
      </c>
      <c r="R102" s="14" t="e">
        <f>(M102^2)*#REF!+(#REF!^2)*N102-(#REF!*N102)</f>
        <v>#REF!</v>
      </c>
      <c r="S102" t="e">
        <f t="shared" si="27"/>
        <v>#REF!</v>
      </c>
      <c r="T102" s="6" t="e">
        <f t="shared" si="28"/>
        <v>#REF!</v>
      </c>
      <c r="V102" s="13" t="e">
        <f t="shared" si="24"/>
        <v>#REF!</v>
      </c>
      <c r="W102" t="e">
        <f t="shared" si="24"/>
        <v>#REF!</v>
      </c>
      <c r="X102" t="e">
        <f t="shared" si="29"/>
        <v>#REF!</v>
      </c>
      <c r="Y102" s="6" t="e">
        <f t="shared" si="30"/>
        <v>#REF!</v>
      </c>
    </row>
    <row r="103" spans="1:25" x14ac:dyDescent="0.3">
      <c r="A103" t="str">
        <f>'rockfish harvests'!A106</f>
        <v>SC</v>
      </c>
      <c r="B103">
        <f>'rockfish harvests'!B106</f>
        <v>2002</v>
      </c>
      <c r="C103" t="str">
        <f>'rockfish harvests'!C106</f>
        <v>EASTSIDE</v>
      </c>
      <c r="D103">
        <f>'rockfish harvests'!D106</f>
        <v>319</v>
      </c>
      <c r="E103">
        <f>'YE harvest'!E107</f>
        <v>50</v>
      </c>
      <c r="F103" s="38"/>
      <c r="G103" s="39"/>
      <c r="H103" s="13">
        <f t="shared" si="34"/>
        <v>0</v>
      </c>
      <c r="I103">
        <f t="shared" si="23"/>
        <v>0</v>
      </c>
      <c r="J103">
        <f t="shared" si="25"/>
        <v>0</v>
      </c>
      <c r="K103" s="6">
        <f t="shared" si="26"/>
        <v>0</v>
      </c>
      <c r="M103" s="2">
        <f>'rockfish harvests'!O106</f>
        <v>43.993136418670758</v>
      </c>
      <c r="N103">
        <f>'rockfish harvests'!P106</f>
        <v>1433.2936737274742</v>
      </c>
      <c r="Q103" s="13" t="e">
        <f>M103*#REF!</f>
        <v>#REF!</v>
      </c>
      <c r="R103" s="14" t="e">
        <f>(M103^2)*#REF!+(#REF!^2)*N103-(#REF!*N103)</f>
        <v>#REF!</v>
      </c>
      <c r="S103" t="e">
        <f t="shared" si="27"/>
        <v>#REF!</v>
      </c>
      <c r="T103" s="6" t="e">
        <f t="shared" si="28"/>
        <v>#REF!</v>
      </c>
      <c r="V103" s="13" t="e">
        <f t="shared" si="24"/>
        <v>#REF!</v>
      </c>
      <c r="W103" t="e">
        <f t="shared" si="24"/>
        <v>#REF!</v>
      </c>
      <c r="X103" t="e">
        <f t="shared" si="29"/>
        <v>#REF!</v>
      </c>
      <c r="Y103" s="6" t="e">
        <f t="shared" si="30"/>
        <v>#REF!</v>
      </c>
    </row>
    <row r="104" spans="1:25" x14ac:dyDescent="0.3">
      <c r="A104" t="str">
        <f>'rockfish harvests'!A107</f>
        <v>SC</v>
      </c>
      <c r="B104">
        <f>'rockfish harvests'!B107</f>
        <v>2003</v>
      </c>
      <c r="C104" t="str">
        <f>'rockfish harvests'!C107</f>
        <v>EASTSIDE</v>
      </c>
      <c r="D104">
        <f>'rockfish harvests'!D107</f>
        <v>1012</v>
      </c>
      <c r="E104">
        <f>'YE harvest'!E108</f>
        <v>48</v>
      </c>
      <c r="F104" s="38"/>
      <c r="G104" s="39"/>
      <c r="H104" s="13">
        <f t="shared" si="34"/>
        <v>0</v>
      </c>
      <c r="I104">
        <f t="shared" si="23"/>
        <v>0</v>
      </c>
      <c r="J104">
        <f t="shared" si="25"/>
        <v>0</v>
      </c>
      <c r="K104" s="6">
        <f t="shared" si="26"/>
        <v>0</v>
      </c>
      <c r="M104" s="2">
        <f>'rockfish harvests'!O107</f>
        <v>139.56443277647281</v>
      </c>
      <c r="N104">
        <f>'rockfish harvests'!P107</f>
        <v>14424.967484458195</v>
      </c>
      <c r="Q104" s="13" t="e">
        <f>M104*#REF!</f>
        <v>#REF!</v>
      </c>
      <c r="R104" s="14" t="e">
        <f>(M104^2)*#REF!+(#REF!^2)*N104-(#REF!*N104)</f>
        <v>#REF!</v>
      </c>
      <c r="S104" t="e">
        <f t="shared" si="27"/>
        <v>#REF!</v>
      </c>
      <c r="T104" s="6" t="e">
        <f t="shared" si="28"/>
        <v>#REF!</v>
      </c>
      <c r="V104" s="13" t="e">
        <f t="shared" si="24"/>
        <v>#REF!</v>
      </c>
      <c r="W104" t="e">
        <f t="shared" si="24"/>
        <v>#REF!</v>
      </c>
      <c r="X104" t="e">
        <f t="shared" si="29"/>
        <v>#REF!</v>
      </c>
      <c r="Y104" s="6" t="e">
        <f t="shared" si="30"/>
        <v>#REF!</v>
      </c>
    </row>
    <row r="105" spans="1:25" x14ac:dyDescent="0.3">
      <c r="A105" t="str">
        <f>'rockfish harvests'!A108</f>
        <v>SC</v>
      </c>
      <c r="B105">
        <f>'rockfish harvests'!B108</f>
        <v>2004</v>
      </c>
      <c r="C105" t="str">
        <f>'rockfish harvests'!C108</f>
        <v>EASTSIDE</v>
      </c>
      <c r="D105">
        <f>'rockfish harvests'!D108</f>
        <v>730</v>
      </c>
      <c r="E105">
        <f>'YE harvest'!E109</f>
        <v>58</v>
      </c>
      <c r="F105" s="38"/>
      <c r="G105" s="39"/>
      <c r="H105" s="13">
        <f t="shared" si="34"/>
        <v>0</v>
      </c>
      <c r="I105">
        <f t="shared" si="23"/>
        <v>0</v>
      </c>
      <c r="J105">
        <f t="shared" si="25"/>
        <v>0</v>
      </c>
      <c r="K105" s="6">
        <f t="shared" si="26"/>
        <v>0</v>
      </c>
      <c r="M105" s="2">
        <f>'rockfish harvests'!O108</f>
        <v>100.67394854429358</v>
      </c>
      <c r="N105">
        <f>'rockfish harvests'!P108</f>
        <v>7505.8440731652699</v>
      </c>
      <c r="Q105" s="13" t="e">
        <f>M105*#REF!</f>
        <v>#REF!</v>
      </c>
      <c r="R105" s="14" t="e">
        <f>(M105^2)*#REF!+(#REF!^2)*N105-(#REF!*N105)</f>
        <v>#REF!</v>
      </c>
      <c r="S105" t="e">
        <f t="shared" si="27"/>
        <v>#REF!</v>
      </c>
      <c r="T105" s="6" t="e">
        <f t="shared" si="28"/>
        <v>#REF!</v>
      </c>
      <c r="V105" s="13" t="e">
        <f t="shared" si="24"/>
        <v>#REF!</v>
      </c>
      <c r="W105" t="e">
        <f t="shared" si="24"/>
        <v>#REF!</v>
      </c>
      <c r="X105" t="e">
        <f t="shared" si="29"/>
        <v>#REF!</v>
      </c>
      <c r="Y105" s="6" t="e">
        <f t="shared" si="30"/>
        <v>#REF!</v>
      </c>
    </row>
    <row r="106" spans="1:25" x14ac:dyDescent="0.3">
      <c r="A106" t="str">
        <f>'rockfish harvests'!A109</f>
        <v>SC</v>
      </c>
      <c r="B106">
        <f>'rockfish harvests'!B109</f>
        <v>2005</v>
      </c>
      <c r="C106" t="str">
        <f>'rockfish harvests'!C109</f>
        <v>EASTSIDE</v>
      </c>
      <c r="D106">
        <f>'rockfish harvests'!D109</f>
        <v>1242</v>
      </c>
      <c r="E106">
        <f>'YE harvest'!E110</f>
        <v>168</v>
      </c>
      <c r="F106" s="38"/>
      <c r="G106" s="39"/>
      <c r="H106" s="13">
        <f t="shared" si="34"/>
        <v>0</v>
      </c>
      <c r="I106">
        <f t="shared" si="23"/>
        <v>0</v>
      </c>
      <c r="J106">
        <f t="shared" si="25"/>
        <v>0</v>
      </c>
      <c r="K106" s="6">
        <f t="shared" si="26"/>
        <v>0</v>
      </c>
      <c r="M106" s="2">
        <f>'rockfish harvests'!O109</f>
        <v>171.28362204385303</v>
      </c>
      <c r="N106">
        <f>'rockfish harvests'!P109</f>
        <v>21726.862182169472</v>
      </c>
      <c r="Q106" s="13" t="e">
        <f>M106*#REF!</f>
        <v>#REF!</v>
      </c>
      <c r="R106" s="14" t="e">
        <f>(M106^2)*#REF!+(#REF!^2)*N106-(#REF!*N106)</f>
        <v>#REF!</v>
      </c>
      <c r="S106" t="e">
        <f t="shared" si="27"/>
        <v>#REF!</v>
      </c>
      <c r="T106" s="6" t="e">
        <f t="shared" si="28"/>
        <v>#REF!</v>
      </c>
      <c r="V106" s="13" t="e">
        <f t="shared" si="24"/>
        <v>#REF!</v>
      </c>
      <c r="W106" t="e">
        <f t="shared" si="24"/>
        <v>#REF!</v>
      </c>
      <c r="X106" t="e">
        <f t="shared" si="29"/>
        <v>#REF!</v>
      </c>
      <c r="Y106" s="6" t="e">
        <f t="shared" si="30"/>
        <v>#REF!</v>
      </c>
    </row>
    <row r="107" spans="1:25" x14ac:dyDescent="0.3">
      <c r="A107" t="str">
        <f>'rockfish harvests'!A110</f>
        <v>SC</v>
      </c>
      <c r="B107">
        <f>'rockfish harvests'!B110</f>
        <v>2006</v>
      </c>
      <c r="C107" t="str">
        <f>'rockfish harvests'!C110</f>
        <v>EASTSIDE</v>
      </c>
      <c r="D107">
        <f>'rockfish harvests'!D110</f>
        <v>1516</v>
      </c>
      <c r="E107">
        <f>'YE harvest'!E111</f>
        <v>160</v>
      </c>
      <c r="H107" s="13" t="e">
        <f>#REF!</f>
        <v>#REF!</v>
      </c>
      <c r="I107">
        <f t="shared" si="23"/>
        <v>0</v>
      </c>
      <c r="J107">
        <f t="shared" si="25"/>
        <v>0</v>
      </c>
      <c r="K107" s="6">
        <f t="shared" si="26"/>
        <v>0</v>
      </c>
      <c r="M107" s="2">
        <f>'rockfish harvests'!O110</f>
        <v>209.07083012760154</v>
      </c>
      <c r="N107">
        <f>'rockfish harvests'!P110</f>
        <v>32370.709657002288</v>
      </c>
      <c r="Q107" s="13" t="e">
        <f>M107*#REF!</f>
        <v>#REF!</v>
      </c>
      <c r="R107" s="14" t="e">
        <f>(M107^2)*#REF!+(#REF!^2)*N107-(#REF!*N107)</f>
        <v>#REF!</v>
      </c>
      <c r="S107" t="e">
        <f t="shared" si="27"/>
        <v>#REF!</v>
      </c>
      <c r="T107" s="6" t="e">
        <f t="shared" si="28"/>
        <v>#REF!</v>
      </c>
      <c r="V107" s="13" t="e">
        <f t="shared" si="24"/>
        <v>#REF!</v>
      </c>
      <c r="W107" t="e">
        <f t="shared" si="24"/>
        <v>#REF!</v>
      </c>
      <c r="X107" t="e">
        <f t="shared" si="29"/>
        <v>#REF!</v>
      </c>
      <c r="Y107" s="6" t="e">
        <f t="shared" si="30"/>
        <v>#REF!</v>
      </c>
    </row>
    <row r="108" spans="1:25" x14ac:dyDescent="0.3">
      <c r="A108" t="str">
        <f>'rockfish harvests'!A111</f>
        <v>SC</v>
      </c>
      <c r="B108">
        <f>'rockfish harvests'!B111</f>
        <v>2007</v>
      </c>
      <c r="C108" t="str">
        <f>'rockfish harvests'!C111</f>
        <v>EASTSIDE</v>
      </c>
      <c r="D108">
        <f>'rockfish harvests'!D111</f>
        <v>3481</v>
      </c>
      <c r="E108">
        <f>'YE harvest'!E112</f>
        <v>171</v>
      </c>
      <c r="H108" s="13" t="e">
        <f>#REF!</f>
        <v>#REF!</v>
      </c>
      <c r="I108">
        <f t="shared" si="23"/>
        <v>0</v>
      </c>
      <c r="J108">
        <f t="shared" si="25"/>
        <v>0</v>
      </c>
      <c r="K108" s="6">
        <f t="shared" si="26"/>
        <v>0</v>
      </c>
      <c r="M108" s="2">
        <f>'rockfish harvests'!O111</f>
        <v>480.0630340858711</v>
      </c>
      <c r="N108">
        <f>'rockfish harvests'!P111</f>
        <v>170671.83757600674</v>
      </c>
      <c r="Q108" s="13" t="e">
        <f>M108*#REF!</f>
        <v>#REF!</v>
      </c>
      <c r="R108" s="14" t="e">
        <f>(M108^2)*#REF!+(#REF!^2)*N108-(#REF!*N108)</f>
        <v>#REF!</v>
      </c>
      <c r="S108" t="e">
        <f t="shared" si="27"/>
        <v>#REF!</v>
      </c>
      <c r="T108" s="6" t="e">
        <f t="shared" si="28"/>
        <v>#REF!</v>
      </c>
      <c r="V108" s="13" t="e">
        <f t="shared" si="24"/>
        <v>#REF!</v>
      </c>
      <c r="W108" t="e">
        <f t="shared" si="24"/>
        <v>#REF!</v>
      </c>
      <c r="X108" t="e">
        <f t="shared" si="29"/>
        <v>#REF!</v>
      </c>
      <c r="Y108" s="6" t="e">
        <f t="shared" si="30"/>
        <v>#REF!</v>
      </c>
    </row>
    <row r="109" spans="1:25" x14ac:dyDescent="0.3">
      <c r="A109" t="str">
        <f>'rockfish harvests'!A112</f>
        <v>SC</v>
      </c>
      <c r="B109">
        <f>'rockfish harvests'!B112</f>
        <v>2008</v>
      </c>
      <c r="C109" t="str">
        <f>'rockfish harvests'!C112</f>
        <v>EASTSIDE</v>
      </c>
      <c r="D109">
        <f>'rockfish harvests'!D112</f>
        <v>2311</v>
      </c>
      <c r="E109">
        <f>'YE harvest'!E113</f>
        <v>213</v>
      </c>
      <c r="H109" s="13" t="e">
        <f>#REF!</f>
        <v>#REF!</v>
      </c>
      <c r="I109">
        <f t="shared" si="23"/>
        <v>0</v>
      </c>
      <c r="J109">
        <f t="shared" si="25"/>
        <v>0</v>
      </c>
      <c r="K109" s="6">
        <f t="shared" si="26"/>
        <v>0</v>
      </c>
      <c r="M109" s="2">
        <f>'rockfish harvests'!O112</f>
        <v>318.70889737789366</v>
      </c>
      <c r="N109">
        <f>'rockfish harvests'!P112</f>
        <v>75223.529863537799</v>
      </c>
      <c r="Q109" s="13" t="e">
        <f>M109*#REF!</f>
        <v>#REF!</v>
      </c>
      <c r="R109" s="14" t="e">
        <f>(M109^2)*#REF!+(#REF!^2)*N109-(#REF!*N109)</f>
        <v>#REF!</v>
      </c>
      <c r="S109" t="e">
        <f t="shared" si="27"/>
        <v>#REF!</v>
      </c>
      <c r="T109" s="6" t="e">
        <f t="shared" si="28"/>
        <v>#REF!</v>
      </c>
      <c r="V109" s="13" t="e">
        <f t="shared" si="24"/>
        <v>#REF!</v>
      </c>
      <c r="W109" t="e">
        <f t="shared" si="24"/>
        <v>#REF!</v>
      </c>
      <c r="X109" t="e">
        <f t="shared" si="29"/>
        <v>#REF!</v>
      </c>
      <c r="Y109" s="6" t="e">
        <f t="shared" si="30"/>
        <v>#REF!</v>
      </c>
    </row>
    <row r="110" spans="1:25" x14ac:dyDescent="0.3">
      <c r="A110" t="str">
        <f>'rockfish harvests'!A113</f>
        <v>SC</v>
      </c>
      <c r="B110">
        <f>'rockfish harvests'!B113</f>
        <v>2009</v>
      </c>
      <c r="C110" t="str">
        <f>'rockfish harvests'!C113</f>
        <v>EASTSIDE</v>
      </c>
      <c r="D110">
        <f>'rockfish harvests'!D113</f>
        <v>2296</v>
      </c>
      <c r="E110">
        <f>'YE harvest'!E114</f>
        <v>49</v>
      </c>
      <c r="H110" s="13" t="e">
        <f>#REF!</f>
        <v>#REF!</v>
      </c>
      <c r="I110">
        <f t="shared" si="23"/>
        <v>0</v>
      </c>
      <c r="J110">
        <f t="shared" si="25"/>
        <v>0</v>
      </c>
      <c r="K110" s="6">
        <f t="shared" si="26"/>
        <v>0</v>
      </c>
      <c r="M110" s="2">
        <f>'rockfish harvests'!O113</f>
        <v>316.64025459958657</v>
      </c>
      <c r="N110">
        <f>'rockfish harvests'!P113</f>
        <v>74250.19273710491</v>
      </c>
      <c r="Q110" s="13" t="e">
        <f>M110*#REF!</f>
        <v>#REF!</v>
      </c>
      <c r="R110" s="14" t="e">
        <f>(M110^2)*#REF!+(#REF!^2)*N110-(#REF!*N110)</f>
        <v>#REF!</v>
      </c>
      <c r="S110" t="e">
        <f t="shared" si="27"/>
        <v>#REF!</v>
      </c>
      <c r="T110" s="6" t="e">
        <f t="shared" si="28"/>
        <v>#REF!</v>
      </c>
      <c r="V110" s="13" t="e">
        <f t="shared" si="24"/>
        <v>#REF!</v>
      </c>
      <c r="W110" t="e">
        <f t="shared" si="24"/>
        <v>#REF!</v>
      </c>
      <c r="X110" t="e">
        <f t="shared" si="29"/>
        <v>#REF!</v>
      </c>
      <c r="Y110" s="6" t="e">
        <f t="shared" si="30"/>
        <v>#REF!</v>
      </c>
    </row>
    <row r="111" spans="1:25" x14ac:dyDescent="0.3">
      <c r="A111" t="str">
        <f>'rockfish harvests'!A114</f>
        <v>SC</v>
      </c>
      <c r="B111">
        <f>'rockfish harvests'!B114</f>
        <v>2010</v>
      </c>
      <c r="C111" t="str">
        <f>'rockfish harvests'!C114</f>
        <v>EASTSIDE</v>
      </c>
      <c r="D111">
        <f>'rockfish harvests'!D114</f>
        <v>2555</v>
      </c>
      <c r="E111">
        <f>'YE harvest'!E115</f>
        <v>892</v>
      </c>
      <c r="H111" s="13" t="e">
        <f>#REF!</f>
        <v>#REF!</v>
      </c>
      <c r="I111">
        <f t="shared" si="23"/>
        <v>0</v>
      </c>
      <c r="J111">
        <f t="shared" si="25"/>
        <v>0</v>
      </c>
      <c r="K111" s="6">
        <f t="shared" si="26"/>
        <v>0</v>
      </c>
      <c r="M111" s="2">
        <f>'rockfish harvests'!O114</f>
        <v>352.35881990502776</v>
      </c>
      <c r="N111">
        <f>'rockfish harvests'!P114</f>
        <v>91946.589896274556</v>
      </c>
      <c r="Q111" s="13" t="e">
        <f>M111*#REF!</f>
        <v>#REF!</v>
      </c>
      <c r="R111" s="14" t="e">
        <f>(M111^2)*#REF!+(#REF!^2)*N111-(#REF!*N111)</f>
        <v>#REF!</v>
      </c>
      <c r="S111" t="e">
        <f t="shared" si="27"/>
        <v>#REF!</v>
      </c>
      <c r="T111" s="6" t="e">
        <f t="shared" si="28"/>
        <v>#REF!</v>
      </c>
      <c r="V111" s="13" t="e">
        <f t="shared" si="24"/>
        <v>#REF!</v>
      </c>
      <c r="W111" t="e">
        <f t="shared" si="24"/>
        <v>#REF!</v>
      </c>
      <c r="X111" t="e">
        <f t="shared" si="29"/>
        <v>#REF!</v>
      </c>
      <c r="Y111" s="6" t="e">
        <f t="shared" si="30"/>
        <v>#REF!</v>
      </c>
    </row>
    <row r="112" spans="1:25" x14ac:dyDescent="0.3">
      <c r="A112" t="str">
        <f>'rockfish harvests'!A115</f>
        <v>SC</v>
      </c>
      <c r="B112">
        <f>'rockfish harvests'!B115</f>
        <v>2011</v>
      </c>
      <c r="C112" t="str">
        <f>'rockfish harvests'!C115</f>
        <v>EASTSIDE</v>
      </c>
      <c r="D112">
        <f>'rockfish harvests'!D115</f>
        <v>1928</v>
      </c>
      <c r="E112">
        <f>'YE harvest'!E116</f>
        <v>75</v>
      </c>
      <c r="H112" s="13" t="e">
        <f>#REF!</f>
        <v>#REF!</v>
      </c>
      <c r="I112">
        <f t="shared" si="23"/>
        <v>0</v>
      </c>
      <c r="J112">
        <f t="shared" si="25"/>
        <v>0</v>
      </c>
      <c r="K112" s="6">
        <f t="shared" si="26"/>
        <v>0</v>
      </c>
      <c r="M112" s="2">
        <f>'rockfish harvests'!O115</f>
        <v>51.46120422098079</v>
      </c>
      <c r="N112">
        <f>'rockfish harvests'!P115</f>
        <v>1649.9620849615694</v>
      </c>
      <c r="Q112" s="13" t="e">
        <f>M112*#REF!</f>
        <v>#REF!</v>
      </c>
      <c r="R112" s="14" t="e">
        <f>(M112^2)*#REF!+(#REF!^2)*N112-(#REF!*N112)</f>
        <v>#REF!</v>
      </c>
      <c r="S112" t="e">
        <f t="shared" si="27"/>
        <v>#REF!</v>
      </c>
      <c r="T112" s="6" t="e">
        <f t="shared" si="28"/>
        <v>#REF!</v>
      </c>
      <c r="V112" s="13" t="e">
        <f t="shared" si="24"/>
        <v>#REF!</v>
      </c>
      <c r="W112" t="e">
        <f t="shared" si="24"/>
        <v>#REF!</v>
      </c>
      <c r="X112" t="e">
        <f t="shared" si="29"/>
        <v>#REF!</v>
      </c>
      <c r="Y112" s="6" t="e">
        <f t="shared" si="30"/>
        <v>#REF!</v>
      </c>
    </row>
    <row r="113" spans="1:25" x14ac:dyDescent="0.3">
      <c r="A113" t="str">
        <f>'rockfish harvests'!A116</f>
        <v>SC</v>
      </c>
      <c r="B113">
        <f>'rockfish harvests'!B116</f>
        <v>2012</v>
      </c>
      <c r="C113" t="str">
        <f>'rockfish harvests'!C116</f>
        <v>EASTSIDE</v>
      </c>
      <c r="D113">
        <f>'rockfish harvests'!D116</f>
        <v>3433</v>
      </c>
      <c r="E113">
        <f>'YE harvest'!E117</f>
        <v>223</v>
      </c>
      <c r="H113" s="13" t="e">
        <f>#REF!</f>
        <v>#REF!</v>
      </c>
      <c r="I113">
        <f t="shared" si="23"/>
        <v>0</v>
      </c>
      <c r="J113">
        <f t="shared" si="25"/>
        <v>0</v>
      </c>
      <c r="K113" s="6">
        <f t="shared" si="26"/>
        <v>0</v>
      </c>
      <c r="M113" s="2">
        <f>'rockfish harvests'!O116</f>
        <v>276.3989021043003</v>
      </c>
      <c r="N113">
        <f>'rockfish harvests'!P116</f>
        <v>25117.984568882985</v>
      </c>
      <c r="Q113" s="13" t="e">
        <f>M113*#REF!</f>
        <v>#REF!</v>
      </c>
      <c r="R113" s="14" t="e">
        <f>(M113^2)*#REF!+(#REF!^2)*N113-(#REF!*N113)</f>
        <v>#REF!</v>
      </c>
      <c r="S113" t="e">
        <f t="shared" si="27"/>
        <v>#REF!</v>
      </c>
      <c r="T113" s="6" t="e">
        <f t="shared" si="28"/>
        <v>#REF!</v>
      </c>
      <c r="V113" s="13" t="e">
        <f t="shared" si="24"/>
        <v>#REF!</v>
      </c>
      <c r="W113" t="e">
        <f t="shared" si="24"/>
        <v>#REF!</v>
      </c>
      <c r="X113" t="e">
        <f t="shared" si="29"/>
        <v>#REF!</v>
      </c>
      <c r="Y113" s="6" t="e">
        <f t="shared" si="30"/>
        <v>#REF!</v>
      </c>
    </row>
    <row r="114" spans="1:25" x14ac:dyDescent="0.3">
      <c r="A114" t="str">
        <f>'rockfish harvests'!A117</f>
        <v>SC</v>
      </c>
      <c r="B114">
        <f>'rockfish harvests'!B117</f>
        <v>2013</v>
      </c>
      <c r="C114" t="str">
        <f>'rockfish harvests'!C117</f>
        <v>EASTSIDE</v>
      </c>
      <c r="D114">
        <f>'rockfish harvests'!D117</f>
        <v>2207</v>
      </c>
      <c r="E114">
        <f>'YE harvest'!E118</f>
        <v>126</v>
      </c>
      <c r="H114" s="13" t="e">
        <f>#REF!</f>
        <v>#REF!</v>
      </c>
      <c r="I114">
        <f t="shared" si="23"/>
        <v>0</v>
      </c>
      <c r="J114">
        <f t="shared" si="25"/>
        <v>0</v>
      </c>
      <c r="K114" s="6">
        <f t="shared" si="26"/>
        <v>0</v>
      </c>
      <c r="M114" s="2">
        <f>'rockfish harvests'!O117</f>
        <v>351.77988614800779</v>
      </c>
      <c r="N114">
        <f>'rockfish harvests'!P117</f>
        <v>93936.264893907151</v>
      </c>
      <c r="Q114" s="13" t="e">
        <f>M114*#REF!</f>
        <v>#REF!</v>
      </c>
      <c r="R114" s="14" t="e">
        <f>(M114^2)*#REF!+(#REF!^2)*N114-(#REF!*N114)</f>
        <v>#REF!</v>
      </c>
      <c r="S114" t="e">
        <f t="shared" si="27"/>
        <v>#REF!</v>
      </c>
      <c r="T114" s="6" t="e">
        <f t="shared" si="28"/>
        <v>#REF!</v>
      </c>
      <c r="V114" s="13" t="e">
        <f t="shared" si="24"/>
        <v>#REF!</v>
      </c>
      <c r="W114" t="e">
        <f t="shared" si="24"/>
        <v>#REF!</v>
      </c>
      <c r="X114" t="e">
        <f t="shared" si="29"/>
        <v>#REF!</v>
      </c>
      <c r="Y114" s="6" t="e">
        <f t="shared" si="30"/>
        <v>#REF!</v>
      </c>
    </row>
    <row r="115" spans="1:25" x14ac:dyDescent="0.3">
      <c r="A115" t="str">
        <f>'rockfish harvests'!A118</f>
        <v>SC</v>
      </c>
      <c r="B115">
        <f>'rockfish harvests'!B118</f>
        <v>2014</v>
      </c>
      <c r="C115" t="str">
        <f>'rockfish harvests'!C118</f>
        <v>EASTSIDE</v>
      </c>
      <c r="D115">
        <f>'rockfish harvests'!D118</f>
        <v>3551</v>
      </c>
      <c r="E115">
        <f>'YE harvest'!E119</f>
        <v>166</v>
      </c>
      <c r="H115" s="13" t="e">
        <f>#REF!</f>
        <v>#REF!</v>
      </c>
      <c r="I115">
        <f t="shared" si="23"/>
        <v>0</v>
      </c>
      <c r="J115">
        <f t="shared" si="25"/>
        <v>0</v>
      </c>
      <c r="K115" s="6">
        <f t="shared" si="26"/>
        <v>0</v>
      </c>
      <c r="M115" s="2">
        <f>'rockfish harvests'!O118</f>
        <v>250.87949818421885</v>
      </c>
      <c r="N115">
        <f>'rockfish harvests'!P118</f>
        <v>23714.551436006946</v>
      </c>
      <c r="Q115" s="13" t="e">
        <f>M115*#REF!</f>
        <v>#REF!</v>
      </c>
      <c r="R115" s="14" t="e">
        <f>(M115^2)*#REF!+(#REF!^2)*N115-(#REF!*N115)</f>
        <v>#REF!</v>
      </c>
      <c r="S115" t="e">
        <f t="shared" si="27"/>
        <v>#REF!</v>
      </c>
      <c r="T115" s="6" t="e">
        <f t="shared" si="28"/>
        <v>#REF!</v>
      </c>
      <c r="V115" s="13" t="e">
        <f t="shared" si="24"/>
        <v>#REF!</v>
      </c>
      <c r="W115" t="e">
        <f t="shared" si="24"/>
        <v>#REF!</v>
      </c>
      <c r="X115" t="e">
        <f t="shared" si="29"/>
        <v>#REF!</v>
      </c>
      <c r="Y115" s="6" t="e">
        <f t="shared" si="30"/>
        <v>#REF!</v>
      </c>
    </row>
    <row r="116" spans="1:25" x14ac:dyDescent="0.3">
      <c r="A116" t="str">
        <f>'rockfish harvests'!A119</f>
        <v>SC</v>
      </c>
      <c r="B116">
        <f>'rockfish harvests'!B119</f>
        <v>2015</v>
      </c>
      <c r="C116" t="str">
        <f>'rockfish harvests'!C119</f>
        <v>EASTSIDE</v>
      </c>
      <c r="D116">
        <f>'rockfish harvests'!D119</f>
        <v>2787</v>
      </c>
      <c r="E116">
        <f>'YE harvest'!E120</f>
        <v>152</v>
      </c>
      <c r="H116" s="13" t="e">
        <f>#REF!</f>
        <v>#REF!</v>
      </c>
      <c r="I116">
        <f t="shared" si="23"/>
        <v>0</v>
      </c>
      <c r="J116">
        <f t="shared" si="25"/>
        <v>0</v>
      </c>
      <c r="K116" s="6">
        <f t="shared" si="26"/>
        <v>0</v>
      </c>
      <c r="M116" s="2">
        <f>'rockfish harvests'!O119</f>
        <v>932.19872110181996</v>
      </c>
      <c r="N116">
        <f>'rockfish harvests'!P119</f>
        <v>360398.18316320516</v>
      </c>
      <c r="Q116" s="13" t="e">
        <f>M116*#REF!</f>
        <v>#REF!</v>
      </c>
      <c r="R116" s="14" t="e">
        <f>(M116^2)*#REF!+(#REF!^2)*N116-(#REF!*N116)</f>
        <v>#REF!</v>
      </c>
      <c r="S116" t="e">
        <f t="shared" si="27"/>
        <v>#REF!</v>
      </c>
      <c r="T116" s="6" t="e">
        <f t="shared" si="28"/>
        <v>#REF!</v>
      </c>
      <c r="V116" s="13" t="e">
        <f t="shared" si="24"/>
        <v>#REF!</v>
      </c>
      <c r="W116" t="e">
        <f t="shared" si="24"/>
        <v>#REF!</v>
      </c>
      <c r="X116" t="e">
        <f t="shared" si="29"/>
        <v>#REF!</v>
      </c>
      <c r="Y116" s="6" t="e">
        <f t="shared" si="30"/>
        <v>#REF!</v>
      </c>
    </row>
    <row r="117" spans="1:25" x14ac:dyDescent="0.3">
      <c r="A117" t="str">
        <f>'rockfish harvests'!A120</f>
        <v>SC</v>
      </c>
      <c r="B117">
        <f>'rockfish harvests'!B120</f>
        <v>2016</v>
      </c>
      <c r="C117" t="str">
        <f>'rockfish harvests'!C120</f>
        <v>EASTSIDE</v>
      </c>
      <c r="D117">
        <f>'rockfish harvests'!D120</f>
        <v>3561</v>
      </c>
      <c r="E117">
        <f>'YE harvest'!E121</f>
        <v>169</v>
      </c>
      <c r="H117" s="13" t="e">
        <f>#REF!</f>
        <v>#REF!</v>
      </c>
      <c r="I117">
        <f t="shared" si="23"/>
        <v>0</v>
      </c>
      <c r="J117">
        <f t="shared" si="25"/>
        <v>0</v>
      </c>
      <c r="K117" s="6">
        <f t="shared" si="26"/>
        <v>0</v>
      </c>
      <c r="M117" s="2">
        <f>'rockfish harvests'!O120</f>
        <v>418.19068471337596</v>
      </c>
      <c r="N117">
        <f>'rockfish harvests'!P120</f>
        <v>86017.579810230731</v>
      </c>
      <c r="Q117" s="13" t="e">
        <f>M117*#REF!</f>
        <v>#REF!</v>
      </c>
      <c r="R117" s="14" t="e">
        <f>(M117^2)*#REF!+(#REF!^2)*N117-(#REF!*N117)</f>
        <v>#REF!</v>
      </c>
      <c r="S117" t="e">
        <f t="shared" si="27"/>
        <v>#REF!</v>
      </c>
      <c r="T117" s="6" t="e">
        <f t="shared" si="28"/>
        <v>#REF!</v>
      </c>
      <c r="V117" s="13" t="e">
        <f t="shared" si="24"/>
        <v>#REF!</v>
      </c>
      <c r="W117" t="e">
        <f t="shared" si="24"/>
        <v>#REF!</v>
      </c>
      <c r="X117" t="e">
        <f t="shared" si="29"/>
        <v>#REF!</v>
      </c>
      <c r="Y117" s="6" t="e">
        <f t="shared" si="30"/>
        <v>#REF!</v>
      </c>
    </row>
    <row r="118" spans="1:25" x14ac:dyDescent="0.3">
      <c r="A118" t="str">
        <f>'rockfish harvests'!A121</f>
        <v>SC</v>
      </c>
      <c r="B118">
        <f>'rockfish harvests'!B121</f>
        <v>2017</v>
      </c>
      <c r="C118" t="str">
        <f>'rockfish harvests'!C121</f>
        <v>EASTSIDE</v>
      </c>
      <c r="D118">
        <f>'rockfish harvests'!D121</f>
        <v>3933</v>
      </c>
      <c r="E118">
        <f>'YE harvest'!E122</f>
        <v>56</v>
      </c>
      <c r="H118" s="13" t="e">
        <f>#REF!</f>
        <v>#REF!</v>
      </c>
      <c r="I118">
        <f t="shared" si="23"/>
        <v>0</v>
      </c>
      <c r="J118">
        <f t="shared" si="25"/>
        <v>0</v>
      </c>
      <c r="K118" s="6">
        <f t="shared" si="26"/>
        <v>0</v>
      </c>
      <c r="M118" s="2">
        <f>'rockfish harvests'!O121</f>
        <v>1353.8031716417918</v>
      </c>
      <c r="N118">
        <f>'rockfish harvests'!P121</f>
        <v>628325.57356668822</v>
      </c>
      <c r="Q118" s="13" t="e">
        <f>M118*#REF!</f>
        <v>#REF!</v>
      </c>
      <c r="R118" s="14" t="e">
        <f>(M118^2)*#REF!+(#REF!^2)*N118-(#REF!*N118)</f>
        <v>#REF!</v>
      </c>
      <c r="S118" t="e">
        <f t="shared" si="27"/>
        <v>#REF!</v>
      </c>
      <c r="T118" s="6" t="e">
        <f t="shared" si="28"/>
        <v>#REF!</v>
      </c>
      <c r="V118" s="13" t="e">
        <f t="shared" si="24"/>
        <v>#REF!</v>
      </c>
      <c r="W118" t="e">
        <f t="shared" si="24"/>
        <v>#REF!</v>
      </c>
      <c r="X118" t="e">
        <f t="shared" si="29"/>
        <v>#REF!</v>
      </c>
      <c r="Y118" s="6" t="e">
        <f t="shared" si="30"/>
        <v>#REF!</v>
      </c>
    </row>
    <row r="119" spans="1:25" x14ac:dyDescent="0.3">
      <c r="A119" t="str">
        <f>'rockfish harvests'!A122</f>
        <v>SC</v>
      </c>
      <c r="B119">
        <f>'rockfish harvests'!B122</f>
        <v>2018</v>
      </c>
      <c r="C119" t="str">
        <f>'rockfish harvests'!C122</f>
        <v>EASTSIDE</v>
      </c>
      <c r="D119">
        <f>'rockfish harvests'!D122</f>
        <v>3914</v>
      </c>
      <c r="E119">
        <f>'YE harvest'!E123</f>
        <v>224</v>
      </c>
      <c r="H119" s="13" t="e">
        <f>#REF!</f>
        <v>#REF!</v>
      </c>
      <c r="I119">
        <f t="shared" si="23"/>
        <v>0</v>
      </c>
      <c r="J119">
        <f t="shared" si="25"/>
        <v>0</v>
      </c>
      <c r="K119" s="6">
        <f t="shared" si="26"/>
        <v>0</v>
      </c>
      <c r="M119" s="2">
        <f>'rockfish harvests'!O122</f>
        <v>302.2796271637817</v>
      </c>
      <c r="N119">
        <f>'rockfish harvests'!P122</f>
        <v>37596.448991886558</v>
      </c>
      <c r="Q119" s="13" t="e">
        <f>M119*#REF!</f>
        <v>#REF!</v>
      </c>
      <c r="R119" s="14" t="e">
        <f>(M119^2)*#REF!+(#REF!^2)*N119-(#REF!*N119)</f>
        <v>#REF!</v>
      </c>
      <c r="S119" t="e">
        <f t="shared" si="27"/>
        <v>#REF!</v>
      </c>
      <c r="T119" s="6" t="e">
        <f t="shared" si="28"/>
        <v>#REF!</v>
      </c>
      <c r="V119" s="13" t="e">
        <f t="shared" si="24"/>
        <v>#REF!</v>
      </c>
      <c r="W119" t="e">
        <f t="shared" si="24"/>
        <v>#REF!</v>
      </c>
      <c r="X119" t="e">
        <f t="shared" si="29"/>
        <v>#REF!</v>
      </c>
      <c r="Y119" s="6" t="e">
        <f t="shared" si="30"/>
        <v>#REF!</v>
      </c>
    </row>
    <row r="120" spans="1:25" x14ac:dyDescent="0.3">
      <c r="A120" t="str">
        <f>'rockfish harvests'!A123</f>
        <v>SC</v>
      </c>
      <c r="B120">
        <f>'rockfish harvests'!B123</f>
        <v>2019</v>
      </c>
      <c r="C120" t="str">
        <f>'rockfish harvests'!C123</f>
        <v>EASTSIDE</v>
      </c>
      <c r="D120">
        <f>'rockfish harvests'!D123</f>
        <v>5680</v>
      </c>
      <c r="E120">
        <f>'YE harvest'!E124</f>
        <v>116</v>
      </c>
      <c r="I120">
        <f t="shared" ref="I120:I121" si="35">(E120^2)*G120</f>
        <v>0</v>
      </c>
      <c r="J120">
        <f t="shared" ref="J120:J121" si="36">SQRT(I120)</f>
        <v>0</v>
      </c>
      <c r="K120" s="6">
        <f t="shared" ref="K120:K121" si="37">(1.96*J120)</f>
        <v>0</v>
      </c>
      <c r="M120" s="2">
        <f>'rockfish harvests'!O123</f>
        <v>1827.1545603495351</v>
      </c>
      <c r="N120">
        <f>'rockfish harvests'!P123</f>
        <v>1939226.0896531206</v>
      </c>
      <c r="R120" s="14"/>
      <c r="S120"/>
      <c r="T120" s="6"/>
      <c r="Y120" s="6"/>
    </row>
    <row r="121" spans="1:25" x14ac:dyDescent="0.3">
      <c r="A121" t="str">
        <f>'rockfish harvests'!A124</f>
        <v>SC</v>
      </c>
      <c r="B121">
        <f>'rockfish harvests'!B124</f>
        <v>2020</v>
      </c>
      <c r="C121" t="str">
        <f>'rockfish harvests'!C124</f>
        <v>EASTSIDE</v>
      </c>
      <c r="D121">
        <f>'rockfish harvests'!D124</f>
        <v>1507</v>
      </c>
      <c r="E121">
        <f>'YE harvest'!E125</f>
        <v>71</v>
      </c>
      <c r="I121">
        <f t="shared" si="35"/>
        <v>0</v>
      </c>
      <c r="J121">
        <f t="shared" si="36"/>
        <v>0</v>
      </c>
      <c r="K121" s="6">
        <f t="shared" si="37"/>
        <v>0</v>
      </c>
      <c r="M121" s="2">
        <f>'rockfish harvests'!O124</f>
        <v>285.07252075141969</v>
      </c>
      <c r="N121">
        <f>'rockfish harvests'!P124</f>
        <v>20342.54532916598</v>
      </c>
      <c r="R121" s="14"/>
      <c r="S121"/>
      <c r="T121" s="6"/>
      <c r="Y121" s="6"/>
    </row>
    <row r="122" spans="1:25" x14ac:dyDescent="0.3">
      <c r="A122" t="str">
        <f>'rockfish harvests'!A125</f>
        <v>SC</v>
      </c>
      <c r="B122">
        <f>'rockfish harvests'!B125</f>
        <v>2021</v>
      </c>
      <c r="C122" t="str">
        <f>'rockfish harvests'!C125</f>
        <v>EASTSIDE</v>
      </c>
      <c r="D122">
        <f>'rockfish harvests'!D125</f>
        <v>2885</v>
      </c>
      <c r="E122">
        <f>'YE harvest'!E126</f>
        <v>187</v>
      </c>
      <c r="K122" s="6"/>
      <c r="M122" s="2">
        <f>'rockfish harvests'!O125</f>
        <v>450.56951620479094</v>
      </c>
      <c r="N122">
        <f>'rockfish harvests'!P125</f>
        <v>34555.289276141099</v>
      </c>
      <c r="R122" s="14"/>
      <c r="S122"/>
      <c r="T122" s="6"/>
      <c r="Y122" s="6"/>
    </row>
    <row r="123" spans="1:25" x14ac:dyDescent="0.3">
      <c r="A123" t="str">
        <f>'rockfish harvests'!A127</f>
        <v>SC</v>
      </c>
      <c r="B123">
        <f>'rockfish harvests'!B127</f>
        <v>1998</v>
      </c>
      <c r="C123" t="str">
        <f>'rockfish harvests'!C127</f>
        <v>NG</v>
      </c>
      <c r="D123">
        <f>'rockfish harvests'!D127</f>
        <v>5169</v>
      </c>
      <c r="E123">
        <f>'YE harvest'!E128</f>
        <v>1242</v>
      </c>
      <c r="F123" s="32"/>
      <c r="G123" s="32"/>
      <c r="H123" s="13">
        <f t="shared" ref="H123:H130" si="38">E123*F123</f>
        <v>0</v>
      </c>
      <c r="I123">
        <f t="shared" si="23"/>
        <v>0</v>
      </c>
      <c r="J123">
        <f t="shared" si="25"/>
        <v>0</v>
      </c>
      <c r="K123" s="6">
        <f t="shared" si="26"/>
        <v>0</v>
      </c>
      <c r="M123" s="2">
        <f>'rockfish harvests'!O127</f>
        <v>2556.220955913016</v>
      </c>
      <c r="N123">
        <f>'rockfish harvests'!P127</f>
        <v>380846.86521831615</v>
      </c>
      <c r="Q123" s="13">
        <f t="shared" ref="Q123:Q195" si="39">M123*O123</f>
        <v>0</v>
      </c>
      <c r="R123" s="14">
        <f t="shared" ref="R123:R195" si="40">(M123^2)*P123+(O123^2)*N123-(P123*N123)</f>
        <v>0</v>
      </c>
      <c r="S123">
        <f t="shared" si="27"/>
        <v>0</v>
      </c>
      <c r="T123" s="6">
        <f t="shared" si="28"/>
        <v>0</v>
      </c>
      <c r="V123" s="13">
        <f t="shared" si="24"/>
        <v>0</v>
      </c>
      <c r="W123">
        <f t="shared" si="24"/>
        <v>0</v>
      </c>
      <c r="X123">
        <f t="shared" si="29"/>
        <v>0</v>
      </c>
      <c r="Y123" s="6">
        <f t="shared" si="30"/>
        <v>0</v>
      </c>
    </row>
    <row r="124" spans="1:25" x14ac:dyDescent="0.3">
      <c r="A124" t="str">
        <f>'rockfish harvests'!A128</f>
        <v>SC</v>
      </c>
      <c r="B124">
        <f>'rockfish harvests'!B128</f>
        <v>1999</v>
      </c>
      <c r="C124" t="str">
        <f>'rockfish harvests'!C128</f>
        <v>NG</v>
      </c>
      <c r="D124">
        <f>'rockfish harvests'!D128</f>
        <v>9276</v>
      </c>
      <c r="E124">
        <f>'YE harvest'!E129</f>
        <v>1138</v>
      </c>
      <c r="H124" s="13">
        <f t="shared" si="38"/>
        <v>0</v>
      </c>
      <c r="I124">
        <f t="shared" si="23"/>
        <v>0</v>
      </c>
      <c r="J124">
        <f t="shared" si="25"/>
        <v>0</v>
      </c>
      <c r="K124" s="6">
        <f t="shared" si="26"/>
        <v>0</v>
      </c>
      <c r="M124" s="2">
        <f>'rockfish harvests'!O128</f>
        <v>4587.2519998160442</v>
      </c>
      <c r="N124">
        <f>'rockfish harvests'!P128</f>
        <v>1226475.2843498222</v>
      </c>
      <c r="Q124" s="13">
        <f t="shared" si="39"/>
        <v>0</v>
      </c>
      <c r="R124" s="14">
        <f t="shared" si="40"/>
        <v>0</v>
      </c>
      <c r="S124">
        <f t="shared" si="27"/>
        <v>0</v>
      </c>
      <c r="T124" s="6">
        <f t="shared" si="28"/>
        <v>0</v>
      </c>
      <c r="V124" s="13">
        <f t="shared" si="24"/>
        <v>0</v>
      </c>
      <c r="W124">
        <f t="shared" si="24"/>
        <v>0</v>
      </c>
      <c r="X124">
        <f t="shared" si="29"/>
        <v>0</v>
      </c>
      <c r="Y124" s="6">
        <f t="shared" si="30"/>
        <v>0</v>
      </c>
    </row>
    <row r="125" spans="1:25" x14ac:dyDescent="0.3">
      <c r="A125" t="str">
        <f>'rockfish harvests'!A129</f>
        <v>SC</v>
      </c>
      <c r="B125">
        <f>'rockfish harvests'!B129</f>
        <v>2000</v>
      </c>
      <c r="C125" t="str">
        <f>'rockfish harvests'!C129</f>
        <v>NG</v>
      </c>
      <c r="D125">
        <f>'rockfish harvests'!D129</f>
        <v>13107</v>
      </c>
      <c r="E125">
        <f>'YE harvest'!E130</f>
        <v>2404</v>
      </c>
      <c r="H125" s="13">
        <f t="shared" si="38"/>
        <v>0</v>
      </c>
      <c r="I125">
        <f t="shared" si="23"/>
        <v>0</v>
      </c>
      <c r="J125">
        <f t="shared" si="25"/>
        <v>0</v>
      </c>
      <c r="K125" s="6">
        <f t="shared" si="26"/>
        <v>0</v>
      </c>
      <c r="M125" s="2">
        <f>'rockfish harvests'!O129</f>
        <v>6481.7930100893609</v>
      </c>
      <c r="N125">
        <f>'rockfish harvests'!P129</f>
        <v>2448747.0158551079</v>
      </c>
      <c r="Q125" s="13">
        <f t="shared" si="39"/>
        <v>0</v>
      </c>
      <c r="R125" s="14">
        <f t="shared" si="40"/>
        <v>0</v>
      </c>
      <c r="S125">
        <f t="shared" si="27"/>
        <v>0</v>
      </c>
      <c r="T125" s="6">
        <f t="shared" si="28"/>
        <v>0</v>
      </c>
      <c r="V125" s="13">
        <f t="shared" si="24"/>
        <v>0</v>
      </c>
      <c r="W125">
        <f t="shared" si="24"/>
        <v>0</v>
      </c>
      <c r="X125">
        <f t="shared" si="29"/>
        <v>0</v>
      </c>
      <c r="Y125" s="6">
        <f t="shared" si="30"/>
        <v>0</v>
      </c>
    </row>
    <row r="126" spans="1:25" x14ac:dyDescent="0.3">
      <c r="A126" t="str">
        <f>'rockfish harvests'!A130</f>
        <v>SC</v>
      </c>
      <c r="B126">
        <f>'rockfish harvests'!B130</f>
        <v>2001</v>
      </c>
      <c r="C126" t="str">
        <f>'rockfish harvests'!C130</f>
        <v>NG</v>
      </c>
      <c r="D126">
        <f>'rockfish harvests'!D130</f>
        <v>20907</v>
      </c>
      <c r="E126">
        <f>'YE harvest'!E131</f>
        <v>2450</v>
      </c>
      <c r="H126" s="13">
        <f t="shared" si="38"/>
        <v>0</v>
      </c>
      <c r="I126">
        <f t="shared" si="23"/>
        <v>0</v>
      </c>
      <c r="J126">
        <f t="shared" si="25"/>
        <v>0</v>
      </c>
      <c r="K126" s="6">
        <f t="shared" si="26"/>
        <v>0</v>
      </c>
      <c r="M126" s="2">
        <f>'rockfish harvests'!O130</f>
        <v>10339.120047450848</v>
      </c>
      <c r="N126">
        <f>'rockfish harvests'!P130</f>
        <v>6230469.2850139625</v>
      </c>
      <c r="Q126" s="13">
        <f t="shared" si="39"/>
        <v>0</v>
      </c>
      <c r="R126" s="14">
        <f t="shared" si="40"/>
        <v>0</v>
      </c>
      <c r="S126">
        <f t="shared" si="27"/>
        <v>0</v>
      </c>
      <c r="T126" s="6">
        <f t="shared" si="28"/>
        <v>0</v>
      </c>
      <c r="V126" s="13">
        <f t="shared" si="24"/>
        <v>0</v>
      </c>
      <c r="W126">
        <f t="shared" si="24"/>
        <v>0</v>
      </c>
      <c r="X126">
        <f t="shared" si="29"/>
        <v>0</v>
      </c>
      <c r="Y126" s="6">
        <f t="shared" si="30"/>
        <v>0</v>
      </c>
    </row>
    <row r="127" spans="1:25" x14ac:dyDescent="0.3">
      <c r="A127" t="str">
        <f>'rockfish harvests'!A131</f>
        <v>SC</v>
      </c>
      <c r="B127">
        <f>'rockfish harvests'!B131</f>
        <v>2002</v>
      </c>
      <c r="C127" t="str">
        <f>'rockfish harvests'!C131</f>
        <v>NG</v>
      </c>
      <c r="D127">
        <f>'rockfish harvests'!D131</f>
        <v>17318</v>
      </c>
      <c r="E127">
        <f>'YE harvest'!E132</f>
        <v>2230</v>
      </c>
      <c r="H127" s="13">
        <f t="shared" si="38"/>
        <v>0</v>
      </c>
      <c r="I127">
        <f t="shared" si="23"/>
        <v>0</v>
      </c>
      <c r="J127">
        <f t="shared" si="25"/>
        <v>0</v>
      </c>
      <c r="K127" s="6">
        <f t="shared" si="26"/>
        <v>0</v>
      </c>
      <c r="M127" s="2">
        <f>'rockfish harvests'!O131</f>
        <v>8564.2550811572073</v>
      </c>
      <c r="N127">
        <f>'rockfish harvests'!P131</f>
        <v>4274967.2451758217</v>
      </c>
      <c r="Q127" s="13">
        <f t="shared" si="39"/>
        <v>0</v>
      </c>
      <c r="R127" s="14">
        <f t="shared" si="40"/>
        <v>0</v>
      </c>
      <c r="S127">
        <f t="shared" si="27"/>
        <v>0</v>
      </c>
      <c r="T127" s="6">
        <f t="shared" si="28"/>
        <v>0</v>
      </c>
      <c r="V127" s="13">
        <f t="shared" si="24"/>
        <v>0</v>
      </c>
      <c r="W127">
        <f t="shared" si="24"/>
        <v>0</v>
      </c>
      <c r="X127">
        <f t="shared" si="29"/>
        <v>0</v>
      </c>
      <c r="Y127" s="6">
        <f t="shared" si="30"/>
        <v>0</v>
      </c>
    </row>
    <row r="128" spans="1:25" x14ac:dyDescent="0.3">
      <c r="A128" t="str">
        <f>'rockfish harvests'!A132</f>
        <v>SC</v>
      </c>
      <c r="B128">
        <f>'rockfish harvests'!B132</f>
        <v>2003</v>
      </c>
      <c r="C128" t="str">
        <f>'rockfish harvests'!C132</f>
        <v>NG</v>
      </c>
      <c r="D128">
        <f>'rockfish harvests'!D132</f>
        <v>17020</v>
      </c>
      <c r="E128">
        <f>'YE harvest'!E133</f>
        <v>3447</v>
      </c>
      <c r="H128" s="13">
        <f t="shared" si="38"/>
        <v>0</v>
      </c>
      <c r="I128">
        <f t="shared" si="23"/>
        <v>0</v>
      </c>
      <c r="J128">
        <f t="shared" si="25"/>
        <v>0</v>
      </c>
      <c r="K128" s="6">
        <f t="shared" si="26"/>
        <v>0</v>
      </c>
      <c r="M128" s="2">
        <f>'rockfish harvests'!O132</f>
        <v>8416.8854071657042</v>
      </c>
      <c r="N128">
        <f>'rockfish harvests'!P132</f>
        <v>4129109.8070434225</v>
      </c>
      <c r="Q128" s="13">
        <f t="shared" si="39"/>
        <v>0</v>
      </c>
      <c r="R128" s="14">
        <f t="shared" si="40"/>
        <v>0</v>
      </c>
      <c r="S128">
        <f t="shared" si="27"/>
        <v>0</v>
      </c>
      <c r="T128" s="6">
        <f t="shared" si="28"/>
        <v>0</v>
      </c>
      <c r="V128" s="13">
        <f t="shared" si="24"/>
        <v>0</v>
      </c>
      <c r="W128">
        <f t="shared" si="24"/>
        <v>0</v>
      </c>
      <c r="X128">
        <f t="shared" si="29"/>
        <v>0</v>
      </c>
      <c r="Y128" s="6">
        <f t="shared" si="30"/>
        <v>0</v>
      </c>
    </row>
    <row r="129" spans="1:25" x14ac:dyDescent="0.3">
      <c r="A129" t="str">
        <f>'rockfish harvests'!A133</f>
        <v>SC</v>
      </c>
      <c r="B129">
        <f>'rockfish harvests'!B133</f>
        <v>2004</v>
      </c>
      <c r="C129" t="str">
        <f>'rockfish harvests'!C133</f>
        <v>NG</v>
      </c>
      <c r="D129">
        <f>'rockfish harvests'!D133</f>
        <v>19434</v>
      </c>
      <c r="E129">
        <f>'YE harvest'!E134</f>
        <v>3475</v>
      </c>
      <c r="H129" s="13">
        <f t="shared" si="38"/>
        <v>0</v>
      </c>
      <c r="I129">
        <f t="shared" si="23"/>
        <v>0</v>
      </c>
      <c r="J129">
        <f t="shared" si="25"/>
        <v>0</v>
      </c>
      <c r="K129" s="6">
        <f t="shared" si="26"/>
        <v>0</v>
      </c>
      <c r="M129" s="2">
        <f>'rockfish harvests'!O133</f>
        <v>9610.6786723183504</v>
      </c>
      <c r="N129">
        <f>'rockfish harvests'!P133</f>
        <v>5383462.8158731172</v>
      </c>
      <c r="Q129" s="13">
        <f t="shared" si="39"/>
        <v>0</v>
      </c>
      <c r="R129" s="14">
        <f t="shared" si="40"/>
        <v>0</v>
      </c>
      <c r="S129">
        <f t="shared" si="27"/>
        <v>0</v>
      </c>
      <c r="T129" s="6">
        <f t="shared" si="28"/>
        <v>0</v>
      </c>
      <c r="V129" s="13">
        <f t="shared" si="24"/>
        <v>0</v>
      </c>
      <c r="W129">
        <f t="shared" si="24"/>
        <v>0</v>
      </c>
      <c r="X129">
        <f t="shared" si="29"/>
        <v>0</v>
      </c>
      <c r="Y129" s="6">
        <f t="shared" si="30"/>
        <v>0</v>
      </c>
    </row>
    <row r="130" spans="1:25" x14ac:dyDescent="0.3">
      <c r="A130" t="str">
        <f>'rockfish harvests'!A134</f>
        <v>SC</v>
      </c>
      <c r="B130">
        <f>'rockfish harvests'!B134</f>
        <v>2005</v>
      </c>
      <c r="C130" t="str">
        <f>'rockfish harvests'!C134</f>
        <v>NG</v>
      </c>
      <c r="D130">
        <f>'rockfish harvests'!D134</f>
        <v>22792</v>
      </c>
      <c r="E130">
        <f>'YE harvest'!E135</f>
        <v>4171</v>
      </c>
      <c r="H130" s="13">
        <f t="shared" si="38"/>
        <v>0</v>
      </c>
      <c r="I130">
        <f t="shared" si="23"/>
        <v>0</v>
      </c>
      <c r="J130">
        <f t="shared" si="25"/>
        <v>0</v>
      </c>
      <c r="K130" s="6">
        <f t="shared" si="26"/>
        <v>0</v>
      </c>
      <c r="M130" s="2">
        <f>'rockfish harvests'!O134</f>
        <v>11271.307414813207</v>
      </c>
      <c r="N130">
        <f>'rockfish harvests'!P134</f>
        <v>7404610.0706118569</v>
      </c>
      <c r="Q130" s="13">
        <f t="shared" si="39"/>
        <v>0</v>
      </c>
      <c r="R130" s="14">
        <f t="shared" si="40"/>
        <v>0</v>
      </c>
      <c r="S130">
        <f t="shared" si="27"/>
        <v>0</v>
      </c>
      <c r="T130" s="6">
        <f t="shared" si="28"/>
        <v>0</v>
      </c>
      <c r="V130" s="13">
        <f t="shared" si="24"/>
        <v>0</v>
      </c>
      <c r="W130">
        <f t="shared" si="24"/>
        <v>0</v>
      </c>
      <c r="X130">
        <f t="shared" si="29"/>
        <v>0</v>
      </c>
      <c r="Y130" s="6">
        <f t="shared" si="30"/>
        <v>0</v>
      </c>
    </row>
    <row r="131" spans="1:25" x14ac:dyDescent="0.3">
      <c r="A131" t="str">
        <f>'rockfish harvests'!A135</f>
        <v>SC</v>
      </c>
      <c r="B131">
        <f>'rockfish harvests'!B135</f>
        <v>2006</v>
      </c>
      <c r="C131" t="str">
        <f>'rockfish harvests'!C135</f>
        <v>NG</v>
      </c>
      <c r="D131">
        <f>'rockfish harvests'!D135</f>
        <v>19998</v>
      </c>
      <c r="E131">
        <f>'YE harvest'!E136</f>
        <v>4131</v>
      </c>
      <c r="H131" s="13" t="e">
        <f>#REF!</f>
        <v>#REF!</v>
      </c>
      <c r="I131">
        <f t="shared" si="23"/>
        <v>0</v>
      </c>
      <c r="J131">
        <f t="shared" si="25"/>
        <v>0</v>
      </c>
      <c r="K131" s="6">
        <f t="shared" si="26"/>
        <v>0</v>
      </c>
      <c r="M131" s="2">
        <f>'rockfish harvests'!O135</f>
        <v>9889.5930888660259</v>
      </c>
      <c r="N131">
        <f>'rockfish harvests'!P135</f>
        <v>5700467.1719220383</v>
      </c>
      <c r="Q131" s="13">
        <f t="shared" si="39"/>
        <v>0</v>
      </c>
      <c r="R131" s="14">
        <f t="shared" si="40"/>
        <v>0</v>
      </c>
      <c r="S131">
        <f t="shared" si="27"/>
        <v>0</v>
      </c>
      <c r="T131" s="6">
        <f t="shared" si="28"/>
        <v>0</v>
      </c>
      <c r="V131" s="13" t="e">
        <f t="shared" si="24"/>
        <v>#REF!</v>
      </c>
      <c r="W131">
        <f t="shared" si="24"/>
        <v>0</v>
      </c>
      <c r="X131">
        <f t="shared" si="29"/>
        <v>0</v>
      </c>
      <c r="Y131" s="6">
        <f t="shared" si="30"/>
        <v>0</v>
      </c>
    </row>
    <row r="132" spans="1:25" x14ac:dyDescent="0.3">
      <c r="A132" t="str">
        <f>'rockfish harvests'!A136</f>
        <v>SC</v>
      </c>
      <c r="B132">
        <f>'rockfish harvests'!B136</f>
        <v>2007</v>
      </c>
      <c r="C132" t="str">
        <f>'rockfish harvests'!C136</f>
        <v>NG</v>
      </c>
      <c r="D132">
        <f>'rockfish harvests'!D136</f>
        <v>23861</v>
      </c>
      <c r="E132">
        <f>'YE harvest'!E137</f>
        <v>4118</v>
      </c>
      <c r="H132" s="13" t="e">
        <f>#REF!</f>
        <v>#REF!</v>
      </c>
      <c r="I132">
        <f t="shared" si="23"/>
        <v>0</v>
      </c>
      <c r="J132">
        <f t="shared" si="25"/>
        <v>0</v>
      </c>
      <c r="K132" s="6">
        <f t="shared" si="26"/>
        <v>0</v>
      </c>
      <c r="M132" s="2">
        <f>'rockfish harvests'!O136</f>
        <v>11799.959030574668</v>
      </c>
      <c r="N132">
        <f>'rockfish harvests'!P136</f>
        <v>8115487.2982604261</v>
      </c>
      <c r="Q132" s="13">
        <f t="shared" si="39"/>
        <v>0</v>
      </c>
      <c r="R132" s="14">
        <f t="shared" si="40"/>
        <v>0</v>
      </c>
      <c r="S132">
        <f t="shared" si="27"/>
        <v>0</v>
      </c>
      <c r="T132" s="6">
        <f t="shared" si="28"/>
        <v>0</v>
      </c>
      <c r="V132" s="13" t="e">
        <f t="shared" si="24"/>
        <v>#REF!</v>
      </c>
      <c r="W132">
        <f t="shared" si="24"/>
        <v>0</v>
      </c>
      <c r="X132">
        <f t="shared" si="29"/>
        <v>0</v>
      </c>
      <c r="Y132" s="6">
        <f t="shared" si="30"/>
        <v>0</v>
      </c>
    </row>
    <row r="133" spans="1:25" x14ac:dyDescent="0.3">
      <c r="A133" t="str">
        <f>'rockfish harvests'!A137</f>
        <v>SC</v>
      </c>
      <c r="B133">
        <f>'rockfish harvests'!B137</f>
        <v>2008</v>
      </c>
      <c r="C133" t="str">
        <f>'rockfish harvests'!C137</f>
        <v>NG</v>
      </c>
      <c r="D133">
        <f>'rockfish harvests'!D137</f>
        <v>25596</v>
      </c>
      <c r="E133">
        <f>'YE harvest'!E138</f>
        <v>4729</v>
      </c>
      <c r="H133" s="13" t="e">
        <f>#REF!</f>
        <v>#REF!</v>
      </c>
      <c r="I133">
        <f t="shared" si="23"/>
        <v>0</v>
      </c>
      <c r="J133">
        <f t="shared" si="25"/>
        <v>0</v>
      </c>
      <c r="K133" s="6">
        <f t="shared" si="26"/>
        <v>0</v>
      </c>
      <c r="M133" s="2">
        <f>'rockfish harvests'!O137</f>
        <v>12657.967031833927</v>
      </c>
      <c r="N133">
        <f>'rockfish harvests'!P137</f>
        <v>9338594.6288435515</v>
      </c>
      <c r="Q133" s="13">
        <f t="shared" si="39"/>
        <v>0</v>
      </c>
      <c r="R133" s="14">
        <f t="shared" si="40"/>
        <v>0</v>
      </c>
      <c r="S133">
        <f t="shared" si="27"/>
        <v>0</v>
      </c>
      <c r="T133" s="6">
        <f t="shared" si="28"/>
        <v>0</v>
      </c>
      <c r="V133" s="13" t="e">
        <f t="shared" si="24"/>
        <v>#REF!</v>
      </c>
      <c r="W133">
        <f t="shared" si="24"/>
        <v>0</v>
      </c>
      <c r="X133">
        <f t="shared" si="29"/>
        <v>0</v>
      </c>
      <c r="Y133" s="6">
        <f t="shared" si="30"/>
        <v>0</v>
      </c>
    </row>
    <row r="134" spans="1:25" x14ac:dyDescent="0.3">
      <c r="A134" t="str">
        <f>'rockfish harvests'!A138</f>
        <v>SC</v>
      </c>
      <c r="B134">
        <f>'rockfish harvests'!B138</f>
        <v>2009</v>
      </c>
      <c r="C134" t="str">
        <f>'rockfish harvests'!C138</f>
        <v>NG</v>
      </c>
      <c r="D134">
        <f>'rockfish harvests'!D138</f>
        <v>21909</v>
      </c>
      <c r="E134">
        <f>'YE harvest'!E139</f>
        <v>3321</v>
      </c>
      <c r="H134" s="13" t="e">
        <f>#REF!</f>
        <v>#REF!</v>
      </c>
      <c r="I134">
        <f t="shared" si="23"/>
        <v>0</v>
      </c>
      <c r="J134">
        <f t="shared" si="25"/>
        <v>0</v>
      </c>
      <c r="K134" s="6">
        <f t="shared" si="26"/>
        <v>0</v>
      </c>
      <c r="M134" s="2">
        <f>'rockfish harvests'!O138</f>
        <v>10834.638213019593</v>
      </c>
      <c r="N134">
        <f>'rockfish harvests'!P138</f>
        <v>6841989.9451254793</v>
      </c>
      <c r="Q134" s="13">
        <f t="shared" si="39"/>
        <v>0</v>
      </c>
      <c r="R134" s="14">
        <f t="shared" si="40"/>
        <v>0</v>
      </c>
      <c r="S134">
        <f t="shared" si="27"/>
        <v>0</v>
      </c>
      <c r="T134" s="6">
        <f t="shared" si="28"/>
        <v>0</v>
      </c>
      <c r="V134" s="13" t="e">
        <f t="shared" si="24"/>
        <v>#REF!</v>
      </c>
      <c r="W134">
        <f t="shared" si="24"/>
        <v>0</v>
      </c>
      <c r="X134">
        <f t="shared" si="29"/>
        <v>0</v>
      </c>
      <c r="Y134" s="6">
        <f t="shared" si="30"/>
        <v>0</v>
      </c>
    </row>
    <row r="135" spans="1:25" x14ac:dyDescent="0.3">
      <c r="A135" t="str">
        <f>'rockfish harvests'!A139</f>
        <v>SC</v>
      </c>
      <c r="B135">
        <f>'rockfish harvests'!B139</f>
        <v>2010</v>
      </c>
      <c r="C135" t="str">
        <f>'rockfish harvests'!C139</f>
        <v>NG</v>
      </c>
      <c r="D135">
        <f>'rockfish harvests'!D139</f>
        <v>27027</v>
      </c>
      <c r="E135">
        <f>'YE harvest'!E140</f>
        <v>6189</v>
      </c>
      <c r="H135" s="13" t="e">
        <f>#REF!</f>
        <v>#REF!</v>
      </c>
      <c r="I135">
        <f t="shared" si="23"/>
        <v>0</v>
      </c>
      <c r="J135">
        <f t="shared" si="25"/>
        <v>0</v>
      </c>
      <c r="K135" s="6">
        <f t="shared" si="26"/>
        <v>0</v>
      </c>
      <c r="M135" s="2">
        <f>'rockfish harvests'!O139</f>
        <v>13365.638184457552</v>
      </c>
      <c r="N135">
        <f>'rockfish harvests'!P139</f>
        <v>10411972.30311189</v>
      </c>
      <c r="Q135" s="13">
        <f t="shared" si="39"/>
        <v>0</v>
      </c>
      <c r="R135" s="14">
        <f t="shared" si="40"/>
        <v>0</v>
      </c>
      <c r="S135">
        <f t="shared" si="27"/>
        <v>0</v>
      </c>
      <c r="T135" s="6">
        <f t="shared" si="28"/>
        <v>0</v>
      </c>
      <c r="V135" s="13" t="e">
        <f t="shared" si="24"/>
        <v>#REF!</v>
      </c>
      <c r="W135">
        <f t="shared" si="24"/>
        <v>0</v>
      </c>
      <c r="X135">
        <f t="shared" si="29"/>
        <v>0</v>
      </c>
      <c r="Y135" s="6">
        <f t="shared" si="30"/>
        <v>0</v>
      </c>
    </row>
    <row r="136" spans="1:25" x14ac:dyDescent="0.3">
      <c r="A136" t="str">
        <f>'rockfish harvests'!A140</f>
        <v>SC</v>
      </c>
      <c r="B136">
        <f>'rockfish harvests'!B140</f>
        <v>2011</v>
      </c>
      <c r="C136" t="str">
        <f>'rockfish harvests'!C140</f>
        <v>NG</v>
      </c>
      <c r="D136">
        <f>'rockfish harvests'!D140</f>
        <v>30322</v>
      </c>
      <c r="E136">
        <f>'YE harvest'!E141</f>
        <v>5609</v>
      </c>
      <c r="H136" s="13" t="e">
        <f>#REF!</f>
        <v>#REF!</v>
      </c>
      <c r="I136">
        <f t="shared" si="23"/>
        <v>0</v>
      </c>
      <c r="J136">
        <f t="shared" si="25"/>
        <v>0</v>
      </c>
      <c r="K136" s="6">
        <f t="shared" si="26"/>
        <v>0</v>
      </c>
      <c r="M136" s="2">
        <f>'rockfish harvests'!O140</f>
        <v>21882.405010282295</v>
      </c>
      <c r="N136">
        <f>'rockfish harvests'!P140</f>
        <v>8183614.275682712</v>
      </c>
      <c r="Q136" s="13">
        <f t="shared" si="39"/>
        <v>0</v>
      </c>
      <c r="R136" s="14">
        <f t="shared" si="40"/>
        <v>0</v>
      </c>
      <c r="S136">
        <f t="shared" si="27"/>
        <v>0</v>
      </c>
      <c r="T136" s="6">
        <f t="shared" si="28"/>
        <v>0</v>
      </c>
      <c r="V136" s="13" t="e">
        <f t="shared" si="24"/>
        <v>#REF!</v>
      </c>
      <c r="W136">
        <f t="shared" si="24"/>
        <v>0</v>
      </c>
      <c r="X136">
        <f t="shared" si="29"/>
        <v>0</v>
      </c>
      <c r="Y136" s="6">
        <f t="shared" si="30"/>
        <v>0</v>
      </c>
    </row>
    <row r="137" spans="1:25" x14ac:dyDescent="0.3">
      <c r="A137" t="str">
        <f>'rockfish harvests'!A141</f>
        <v>SC</v>
      </c>
      <c r="B137">
        <f>'rockfish harvests'!B141</f>
        <v>2012</v>
      </c>
      <c r="C137" t="str">
        <f>'rockfish harvests'!C141</f>
        <v>NG</v>
      </c>
      <c r="D137">
        <f>'rockfish harvests'!D141</f>
        <v>27771</v>
      </c>
      <c r="E137">
        <f>'YE harvest'!E142</f>
        <v>5715</v>
      </c>
      <c r="H137" s="13" t="e">
        <f>#REF!</f>
        <v>#REF!</v>
      </c>
      <c r="I137">
        <f t="shared" si="23"/>
        <v>0</v>
      </c>
      <c r="J137">
        <f t="shared" si="25"/>
        <v>0</v>
      </c>
      <c r="K137" s="6">
        <f t="shared" si="26"/>
        <v>0</v>
      </c>
      <c r="M137" s="2">
        <f>'rockfish harvests'!O141</f>
        <v>13248.802237331009</v>
      </c>
      <c r="N137">
        <f>'rockfish harvests'!P141</f>
        <v>2524598.6215632036</v>
      </c>
      <c r="Q137" s="13">
        <f t="shared" si="39"/>
        <v>0</v>
      </c>
      <c r="R137" s="14">
        <f t="shared" si="40"/>
        <v>0</v>
      </c>
      <c r="S137">
        <f t="shared" si="27"/>
        <v>0</v>
      </c>
      <c r="T137" s="6">
        <f t="shared" si="28"/>
        <v>0</v>
      </c>
      <c r="V137" s="13" t="e">
        <f t="shared" si="24"/>
        <v>#REF!</v>
      </c>
      <c r="W137">
        <f t="shared" si="24"/>
        <v>0</v>
      </c>
      <c r="X137">
        <f t="shared" si="29"/>
        <v>0</v>
      </c>
      <c r="Y137" s="6">
        <f t="shared" si="30"/>
        <v>0</v>
      </c>
    </row>
    <row r="138" spans="1:25" x14ac:dyDescent="0.3">
      <c r="A138" t="str">
        <f>'rockfish harvests'!A142</f>
        <v>SC</v>
      </c>
      <c r="B138">
        <f>'rockfish harvests'!B142</f>
        <v>2013</v>
      </c>
      <c r="C138" t="str">
        <f>'rockfish harvests'!C142</f>
        <v>NG</v>
      </c>
      <c r="D138">
        <f>'rockfish harvests'!D142</f>
        <v>30558</v>
      </c>
      <c r="E138">
        <f>'YE harvest'!E143</f>
        <v>5301</v>
      </c>
      <c r="H138" s="13" t="e">
        <f>#REF!</f>
        <v>#REF!</v>
      </c>
      <c r="I138">
        <f t="shared" si="23"/>
        <v>0</v>
      </c>
      <c r="J138">
        <f t="shared" si="25"/>
        <v>0</v>
      </c>
      <c r="K138" s="6">
        <f t="shared" si="26"/>
        <v>0</v>
      </c>
      <c r="M138" s="2">
        <f>'rockfish harvests'!O142</f>
        <v>17157.239835728957</v>
      </c>
      <c r="N138">
        <f>'rockfish harvests'!P142</f>
        <v>3987660.0085104108</v>
      </c>
      <c r="Q138" s="13">
        <f t="shared" si="39"/>
        <v>0</v>
      </c>
      <c r="R138" s="14">
        <f t="shared" si="40"/>
        <v>0</v>
      </c>
      <c r="S138">
        <f t="shared" si="27"/>
        <v>0</v>
      </c>
      <c r="T138" s="6">
        <f t="shared" si="28"/>
        <v>0</v>
      </c>
      <c r="V138" s="13" t="e">
        <f t="shared" si="24"/>
        <v>#REF!</v>
      </c>
      <c r="W138">
        <f t="shared" si="24"/>
        <v>0</v>
      </c>
      <c r="X138">
        <f t="shared" si="29"/>
        <v>0</v>
      </c>
      <c r="Y138" s="6">
        <f t="shared" si="30"/>
        <v>0</v>
      </c>
    </row>
    <row r="139" spans="1:25" x14ac:dyDescent="0.3">
      <c r="A139" t="str">
        <f>'rockfish harvests'!A143</f>
        <v>SC</v>
      </c>
      <c r="B139">
        <f>'rockfish harvests'!B143</f>
        <v>2014</v>
      </c>
      <c r="C139" t="str">
        <f>'rockfish harvests'!C143</f>
        <v>NG</v>
      </c>
      <c r="D139">
        <f>'rockfish harvests'!D143</f>
        <v>37025</v>
      </c>
      <c r="E139">
        <f>'YE harvest'!E144</f>
        <v>5089</v>
      </c>
      <c r="H139" s="13" t="e">
        <f>#REF!</f>
        <v>#REF!</v>
      </c>
      <c r="I139">
        <f t="shared" si="23"/>
        <v>0</v>
      </c>
      <c r="J139">
        <f t="shared" si="25"/>
        <v>0</v>
      </c>
      <c r="K139" s="6">
        <f t="shared" si="26"/>
        <v>0</v>
      </c>
      <c r="M139" s="2">
        <f>'rockfish harvests'!O143</f>
        <v>21744.197040285006</v>
      </c>
      <c r="N139">
        <f>'rockfish harvests'!P143</f>
        <v>6732768.2681420343</v>
      </c>
      <c r="Q139" s="13">
        <f t="shared" si="39"/>
        <v>0</v>
      </c>
      <c r="R139" s="14">
        <f t="shared" si="40"/>
        <v>0</v>
      </c>
      <c r="S139">
        <f t="shared" si="27"/>
        <v>0</v>
      </c>
      <c r="T139" s="6">
        <f t="shared" si="28"/>
        <v>0</v>
      </c>
      <c r="V139" s="13" t="e">
        <f t="shared" si="24"/>
        <v>#REF!</v>
      </c>
      <c r="W139">
        <f t="shared" si="24"/>
        <v>0</v>
      </c>
      <c r="X139">
        <f t="shared" si="29"/>
        <v>0</v>
      </c>
      <c r="Y139" s="6">
        <f t="shared" si="30"/>
        <v>0</v>
      </c>
    </row>
    <row r="140" spans="1:25" x14ac:dyDescent="0.3">
      <c r="A140" t="str">
        <f>'rockfish harvests'!A144</f>
        <v>SC</v>
      </c>
      <c r="B140">
        <f>'rockfish harvests'!B144</f>
        <v>2015</v>
      </c>
      <c r="C140" t="str">
        <f>'rockfish harvests'!C144</f>
        <v>NG</v>
      </c>
      <c r="D140">
        <f>'rockfish harvests'!D144</f>
        <v>45883</v>
      </c>
      <c r="E140">
        <f>'YE harvest'!E145</f>
        <v>6139</v>
      </c>
      <c r="H140" s="13" t="e">
        <f>#REF!</f>
        <v>#REF!</v>
      </c>
      <c r="I140">
        <f t="shared" si="23"/>
        <v>0</v>
      </c>
      <c r="J140">
        <f t="shared" si="25"/>
        <v>0</v>
      </c>
      <c r="K140" s="6">
        <f t="shared" si="26"/>
        <v>0</v>
      </c>
      <c r="M140" s="2">
        <f>'rockfish harvests'!O144</f>
        <v>24091.13981323161</v>
      </c>
      <c r="N140">
        <f>'rockfish harvests'!P144</f>
        <v>7216831.4803412473</v>
      </c>
      <c r="Q140" s="13">
        <f t="shared" si="39"/>
        <v>0</v>
      </c>
      <c r="R140" s="14">
        <f t="shared" si="40"/>
        <v>0</v>
      </c>
      <c r="S140">
        <f t="shared" si="27"/>
        <v>0</v>
      </c>
      <c r="T140" s="6">
        <f t="shared" si="28"/>
        <v>0</v>
      </c>
      <c r="V140" s="13" t="e">
        <f t="shared" si="24"/>
        <v>#REF!</v>
      </c>
      <c r="W140">
        <f t="shared" si="24"/>
        <v>0</v>
      </c>
      <c r="X140">
        <f t="shared" si="29"/>
        <v>0</v>
      </c>
      <c r="Y140" s="6">
        <f t="shared" si="30"/>
        <v>0</v>
      </c>
    </row>
    <row r="141" spans="1:25" x14ac:dyDescent="0.3">
      <c r="A141" t="str">
        <f>'rockfish harvests'!A145</f>
        <v>SC</v>
      </c>
      <c r="B141">
        <f>'rockfish harvests'!B145</f>
        <v>2016</v>
      </c>
      <c r="C141" t="str">
        <f>'rockfish harvests'!C145</f>
        <v>NG</v>
      </c>
      <c r="D141">
        <f>'rockfish harvests'!D145</f>
        <v>56991</v>
      </c>
      <c r="E141">
        <f>'YE harvest'!E146</f>
        <v>7838</v>
      </c>
      <c r="H141" s="13" t="e">
        <f>#REF!</f>
        <v>#REF!</v>
      </c>
      <c r="I141">
        <f t="shared" si="23"/>
        <v>0</v>
      </c>
      <c r="J141">
        <f t="shared" si="25"/>
        <v>0</v>
      </c>
      <c r="K141" s="6">
        <f t="shared" si="26"/>
        <v>0</v>
      </c>
      <c r="M141" s="2">
        <f>'rockfish harvests'!O145</f>
        <v>21657.041703490948</v>
      </c>
      <c r="N141">
        <f>'rockfish harvests'!P145</f>
        <v>6461271.9983784193</v>
      </c>
      <c r="Q141" s="13">
        <f t="shared" si="39"/>
        <v>0</v>
      </c>
      <c r="R141" s="14">
        <f t="shared" si="40"/>
        <v>0</v>
      </c>
      <c r="S141">
        <f t="shared" si="27"/>
        <v>0</v>
      </c>
      <c r="T141" s="6">
        <f t="shared" si="28"/>
        <v>0</v>
      </c>
      <c r="V141" s="13" t="e">
        <f t="shared" si="24"/>
        <v>#REF!</v>
      </c>
      <c r="W141">
        <f t="shared" si="24"/>
        <v>0</v>
      </c>
      <c r="X141">
        <f t="shared" si="29"/>
        <v>0</v>
      </c>
      <c r="Y141" s="6">
        <f t="shared" si="30"/>
        <v>0</v>
      </c>
    </row>
    <row r="142" spans="1:25" x14ac:dyDescent="0.3">
      <c r="A142" t="str">
        <f>'rockfish harvests'!A146</f>
        <v>SC</v>
      </c>
      <c r="B142">
        <f>'rockfish harvests'!B146</f>
        <v>2017</v>
      </c>
      <c r="C142" t="str">
        <f>'rockfish harvests'!C146</f>
        <v>NG</v>
      </c>
      <c r="D142">
        <f>'rockfish harvests'!D146</f>
        <v>38626</v>
      </c>
      <c r="E142">
        <f>'YE harvest'!E147</f>
        <v>6291</v>
      </c>
      <c r="H142" s="13" t="e">
        <f>#REF!</f>
        <v>#REF!</v>
      </c>
      <c r="I142">
        <f t="shared" si="23"/>
        <v>0</v>
      </c>
      <c r="J142">
        <f t="shared" si="25"/>
        <v>0</v>
      </c>
      <c r="K142" s="6">
        <f t="shared" si="26"/>
        <v>0</v>
      </c>
      <c r="M142" s="2">
        <f>'rockfish harvests'!O146</f>
        <v>15237.511532831981</v>
      </c>
      <c r="N142">
        <f>'rockfish harvests'!P146</f>
        <v>3824430.6766507281</v>
      </c>
      <c r="Q142" s="13">
        <f t="shared" si="39"/>
        <v>0</v>
      </c>
      <c r="R142" s="14">
        <f t="shared" si="40"/>
        <v>0</v>
      </c>
      <c r="S142">
        <f t="shared" si="27"/>
        <v>0</v>
      </c>
      <c r="T142" s="6">
        <f t="shared" si="28"/>
        <v>0</v>
      </c>
      <c r="V142" s="13" t="e">
        <f t="shared" si="24"/>
        <v>#REF!</v>
      </c>
      <c r="W142">
        <f t="shared" si="24"/>
        <v>0</v>
      </c>
      <c r="X142">
        <f t="shared" si="29"/>
        <v>0</v>
      </c>
      <c r="Y142" s="6">
        <f t="shared" si="30"/>
        <v>0</v>
      </c>
    </row>
    <row r="143" spans="1:25" x14ac:dyDescent="0.3">
      <c r="A143" t="str">
        <f>'rockfish harvests'!A147</f>
        <v>SC</v>
      </c>
      <c r="B143">
        <f>'rockfish harvests'!B147</f>
        <v>2018</v>
      </c>
      <c r="C143" t="str">
        <f>'rockfish harvests'!C147</f>
        <v>NG</v>
      </c>
      <c r="D143">
        <f>'rockfish harvests'!D147</f>
        <v>50115</v>
      </c>
      <c r="E143">
        <f>'YE harvest'!E148</f>
        <v>8269</v>
      </c>
      <c r="H143" s="13" t="e">
        <f>#REF!</f>
        <v>#REF!</v>
      </c>
      <c r="I143">
        <f t="shared" si="23"/>
        <v>0</v>
      </c>
      <c r="J143">
        <f t="shared" si="25"/>
        <v>0</v>
      </c>
      <c r="K143" s="6">
        <f t="shared" si="26"/>
        <v>0</v>
      </c>
      <c r="M143" s="2">
        <f>'rockfish harvests'!O147</f>
        <v>18807.337515014005</v>
      </c>
      <c r="N143">
        <f>'rockfish harvests'!P147</f>
        <v>5909265.1225642972</v>
      </c>
      <c r="Q143" s="13">
        <f t="shared" si="39"/>
        <v>0</v>
      </c>
      <c r="R143" s="14">
        <f t="shared" si="40"/>
        <v>0</v>
      </c>
      <c r="S143">
        <f t="shared" si="27"/>
        <v>0</v>
      </c>
      <c r="T143" s="6">
        <f t="shared" si="28"/>
        <v>0</v>
      </c>
      <c r="V143" s="13" t="e">
        <f t="shared" si="24"/>
        <v>#REF!</v>
      </c>
      <c r="W143">
        <f t="shared" si="24"/>
        <v>0</v>
      </c>
      <c r="X143">
        <f t="shared" si="29"/>
        <v>0</v>
      </c>
      <c r="Y143" s="6">
        <f t="shared" si="30"/>
        <v>0</v>
      </c>
    </row>
    <row r="144" spans="1:25" x14ac:dyDescent="0.3">
      <c r="A144" t="str">
        <f>'rockfish harvests'!A148</f>
        <v>SC</v>
      </c>
      <c r="B144">
        <f>'rockfish harvests'!B148</f>
        <v>2019</v>
      </c>
      <c r="C144" t="str">
        <f>'rockfish harvests'!C148</f>
        <v>NG</v>
      </c>
      <c r="D144">
        <f>'rockfish harvests'!D148</f>
        <v>64565</v>
      </c>
      <c r="E144">
        <f>'YE harvest'!E149</f>
        <v>9526</v>
      </c>
      <c r="I144">
        <f t="shared" ref="I144:I145" si="41">(E144^2)*G144</f>
        <v>0</v>
      </c>
      <c r="J144">
        <f t="shared" ref="J144:J145" si="42">SQRT(I144)</f>
        <v>0</v>
      </c>
      <c r="K144" s="6">
        <f t="shared" ref="K144:K145" si="43">(1.96*J144)</f>
        <v>0</v>
      </c>
      <c r="M144" s="2">
        <f>'rockfish harvests'!O148</f>
        <v>30264.472570734768</v>
      </c>
      <c r="N144">
        <f>'rockfish harvests'!P148</f>
        <v>14426596.252648354</v>
      </c>
      <c r="R144" s="14"/>
      <c r="S144"/>
      <c r="T144" s="6"/>
      <c r="Y144" s="6"/>
    </row>
    <row r="145" spans="1:25" x14ac:dyDescent="0.3">
      <c r="A145" t="str">
        <f>'rockfish harvests'!A149</f>
        <v>SC</v>
      </c>
      <c r="B145">
        <f>'rockfish harvests'!B149</f>
        <v>2020</v>
      </c>
      <c r="C145" t="str">
        <f>'rockfish harvests'!C149</f>
        <v>NG</v>
      </c>
      <c r="D145">
        <f>'rockfish harvests'!D149</f>
        <v>43363</v>
      </c>
      <c r="E145">
        <f>'YE harvest'!E150</f>
        <v>6211</v>
      </c>
      <c r="I145">
        <f t="shared" si="41"/>
        <v>0</v>
      </c>
      <c r="J145">
        <f t="shared" si="42"/>
        <v>0</v>
      </c>
      <c r="K145" s="6">
        <f t="shared" si="43"/>
        <v>0</v>
      </c>
      <c r="M145" s="2">
        <f>'rockfish harvests'!O149</f>
        <v>14406.767557261875</v>
      </c>
      <c r="N145">
        <f>'rockfish harvests'!P149</f>
        <v>3787465.8304927479</v>
      </c>
      <c r="R145" s="14"/>
      <c r="S145"/>
      <c r="T145" s="6"/>
      <c r="Y145" s="6"/>
    </row>
    <row r="146" spans="1:25" x14ac:dyDescent="0.3">
      <c r="A146" t="str">
        <f>'rockfish harvests'!A150</f>
        <v>SC</v>
      </c>
      <c r="B146">
        <f>'rockfish harvests'!B150</f>
        <v>2021</v>
      </c>
      <c r="C146" t="str">
        <f>'rockfish harvests'!C150</f>
        <v>NG</v>
      </c>
      <c r="D146">
        <f>'rockfish harvests'!D150</f>
        <v>83097</v>
      </c>
      <c r="E146">
        <f>'YE harvest'!E151</f>
        <v>9825</v>
      </c>
      <c r="K146" s="6"/>
      <c r="M146" s="2">
        <f>'rockfish harvests'!O150</f>
        <v>24593.025482509038</v>
      </c>
      <c r="N146">
        <f>'rockfish harvests'!P150</f>
        <v>11012636.577756885</v>
      </c>
      <c r="R146" s="14"/>
      <c r="S146"/>
      <c r="T146" s="6"/>
      <c r="Y146" s="6"/>
    </row>
    <row r="147" spans="1:25" x14ac:dyDescent="0.3">
      <c r="A147" t="str">
        <f>'rockfish harvests'!A152</f>
        <v>SC</v>
      </c>
      <c r="B147">
        <f>'rockfish harvests'!B152</f>
        <v>1998</v>
      </c>
      <c r="C147" t="str">
        <f>'rockfish harvests'!C152</f>
        <v>NORTHEAS</v>
      </c>
      <c r="D147">
        <f>'rockfish harvests'!D152</f>
        <v>1488</v>
      </c>
      <c r="E147">
        <f>'YE harvest'!E153</f>
        <v>511</v>
      </c>
      <c r="F147" s="38"/>
      <c r="G147" s="39"/>
      <c r="H147" s="13">
        <f t="shared" ref="H147:H154" si="44">E147*F147</f>
        <v>0</v>
      </c>
      <c r="I147">
        <f t="shared" si="23"/>
        <v>0</v>
      </c>
      <c r="J147">
        <f t="shared" si="25"/>
        <v>0</v>
      </c>
      <c r="K147" s="6">
        <f t="shared" si="26"/>
        <v>0</v>
      </c>
      <c r="M147" s="2">
        <f>'rockfish harvests'!O152</f>
        <v>1158.751507803267</v>
      </c>
      <c r="N147">
        <f>'rockfish harvests'!P152</f>
        <v>130721.74657888399</v>
      </c>
      <c r="Q147" s="13">
        <f t="shared" si="39"/>
        <v>0</v>
      </c>
      <c r="R147" s="14">
        <f t="shared" si="40"/>
        <v>0</v>
      </c>
      <c r="S147">
        <f t="shared" si="27"/>
        <v>0</v>
      </c>
      <c r="T147" s="6">
        <f t="shared" si="28"/>
        <v>0</v>
      </c>
      <c r="V147" s="13">
        <f t="shared" si="24"/>
        <v>0</v>
      </c>
      <c r="W147">
        <f t="shared" si="24"/>
        <v>0</v>
      </c>
      <c r="X147">
        <f t="shared" si="29"/>
        <v>0</v>
      </c>
      <c r="Y147" s="6">
        <f t="shared" si="30"/>
        <v>0</v>
      </c>
    </row>
    <row r="148" spans="1:25" x14ac:dyDescent="0.3">
      <c r="A148" t="str">
        <f>'rockfish harvests'!A153</f>
        <v>SC</v>
      </c>
      <c r="B148">
        <f>'rockfish harvests'!B153</f>
        <v>1999</v>
      </c>
      <c r="C148" t="str">
        <f>'rockfish harvests'!C153</f>
        <v>NORTHEAS</v>
      </c>
      <c r="D148">
        <f>'rockfish harvests'!D153</f>
        <v>1866</v>
      </c>
      <c r="E148">
        <f>'YE harvest'!E154</f>
        <v>177</v>
      </c>
      <c r="F148" s="38"/>
      <c r="G148" s="39"/>
      <c r="H148" s="13">
        <f t="shared" si="44"/>
        <v>0</v>
      </c>
      <c r="I148">
        <f t="shared" si="23"/>
        <v>0</v>
      </c>
      <c r="J148">
        <f t="shared" si="25"/>
        <v>0</v>
      </c>
      <c r="K148" s="6">
        <f t="shared" si="26"/>
        <v>0</v>
      </c>
      <c r="M148" s="2">
        <f>'rockfish harvests'!O153</f>
        <v>1453.1117698661938</v>
      </c>
      <c r="N148">
        <f>'rockfish harvests'!P153</f>
        <v>205572.61399024838</v>
      </c>
      <c r="Q148" s="13">
        <f t="shared" si="39"/>
        <v>0</v>
      </c>
      <c r="R148" s="14">
        <f t="shared" si="40"/>
        <v>0</v>
      </c>
      <c r="S148">
        <f t="shared" si="27"/>
        <v>0</v>
      </c>
      <c r="T148" s="6">
        <f t="shared" si="28"/>
        <v>0</v>
      </c>
      <c r="V148" s="13">
        <f t="shared" si="24"/>
        <v>0</v>
      </c>
      <c r="W148">
        <f t="shared" si="24"/>
        <v>0</v>
      </c>
      <c r="X148">
        <f t="shared" si="29"/>
        <v>0</v>
      </c>
      <c r="Y148" s="6">
        <f t="shared" si="30"/>
        <v>0</v>
      </c>
    </row>
    <row r="149" spans="1:25" x14ac:dyDescent="0.3">
      <c r="A149" t="str">
        <f>'rockfish harvests'!A154</f>
        <v>SC</v>
      </c>
      <c r="B149">
        <f>'rockfish harvests'!B154</f>
        <v>2000</v>
      </c>
      <c r="C149" t="str">
        <f>'rockfish harvests'!C154</f>
        <v>NORTHEAS</v>
      </c>
      <c r="D149">
        <f>'rockfish harvests'!D154</f>
        <v>2115</v>
      </c>
      <c r="E149">
        <f>'YE harvest'!E155</f>
        <v>250</v>
      </c>
      <c r="F149" s="38"/>
      <c r="G149" s="39"/>
      <c r="H149" s="13">
        <f t="shared" si="44"/>
        <v>0</v>
      </c>
      <c r="I149">
        <f t="shared" ref="I149:I221" si="45">(E149^2)*G149</f>
        <v>0</v>
      </c>
      <c r="J149">
        <f t="shared" si="25"/>
        <v>0</v>
      </c>
      <c r="K149" s="6">
        <f t="shared" si="26"/>
        <v>0</v>
      </c>
      <c r="M149" s="2">
        <f>'rockfish harvests'!O154</f>
        <v>1647.0157520187568</v>
      </c>
      <c r="N149">
        <f>'rockfish harvests'!P154</f>
        <v>264096.54694560438</v>
      </c>
      <c r="Q149" s="13">
        <f t="shared" si="39"/>
        <v>0</v>
      </c>
      <c r="R149" s="14">
        <f t="shared" si="40"/>
        <v>0</v>
      </c>
      <c r="S149">
        <f t="shared" si="27"/>
        <v>0</v>
      </c>
      <c r="T149" s="6">
        <f t="shared" si="28"/>
        <v>0</v>
      </c>
      <c r="V149" s="13">
        <f t="shared" ref="V149:W221" si="46">Q149+H149</f>
        <v>0</v>
      </c>
      <c r="W149">
        <f t="shared" si="46"/>
        <v>0</v>
      </c>
      <c r="X149">
        <f t="shared" si="29"/>
        <v>0</v>
      </c>
      <c r="Y149" s="6">
        <f t="shared" si="30"/>
        <v>0</v>
      </c>
    </row>
    <row r="150" spans="1:25" x14ac:dyDescent="0.3">
      <c r="A150" t="str">
        <f>'rockfish harvests'!A155</f>
        <v>SC</v>
      </c>
      <c r="B150">
        <f>'rockfish harvests'!B155</f>
        <v>2001</v>
      </c>
      <c r="C150" t="str">
        <f>'rockfish harvests'!C155</f>
        <v>NORTHEAS</v>
      </c>
      <c r="D150">
        <f>'rockfish harvests'!D155</f>
        <v>2081</v>
      </c>
      <c r="E150">
        <f>'YE harvest'!E156</f>
        <v>227</v>
      </c>
      <c r="F150" s="38"/>
      <c r="G150" s="39"/>
      <c r="H150" s="13">
        <f t="shared" si="44"/>
        <v>0</v>
      </c>
      <c r="I150">
        <f t="shared" si="45"/>
        <v>0</v>
      </c>
      <c r="J150">
        <f t="shared" ref="J150:J222" si="47">SQRT(I150)</f>
        <v>0</v>
      </c>
      <c r="K150" s="6">
        <f t="shared" ref="K150:K222" si="48">(1.96*J150)</f>
        <v>0</v>
      </c>
      <c r="M150" s="2">
        <f>'rockfish harvests'!O155</f>
        <v>1620.5389030501337</v>
      </c>
      <c r="N150">
        <f>'rockfish harvests'!P155</f>
        <v>255673.74912670467</v>
      </c>
      <c r="Q150" s="13">
        <f t="shared" si="39"/>
        <v>0</v>
      </c>
      <c r="R150" s="14">
        <f t="shared" si="40"/>
        <v>0</v>
      </c>
      <c r="S150">
        <f t="shared" ref="S150:S222" si="49">SQRT(R150)</f>
        <v>0</v>
      </c>
      <c r="T150" s="6">
        <f t="shared" ref="T150:T222" si="50">(1.96*S150)</f>
        <v>0</v>
      </c>
      <c r="V150" s="13">
        <f t="shared" si="46"/>
        <v>0</v>
      </c>
      <c r="W150">
        <f t="shared" si="46"/>
        <v>0</v>
      </c>
      <c r="X150">
        <f t="shared" ref="X150:X222" si="51">SQRT(W150)</f>
        <v>0</v>
      </c>
      <c r="Y150" s="6">
        <f t="shared" ref="Y150:Y222" si="52">(1.96*X150)</f>
        <v>0</v>
      </c>
    </row>
    <row r="151" spans="1:25" x14ac:dyDescent="0.3">
      <c r="A151" t="str">
        <f>'rockfish harvests'!A156</f>
        <v>SC</v>
      </c>
      <c r="B151">
        <f>'rockfish harvests'!B156</f>
        <v>2002</v>
      </c>
      <c r="C151" t="str">
        <f>'rockfish harvests'!C156</f>
        <v>NORTHEAS</v>
      </c>
      <c r="D151">
        <f>'rockfish harvests'!D156</f>
        <v>2262</v>
      </c>
      <c r="E151">
        <f>'YE harvest'!E157</f>
        <v>210</v>
      </c>
      <c r="F151" s="38"/>
      <c r="G151" s="39"/>
      <c r="H151" s="13">
        <f t="shared" si="44"/>
        <v>0</v>
      </c>
      <c r="I151">
        <f t="shared" si="45"/>
        <v>0</v>
      </c>
      <c r="J151">
        <f t="shared" si="47"/>
        <v>0</v>
      </c>
      <c r="K151" s="6">
        <f t="shared" si="48"/>
        <v>0</v>
      </c>
      <c r="M151" s="2">
        <f>'rockfish harvests'!O156</f>
        <v>1761.4891872654503</v>
      </c>
      <c r="N151">
        <f>'rockfish harvests'!P156</f>
        <v>302083.62252065231</v>
      </c>
      <c r="Q151" s="13">
        <f t="shared" si="39"/>
        <v>0</v>
      </c>
      <c r="R151" s="14">
        <f t="shared" si="40"/>
        <v>0</v>
      </c>
      <c r="S151">
        <f t="shared" si="49"/>
        <v>0</v>
      </c>
      <c r="T151" s="6">
        <f t="shared" si="50"/>
        <v>0</v>
      </c>
      <c r="V151" s="13">
        <f t="shared" si="46"/>
        <v>0</v>
      </c>
      <c r="W151">
        <f t="shared" si="46"/>
        <v>0</v>
      </c>
      <c r="X151">
        <f t="shared" si="51"/>
        <v>0</v>
      </c>
      <c r="Y151" s="6">
        <f t="shared" si="52"/>
        <v>0</v>
      </c>
    </row>
    <row r="152" spans="1:25" x14ac:dyDescent="0.3">
      <c r="A152" t="str">
        <f>'rockfish harvests'!A157</f>
        <v>SC</v>
      </c>
      <c r="B152">
        <f>'rockfish harvests'!B157</f>
        <v>2003</v>
      </c>
      <c r="C152" t="str">
        <f>'rockfish harvests'!C157</f>
        <v>NORTHEAS</v>
      </c>
      <c r="D152">
        <f>'rockfish harvests'!D157</f>
        <v>2743</v>
      </c>
      <c r="E152">
        <f>'YE harvest'!E158</f>
        <v>266</v>
      </c>
      <c r="F152" s="38"/>
      <c r="G152" s="39"/>
      <c r="H152" s="13">
        <f t="shared" si="44"/>
        <v>0</v>
      </c>
      <c r="I152">
        <f t="shared" si="45"/>
        <v>0</v>
      </c>
      <c r="J152">
        <f t="shared" si="47"/>
        <v>0</v>
      </c>
      <c r="K152" s="6">
        <f t="shared" si="48"/>
        <v>0</v>
      </c>
      <c r="M152" s="2">
        <f>'rockfish harvests'!O157</f>
        <v>2136.0587270862643</v>
      </c>
      <c r="N152">
        <f>'rockfish harvests'!P157</f>
        <v>444215.38374428463</v>
      </c>
      <c r="Q152" s="13">
        <f t="shared" si="39"/>
        <v>0</v>
      </c>
      <c r="R152" s="14">
        <f t="shared" si="40"/>
        <v>0</v>
      </c>
      <c r="S152">
        <f t="shared" si="49"/>
        <v>0</v>
      </c>
      <c r="T152" s="6">
        <f t="shared" si="50"/>
        <v>0</v>
      </c>
      <c r="V152" s="13">
        <f t="shared" si="46"/>
        <v>0</v>
      </c>
      <c r="W152">
        <f t="shared" si="46"/>
        <v>0</v>
      </c>
      <c r="X152">
        <f t="shared" si="51"/>
        <v>0</v>
      </c>
      <c r="Y152" s="6">
        <f t="shared" si="52"/>
        <v>0</v>
      </c>
    </row>
    <row r="153" spans="1:25" x14ac:dyDescent="0.3">
      <c r="A153" t="str">
        <f>'rockfish harvests'!A158</f>
        <v>SC</v>
      </c>
      <c r="B153">
        <f>'rockfish harvests'!B158</f>
        <v>2004</v>
      </c>
      <c r="C153" t="str">
        <f>'rockfish harvests'!C158</f>
        <v>NORTHEAS</v>
      </c>
      <c r="D153">
        <f>'rockfish harvests'!D158</f>
        <v>3291</v>
      </c>
      <c r="E153">
        <f>'YE harvest'!E159</f>
        <v>223</v>
      </c>
      <c r="F153" s="38"/>
      <c r="G153" s="39"/>
      <c r="H153" s="13">
        <f t="shared" si="44"/>
        <v>0</v>
      </c>
      <c r="I153">
        <f t="shared" si="45"/>
        <v>0</v>
      </c>
      <c r="J153">
        <f t="shared" si="47"/>
        <v>0</v>
      </c>
      <c r="K153" s="6">
        <f t="shared" si="48"/>
        <v>0</v>
      </c>
      <c r="M153" s="2">
        <f>'rockfish harvests'!O158</f>
        <v>2562.8032339923066</v>
      </c>
      <c r="N153">
        <f>'rockfish harvests'!P158</f>
        <v>639436.97291537211</v>
      </c>
      <c r="Q153" s="13">
        <f t="shared" si="39"/>
        <v>0</v>
      </c>
      <c r="R153" s="14">
        <f t="shared" si="40"/>
        <v>0</v>
      </c>
      <c r="S153">
        <f t="shared" si="49"/>
        <v>0</v>
      </c>
      <c r="T153" s="6">
        <f t="shared" si="50"/>
        <v>0</v>
      </c>
      <c r="V153" s="13">
        <f t="shared" si="46"/>
        <v>0</v>
      </c>
      <c r="W153">
        <f t="shared" si="46"/>
        <v>0</v>
      </c>
      <c r="X153">
        <f t="shared" si="51"/>
        <v>0</v>
      </c>
      <c r="Y153" s="6">
        <f t="shared" si="52"/>
        <v>0</v>
      </c>
    </row>
    <row r="154" spans="1:25" x14ac:dyDescent="0.3">
      <c r="A154" t="str">
        <f>'rockfish harvests'!A159</f>
        <v>SC</v>
      </c>
      <c r="B154">
        <f>'rockfish harvests'!B159</f>
        <v>2005</v>
      </c>
      <c r="C154" t="str">
        <f>'rockfish harvests'!C159</f>
        <v>NORTHEAS</v>
      </c>
      <c r="D154">
        <f>'rockfish harvests'!D159</f>
        <v>4641</v>
      </c>
      <c r="E154">
        <f>'YE harvest'!E160</f>
        <v>316</v>
      </c>
      <c r="F154" s="38"/>
      <c r="G154" s="39"/>
      <c r="H154" s="13">
        <f t="shared" si="44"/>
        <v>0</v>
      </c>
      <c r="I154">
        <f t="shared" si="45"/>
        <v>0</v>
      </c>
      <c r="J154">
        <f t="shared" si="47"/>
        <v>0</v>
      </c>
      <c r="K154" s="6">
        <f t="shared" si="48"/>
        <v>0</v>
      </c>
      <c r="M154" s="2">
        <f>'rockfish harvests'!O159</f>
        <v>3614.0898842170445</v>
      </c>
      <c r="N154">
        <f>'rockfish harvests'!P159</f>
        <v>1271642.7403433286</v>
      </c>
      <c r="Q154" s="13">
        <f t="shared" si="39"/>
        <v>0</v>
      </c>
      <c r="R154" s="14">
        <f t="shared" si="40"/>
        <v>0</v>
      </c>
      <c r="S154">
        <f t="shared" si="49"/>
        <v>0</v>
      </c>
      <c r="T154" s="6">
        <f t="shared" si="50"/>
        <v>0</v>
      </c>
      <c r="V154" s="13">
        <f t="shared" si="46"/>
        <v>0</v>
      </c>
      <c r="W154">
        <f t="shared" si="46"/>
        <v>0</v>
      </c>
      <c r="X154">
        <f t="shared" si="51"/>
        <v>0</v>
      </c>
      <c r="Y154" s="6">
        <f t="shared" si="52"/>
        <v>0</v>
      </c>
    </row>
    <row r="155" spans="1:25" x14ac:dyDescent="0.3">
      <c r="A155" t="str">
        <f>'rockfish harvests'!A160</f>
        <v>SC</v>
      </c>
      <c r="B155">
        <f>'rockfish harvests'!B160</f>
        <v>2006</v>
      </c>
      <c r="C155" t="str">
        <f>'rockfish harvests'!C160</f>
        <v>NORTHEAS</v>
      </c>
      <c r="D155">
        <f>'rockfish harvests'!D160</f>
        <v>3693</v>
      </c>
      <c r="E155">
        <f>'YE harvest'!E161</f>
        <v>174</v>
      </c>
      <c r="H155" s="13" t="e">
        <f>#REF!</f>
        <v>#REF!</v>
      </c>
      <c r="I155">
        <f t="shared" si="45"/>
        <v>0</v>
      </c>
      <c r="J155">
        <f t="shared" si="47"/>
        <v>0</v>
      </c>
      <c r="K155" s="6">
        <f t="shared" si="48"/>
        <v>0</v>
      </c>
      <c r="M155" s="2">
        <f>'rockfish harvests'!O160</f>
        <v>2875.8530365036731</v>
      </c>
      <c r="N155">
        <f>'rockfish harvests'!P160</f>
        <v>805194.11996587296</v>
      </c>
      <c r="Q155" s="13">
        <f t="shared" si="39"/>
        <v>0</v>
      </c>
      <c r="R155" s="14">
        <f t="shared" si="40"/>
        <v>0</v>
      </c>
      <c r="S155">
        <f t="shared" si="49"/>
        <v>0</v>
      </c>
      <c r="T155" s="6">
        <f t="shared" si="50"/>
        <v>0</v>
      </c>
      <c r="V155" s="13" t="e">
        <f t="shared" si="46"/>
        <v>#REF!</v>
      </c>
      <c r="W155">
        <f t="shared" si="46"/>
        <v>0</v>
      </c>
      <c r="X155">
        <f t="shared" si="51"/>
        <v>0</v>
      </c>
      <c r="Y155" s="6">
        <f t="shared" si="52"/>
        <v>0</v>
      </c>
    </row>
    <row r="156" spans="1:25" x14ac:dyDescent="0.3">
      <c r="A156" t="str">
        <f>'rockfish harvests'!A161</f>
        <v>SC</v>
      </c>
      <c r="B156">
        <f>'rockfish harvests'!B161</f>
        <v>2007</v>
      </c>
      <c r="C156" t="str">
        <f>'rockfish harvests'!C161</f>
        <v>NORTHEAS</v>
      </c>
      <c r="D156">
        <f>'rockfish harvests'!D161</f>
        <v>5080</v>
      </c>
      <c r="E156">
        <f>'YE harvest'!E162</f>
        <v>428</v>
      </c>
      <c r="H156" s="13" t="e">
        <f>#REF!</f>
        <v>#REF!</v>
      </c>
      <c r="I156">
        <f t="shared" si="45"/>
        <v>0</v>
      </c>
      <c r="J156">
        <f t="shared" si="47"/>
        <v>0</v>
      </c>
      <c r="K156" s="6">
        <f t="shared" si="48"/>
        <v>0</v>
      </c>
      <c r="M156" s="2">
        <f>'rockfish harvests'!O161</f>
        <v>3955.9527282530889</v>
      </c>
      <c r="N156">
        <f>'rockfish harvests'!P161</f>
        <v>1523594.5272363999</v>
      </c>
      <c r="Q156" s="13">
        <f t="shared" si="39"/>
        <v>0</v>
      </c>
      <c r="R156" s="14">
        <f t="shared" si="40"/>
        <v>0</v>
      </c>
      <c r="S156">
        <f t="shared" si="49"/>
        <v>0</v>
      </c>
      <c r="T156" s="6">
        <f t="shared" si="50"/>
        <v>0</v>
      </c>
      <c r="V156" s="13" t="e">
        <f t="shared" si="46"/>
        <v>#REF!</v>
      </c>
      <c r="W156">
        <f t="shared" si="46"/>
        <v>0</v>
      </c>
      <c r="X156">
        <f t="shared" si="51"/>
        <v>0</v>
      </c>
      <c r="Y156" s="6">
        <f t="shared" si="52"/>
        <v>0</v>
      </c>
    </row>
    <row r="157" spans="1:25" x14ac:dyDescent="0.3">
      <c r="A157" t="str">
        <f>'rockfish harvests'!A162</f>
        <v>SC</v>
      </c>
      <c r="B157">
        <f>'rockfish harvests'!B162</f>
        <v>2008</v>
      </c>
      <c r="C157" t="str">
        <f>'rockfish harvests'!C162</f>
        <v>NORTHEAS</v>
      </c>
      <c r="D157">
        <f>'rockfish harvests'!D162</f>
        <v>6260</v>
      </c>
      <c r="E157">
        <f>'YE harvest'!E163</f>
        <v>407</v>
      </c>
      <c r="H157" s="13" t="e">
        <f>#REF!</f>
        <v>#REF!</v>
      </c>
      <c r="I157">
        <f t="shared" si="45"/>
        <v>0</v>
      </c>
      <c r="J157">
        <f t="shared" si="47"/>
        <v>0</v>
      </c>
      <c r="K157" s="6">
        <f t="shared" si="48"/>
        <v>0</v>
      </c>
      <c r="M157" s="2">
        <f>'rockfish harvests'!O162</f>
        <v>4874.8551336347118</v>
      </c>
      <c r="N157">
        <f>'rockfish harvests'!P162</f>
        <v>2313612.6269270084</v>
      </c>
      <c r="Q157" s="13">
        <f t="shared" si="39"/>
        <v>0</v>
      </c>
      <c r="R157" s="14">
        <f t="shared" si="40"/>
        <v>0</v>
      </c>
      <c r="S157">
        <f t="shared" si="49"/>
        <v>0</v>
      </c>
      <c r="T157" s="6">
        <f t="shared" si="50"/>
        <v>0</v>
      </c>
      <c r="V157" s="13" t="e">
        <f t="shared" si="46"/>
        <v>#REF!</v>
      </c>
      <c r="W157">
        <f t="shared" si="46"/>
        <v>0</v>
      </c>
      <c r="X157">
        <f t="shared" si="51"/>
        <v>0</v>
      </c>
      <c r="Y157" s="6">
        <f t="shared" si="52"/>
        <v>0</v>
      </c>
    </row>
    <row r="158" spans="1:25" x14ac:dyDescent="0.3">
      <c r="A158" t="str">
        <f>'rockfish harvests'!A163</f>
        <v>SC</v>
      </c>
      <c r="B158">
        <f>'rockfish harvests'!B163</f>
        <v>2009</v>
      </c>
      <c r="C158" t="str">
        <f>'rockfish harvests'!C163</f>
        <v>NORTHEAS</v>
      </c>
      <c r="D158">
        <f>'rockfish harvests'!D163</f>
        <v>6369</v>
      </c>
      <c r="E158">
        <f>'YE harvest'!E164</f>
        <v>282</v>
      </c>
      <c r="H158" s="13" t="e">
        <f>#REF!</f>
        <v>#REF!</v>
      </c>
      <c r="I158">
        <f t="shared" si="45"/>
        <v>0</v>
      </c>
      <c r="J158">
        <f t="shared" si="47"/>
        <v>0</v>
      </c>
      <c r="K158" s="6">
        <f t="shared" si="48"/>
        <v>0</v>
      </c>
      <c r="M158" s="2">
        <f>'rockfish harvests'!O163</f>
        <v>4959.7367965047106</v>
      </c>
      <c r="N158">
        <f>'rockfish harvests'!P163</f>
        <v>2394883.9707024693</v>
      </c>
      <c r="Q158" s="13">
        <f t="shared" si="39"/>
        <v>0</v>
      </c>
      <c r="R158" s="14">
        <f t="shared" si="40"/>
        <v>0</v>
      </c>
      <c r="S158">
        <f t="shared" si="49"/>
        <v>0</v>
      </c>
      <c r="T158" s="6">
        <f t="shared" si="50"/>
        <v>0</v>
      </c>
      <c r="V158" s="13" t="e">
        <f t="shared" si="46"/>
        <v>#REF!</v>
      </c>
      <c r="W158">
        <f t="shared" si="46"/>
        <v>0</v>
      </c>
      <c r="X158">
        <f t="shared" si="51"/>
        <v>0</v>
      </c>
      <c r="Y158" s="6">
        <f t="shared" si="52"/>
        <v>0</v>
      </c>
    </row>
    <row r="159" spans="1:25" x14ac:dyDescent="0.3">
      <c r="A159" t="str">
        <f>'rockfish harvests'!A164</f>
        <v>SC</v>
      </c>
      <c r="B159">
        <f>'rockfish harvests'!B164</f>
        <v>2010</v>
      </c>
      <c r="C159" t="str">
        <f>'rockfish harvests'!C164</f>
        <v>NORTHEAS</v>
      </c>
      <c r="D159">
        <f>'rockfish harvests'!D164</f>
        <v>8141</v>
      </c>
      <c r="E159">
        <f>'YE harvest'!E165</f>
        <v>1433</v>
      </c>
      <c r="H159" s="13" t="e">
        <f>#REF!</f>
        <v>#REF!</v>
      </c>
      <c r="I159">
        <f t="shared" si="45"/>
        <v>0</v>
      </c>
      <c r="J159">
        <f t="shared" si="47"/>
        <v>0</v>
      </c>
      <c r="K159" s="6">
        <f t="shared" si="48"/>
        <v>0</v>
      </c>
      <c r="M159" s="2">
        <f>'rockfish harvests'!O164</f>
        <v>6339.6478662811805</v>
      </c>
      <c r="N159">
        <f>'rockfish harvests'!P164</f>
        <v>3912888.6469779164</v>
      </c>
      <c r="O159" s="21"/>
      <c r="P159" s="21"/>
      <c r="Q159" s="13">
        <f t="shared" si="39"/>
        <v>0</v>
      </c>
      <c r="R159" s="14">
        <f t="shared" si="40"/>
        <v>0</v>
      </c>
      <c r="S159">
        <f t="shared" si="49"/>
        <v>0</v>
      </c>
      <c r="T159" s="6">
        <f t="shared" si="50"/>
        <v>0</v>
      </c>
      <c r="V159" s="13" t="e">
        <f t="shared" si="46"/>
        <v>#REF!</v>
      </c>
      <c r="W159">
        <f t="shared" si="46"/>
        <v>0</v>
      </c>
      <c r="X159">
        <f t="shared" si="51"/>
        <v>0</v>
      </c>
      <c r="Y159" s="6">
        <f t="shared" si="52"/>
        <v>0</v>
      </c>
    </row>
    <row r="160" spans="1:25" x14ac:dyDescent="0.3">
      <c r="A160" t="str">
        <f>'rockfish harvests'!A165</f>
        <v>SC</v>
      </c>
      <c r="B160">
        <f>'rockfish harvests'!B165</f>
        <v>2011</v>
      </c>
      <c r="C160" t="str">
        <f>'rockfish harvests'!C165</f>
        <v>NORTHEAS</v>
      </c>
      <c r="D160">
        <f>'rockfish harvests'!D165</f>
        <v>6904</v>
      </c>
      <c r="E160">
        <f>'YE harvest'!E166</f>
        <v>293</v>
      </c>
      <c r="H160" s="13" t="e">
        <f>#REF!</f>
        <v>#REF!</v>
      </c>
      <c r="I160">
        <f t="shared" si="45"/>
        <v>0</v>
      </c>
      <c r="J160">
        <f t="shared" si="47"/>
        <v>0</v>
      </c>
      <c r="K160" s="6">
        <f t="shared" si="48"/>
        <v>0</v>
      </c>
      <c r="M160" s="2">
        <f>'rockfish harvests'!O165</f>
        <v>6000.5227354099534</v>
      </c>
      <c r="N160">
        <f>'rockfish harvests'!P165</f>
        <v>2122890.1028359062</v>
      </c>
      <c r="Q160" s="13">
        <f t="shared" si="39"/>
        <v>0</v>
      </c>
      <c r="R160" s="14">
        <f t="shared" si="40"/>
        <v>0</v>
      </c>
      <c r="S160">
        <f t="shared" si="49"/>
        <v>0</v>
      </c>
      <c r="T160" s="6">
        <f t="shared" si="50"/>
        <v>0</v>
      </c>
      <c r="V160" s="13" t="e">
        <f t="shared" si="46"/>
        <v>#REF!</v>
      </c>
      <c r="W160">
        <f t="shared" si="46"/>
        <v>0</v>
      </c>
      <c r="X160">
        <f t="shared" si="51"/>
        <v>0</v>
      </c>
      <c r="Y160" s="6">
        <f t="shared" si="52"/>
        <v>0</v>
      </c>
    </row>
    <row r="161" spans="1:25" x14ac:dyDescent="0.3">
      <c r="A161" t="str">
        <f>'rockfish harvests'!A166</f>
        <v>SC</v>
      </c>
      <c r="B161">
        <f>'rockfish harvests'!B166</f>
        <v>2012</v>
      </c>
      <c r="C161" t="str">
        <f>'rockfish harvests'!C166</f>
        <v>NORTHEAS</v>
      </c>
      <c r="D161">
        <f>'rockfish harvests'!D166</f>
        <v>6813</v>
      </c>
      <c r="E161">
        <f>'YE harvest'!E167</f>
        <v>556</v>
      </c>
      <c r="H161" s="13" t="e">
        <f>#REF!</f>
        <v>#REF!</v>
      </c>
      <c r="I161">
        <f t="shared" si="45"/>
        <v>0</v>
      </c>
      <c r="J161">
        <f t="shared" si="47"/>
        <v>0</v>
      </c>
      <c r="K161" s="6">
        <f t="shared" si="48"/>
        <v>0</v>
      </c>
      <c r="M161" s="2">
        <f>'rockfish harvests'!O166</f>
        <v>4938.4793337446008</v>
      </c>
      <c r="N161">
        <f>'rockfish harvests'!P166</f>
        <v>2023168.1052428612</v>
      </c>
      <c r="Q161" s="13">
        <f t="shared" si="39"/>
        <v>0</v>
      </c>
      <c r="R161" s="14">
        <f t="shared" si="40"/>
        <v>0</v>
      </c>
      <c r="S161">
        <f t="shared" si="49"/>
        <v>0</v>
      </c>
      <c r="T161" s="6">
        <f t="shared" si="50"/>
        <v>0</v>
      </c>
      <c r="V161" s="13" t="e">
        <f t="shared" si="46"/>
        <v>#REF!</v>
      </c>
      <c r="W161">
        <f t="shared" si="46"/>
        <v>0</v>
      </c>
      <c r="X161">
        <f t="shared" si="51"/>
        <v>0</v>
      </c>
      <c r="Y161" s="6">
        <f t="shared" si="52"/>
        <v>0</v>
      </c>
    </row>
    <row r="162" spans="1:25" x14ac:dyDescent="0.3">
      <c r="A162" t="str">
        <f>'rockfish harvests'!A167</f>
        <v>SC</v>
      </c>
      <c r="B162">
        <f>'rockfish harvests'!B167</f>
        <v>2013</v>
      </c>
      <c r="C162" t="str">
        <f>'rockfish harvests'!C167</f>
        <v>NORTHEAS</v>
      </c>
      <c r="D162">
        <f>'rockfish harvests'!D167</f>
        <v>9965</v>
      </c>
      <c r="E162">
        <f>'YE harvest'!E168</f>
        <v>638</v>
      </c>
      <c r="H162" s="13" t="e">
        <f>#REF!</f>
        <v>#REF!</v>
      </c>
      <c r="I162">
        <f t="shared" si="45"/>
        <v>0</v>
      </c>
      <c r="J162">
        <f t="shared" si="47"/>
        <v>0</v>
      </c>
      <c r="K162" s="6">
        <f t="shared" si="48"/>
        <v>0</v>
      </c>
      <c r="M162" s="2">
        <f>'rockfish harvests'!O167</f>
        <v>8625.830039525692</v>
      </c>
      <c r="N162">
        <f>'rockfish harvests'!P167</f>
        <v>4761147.9363994701</v>
      </c>
      <c r="Q162" s="13">
        <f t="shared" si="39"/>
        <v>0</v>
      </c>
      <c r="R162" s="14">
        <f t="shared" si="40"/>
        <v>0</v>
      </c>
      <c r="S162">
        <f t="shared" si="49"/>
        <v>0</v>
      </c>
      <c r="T162" s="6">
        <f t="shared" si="50"/>
        <v>0</v>
      </c>
      <c r="V162" s="13" t="e">
        <f t="shared" si="46"/>
        <v>#REF!</v>
      </c>
      <c r="W162">
        <f t="shared" si="46"/>
        <v>0</v>
      </c>
      <c r="X162">
        <f t="shared" si="51"/>
        <v>0</v>
      </c>
      <c r="Y162" s="6">
        <f t="shared" si="52"/>
        <v>0</v>
      </c>
    </row>
    <row r="163" spans="1:25" x14ac:dyDescent="0.3">
      <c r="A163" t="str">
        <f>'rockfish harvests'!A168</f>
        <v>SC</v>
      </c>
      <c r="B163">
        <f>'rockfish harvests'!B168</f>
        <v>2014</v>
      </c>
      <c r="C163" t="str">
        <f>'rockfish harvests'!C168</f>
        <v>NORTHEAS</v>
      </c>
      <c r="D163">
        <f>'rockfish harvests'!D168</f>
        <v>11896</v>
      </c>
      <c r="E163">
        <f>'YE harvest'!E169</f>
        <v>1536</v>
      </c>
      <c r="H163" s="13" t="e">
        <f>#REF!</f>
        <v>#REF!</v>
      </c>
      <c r="I163">
        <f t="shared" si="45"/>
        <v>0</v>
      </c>
      <c r="J163">
        <f t="shared" si="47"/>
        <v>0</v>
      </c>
      <c r="K163" s="6">
        <f t="shared" si="48"/>
        <v>0</v>
      </c>
      <c r="M163" s="2">
        <f>'rockfish harvests'!O168</f>
        <v>5411.0074000986679</v>
      </c>
      <c r="N163">
        <f>'rockfish harvests'!P168</f>
        <v>1633143.8585763292</v>
      </c>
      <c r="Q163" s="13">
        <f t="shared" si="39"/>
        <v>0</v>
      </c>
      <c r="R163" s="14">
        <f t="shared" si="40"/>
        <v>0</v>
      </c>
      <c r="S163">
        <f t="shared" si="49"/>
        <v>0</v>
      </c>
      <c r="T163" s="6">
        <f t="shared" si="50"/>
        <v>0</v>
      </c>
      <c r="V163" s="13" t="e">
        <f t="shared" si="46"/>
        <v>#REF!</v>
      </c>
      <c r="W163">
        <f t="shared" si="46"/>
        <v>0</v>
      </c>
      <c r="X163">
        <f t="shared" si="51"/>
        <v>0</v>
      </c>
      <c r="Y163" s="6">
        <f t="shared" si="52"/>
        <v>0</v>
      </c>
    </row>
    <row r="164" spans="1:25" x14ac:dyDescent="0.3">
      <c r="A164" t="str">
        <f>'rockfish harvests'!A169</f>
        <v>SC</v>
      </c>
      <c r="B164">
        <f>'rockfish harvests'!B169</f>
        <v>2015</v>
      </c>
      <c r="C164" t="str">
        <f>'rockfish harvests'!C169</f>
        <v>NORTHEAS</v>
      </c>
      <c r="D164">
        <f>'rockfish harvests'!D169</f>
        <v>12377</v>
      </c>
      <c r="E164">
        <f>'YE harvest'!E170</f>
        <v>578</v>
      </c>
      <c r="H164" s="13" t="e">
        <f>#REF!</f>
        <v>#REF!</v>
      </c>
      <c r="I164">
        <f t="shared" si="45"/>
        <v>0</v>
      </c>
      <c r="J164">
        <f t="shared" si="47"/>
        <v>0</v>
      </c>
      <c r="K164" s="6">
        <f t="shared" si="48"/>
        <v>0</v>
      </c>
      <c r="M164" s="2">
        <f>'rockfish harvests'!O169</f>
        <v>10776.477406902814</v>
      </c>
      <c r="N164">
        <f>'rockfish harvests'!P169</f>
        <v>10110394.020791385</v>
      </c>
      <c r="Q164" s="13">
        <f t="shared" si="39"/>
        <v>0</v>
      </c>
      <c r="R164" s="14">
        <f t="shared" si="40"/>
        <v>0</v>
      </c>
      <c r="S164">
        <f t="shared" si="49"/>
        <v>0</v>
      </c>
      <c r="T164" s="6">
        <f t="shared" si="50"/>
        <v>0</v>
      </c>
      <c r="V164" s="13" t="e">
        <f t="shared" si="46"/>
        <v>#REF!</v>
      </c>
      <c r="W164">
        <f t="shared" si="46"/>
        <v>0</v>
      </c>
      <c r="X164">
        <f t="shared" si="51"/>
        <v>0</v>
      </c>
      <c r="Y164" s="6">
        <f t="shared" si="52"/>
        <v>0</v>
      </c>
    </row>
    <row r="165" spans="1:25" x14ac:dyDescent="0.3">
      <c r="A165" t="str">
        <f>'rockfish harvests'!A170</f>
        <v>SC</v>
      </c>
      <c r="B165">
        <f>'rockfish harvests'!B170</f>
        <v>2016</v>
      </c>
      <c r="C165" t="str">
        <f>'rockfish harvests'!C170</f>
        <v>NORTHEAS</v>
      </c>
      <c r="D165">
        <f>'rockfish harvests'!D170</f>
        <v>13580</v>
      </c>
      <c r="E165">
        <f>'YE harvest'!E171</f>
        <v>719</v>
      </c>
      <c r="H165" s="13" t="e">
        <f>#REF!</f>
        <v>#REF!</v>
      </c>
      <c r="I165">
        <f t="shared" si="45"/>
        <v>0</v>
      </c>
      <c r="J165">
        <f t="shared" si="47"/>
        <v>0</v>
      </c>
      <c r="K165" s="6">
        <f t="shared" si="48"/>
        <v>0</v>
      </c>
      <c r="M165" s="2">
        <f>'rockfish harvests'!O170</f>
        <v>14147.366319691999</v>
      </c>
      <c r="N165">
        <f>'rockfish harvests'!P170</f>
        <v>22590691.391820997</v>
      </c>
      <c r="Q165" s="13">
        <f t="shared" si="39"/>
        <v>0</v>
      </c>
      <c r="R165" s="14">
        <f t="shared" si="40"/>
        <v>0</v>
      </c>
      <c r="S165">
        <f t="shared" si="49"/>
        <v>0</v>
      </c>
      <c r="T165" s="6">
        <f t="shared" si="50"/>
        <v>0</v>
      </c>
      <c r="V165" s="13" t="e">
        <f t="shared" si="46"/>
        <v>#REF!</v>
      </c>
      <c r="W165">
        <f t="shared" si="46"/>
        <v>0</v>
      </c>
      <c r="X165">
        <f t="shared" si="51"/>
        <v>0</v>
      </c>
      <c r="Y165" s="6">
        <f t="shared" si="52"/>
        <v>0</v>
      </c>
    </row>
    <row r="166" spans="1:25" x14ac:dyDescent="0.3">
      <c r="A166" t="str">
        <f>'rockfish harvests'!A171</f>
        <v>SC</v>
      </c>
      <c r="B166">
        <f>'rockfish harvests'!B171</f>
        <v>2017</v>
      </c>
      <c r="C166" t="str">
        <f>'rockfish harvests'!C171</f>
        <v>NORTHEAS</v>
      </c>
      <c r="D166">
        <f>'rockfish harvests'!D171</f>
        <v>6719</v>
      </c>
      <c r="E166">
        <f>'YE harvest'!E172</f>
        <v>241</v>
      </c>
      <c r="H166" s="13" t="e">
        <f>#REF!</f>
        <v>#REF!</v>
      </c>
      <c r="I166">
        <f t="shared" si="45"/>
        <v>0</v>
      </c>
      <c r="J166">
        <f t="shared" si="47"/>
        <v>0</v>
      </c>
      <c r="K166" s="6">
        <f t="shared" si="48"/>
        <v>0</v>
      </c>
      <c r="M166" s="2">
        <f>'rockfish harvests'!O171</f>
        <v>3758.2825709322533</v>
      </c>
      <c r="N166">
        <f>'rockfish harvests'!P171</f>
        <v>1035822.3149322054</v>
      </c>
      <c r="Q166" s="13">
        <f t="shared" si="39"/>
        <v>0</v>
      </c>
      <c r="R166" s="14">
        <f t="shared" si="40"/>
        <v>0</v>
      </c>
      <c r="S166">
        <f t="shared" si="49"/>
        <v>0</v>
      </c>
      <c r="T166" s="6">
        <f t="shared" si="50"/>
        <v>0</v>
      </c>
      <c r="V166" s="13" t="e">
        <f t="shared" si="46"/>
        <v>#REF!</v>
      </c>
      <c r="W166">
        <f t="shared" si="46"/>
        <v>0</v>
      </c>
      <c r="X166">
        <f t="shared" si="51"/>
        <v>0</v>
      </c>
      <c r="Y166" s="6">
        <f t="shared" si="52"/>
        <v>0</v>
      </c>
    </row>
    <row r="167" spans="1:25" x14ac:dyDescent="0.3">
      <c r="A167" t="str">
        <f>'rockfish harvests'!A172</f>
        <v>SC</v>
      </c>
      <c r="B167">
        <f>'rockfish harvests'!B172</f>
        <v>2018</v>
      </c>
      <c r="C167" t="str">
        <f>'rockfish harvests'!C172</f>
        <v>NORTHEAS</v>
      </c>
      <c r="D167">
        <f>'rockfish harvests'!D172</f>
        <v>8479</v>
      </c>
      <c r="E167">
        <f>'YE harvest'!E173</f>
        <v>316</v>
      </c>
      <c r="H167" s="13" t="e">
        <f>#REF!</f>
        <v>#REF!</v>
      </c>
      <c r="I167">
        <f t="shared" si="45"/>
        <v>0</v>
      </c>
      <c r="J167">
        <f t="shared" si="47"/>
        <v>0</v>
      </c>
      <c r="K167" s="6">
        <f t="shared" si="48"/>
        <v>0</v>
      </c>
      <c r="M167" s="2">
        <f>'rockfish harvests'!O172</f>
        <v>8690.7789084181313</v>
      </c>
      <c r="N167">
        <f>'rockfish harvests'!P172</f>
        <v>6090869.3085533688</v>
      </c>
      <c r="Q167" s="13">
        <f t="shared" si="39"/>
        <v>0</v>
      </c>
      <c r="R167" s="14">
        <f t="shared" si="40"/>
        <v>0</v>
      </c>
      <c r="S167">
        <f t="shared" si="49"/>
        <v>0</v>
      </c>
      <c r="T167" s="6">
        <f t="shared" si="50"/>
        <v>0</v>
      </c>
      <c r="V167" s="13" t="e">
        <f t="shared" si="46"/>
        <v>#REF!</v>
      </c>
      <c r="W167">
        <f t="shared" si="46"/>
        <v>0</v>
      </c>
      <c r="X167">
        <f t="shared" si="51"/>
        <v>0</v>
      </c>
      <c r="Y167" s="6">
        <f t="shared" si="52"/>
        <v>0</v>
      </c>
    </row>
    <row r="168" spans="1:25" x14ac:dyDescent="0.3">
      <c r="A168" t="str">
        <f>'rockfish harvests'!A173</f>
        <v>SC</v>
      </c>
      <c r="B168">
        <f>'rockfish harvests'!B173</f>
        <v>2019</v>
      </c>
      <c r="C168" t="str">
        <f>'rockfish harvests'!C173</f>
        <v>NORTHEAS</v>
      </c>
      <c r="D168">
        <f>'rockfish harvests'!D173</f>
        <v>9881</v>
      </c>
      <c r="E168">
        <f>'YE harvest'!E174</f>
        <v>435</v>
      </c>
      <c r="I168">
        <f t="shared" ref="I168:I169" si="53">(E168^2)*G168</f>
        <v>0</v>
      </c>
      <c r="J168">
        <f t="shared" ref="J168:J169" si="54">SQRT(I168)</f>
        <v>0</v>
      </c>
      <c r="K168" s="6">
        <f t="shared" ref="K168:K169" si="55">(1.96*J168)</f>
        <v>0</v>
      </c>
      <c r="M168" s="2">
        <f>'rockfish harvests'!O173</f>
        <v>10303.660072182862</v>
      </c>
      <c r="N168">
        <f>'rockfish harvests'!P173</f>
        <v>5030013.8598571327</v>
      </c>
      <c r="R168" s="14"/>
      <c r="S168"/>
      <c r="T168" s="6"/>
      <c r="Y168" s="6"/>
    </row>
    <row r="169" spans="1:25" x14ac:dyDescent="0.3">
      <c r="A169" t="str">
        <f>'rockfish harvests'!A174</f>
        <v>SC</v>
      </c>
      <c r="B169">
        <f>'rockfish harvests'!B174</f>
        <v>2020</v>
      </c>
      <c r="C169" t="str">
        <f>'rockfish harvests'!C174</f>
        <v>NORTHEAS</v>
      </c>
      <c r="D169">
        <f>'rockfish harvests'!D174</f>
        <v>4479</v>
      </c>
      <c r="E169">
        <f>'YE harvest'!E175</f>
        <v>296</v>
      </c>
      <c r="I169">
        <f t="shared" si="53"/>
        <v>0</v>
      </c>
      <c r="J169">
        <f t="shared" si="54"/>
        <v>0</v>
      </c>
      <c r="K169" s="6">
        <f t="shared" si="55"/>
        <v>0</v>
      </c>
      <c r="M169" s="2">
        <f>'rockfish harvests'!O174</f>
        <v>5425.9695845697333</v>
      </c>
      <c r="N169">
        <f>'rockfish harvests'!P174</f>
        <v>2642689.7102351333</v>
      </c>
      <c r="R169" s="14"/>
      <c r="S169"/>
      <c r="T169" s="6"/>
      <c r="Y169" s="6"/>
    </row>
    <row r="170" spans="1:25" x14ac:dyDescent="0.3">
      <c r="A170" t="str">
        <f>'rockfish harvests'!A175</f>
        <v>SC</v>
      </c>
      <c r="B170">
        <f>'rockfish harvests'!B175</f>
        <v>2021</v>
      </c>
      <c r="C170" t="str">
        <f>'rockfish harvests'!C175</f>
        <v>NORTHEAS</v>
      </c>
      <c r="D170">
        <f>'rockfish harvests'!D175</f>
        <v>9680</v>
      </c>
      <c r="E170">
        <f>'YE harvest'!E176</f>
        <v>701</v>
      </c>
      <c r="K170" s="6"/>
      <c r="M170" s="2">
        <f>'rockfish harvests'!O175</f>
        <v>6922.7471252241812</v>
      </c>
      <c r="N170">
        <f>'rockfish harvests'!P175</f>
        <v>2666714.9901529583</v>
      </c>
      <c r="R170" s="14"/>
      <c r="S170"/>
      <c r="T170" s="6"/>
      <c r="Y170" s="6"/>
    </row>
    <row r="171" spans="1:25" x14ac:dyDescent="0.3">
      <c r="A171" t="str">
        <f>'rockfish harvests'!A177</f>
        <v>SC</v>
      </c>
      <c r="B171">
        <f>'rockfish harvests'!B177</f>
        <v>1998</v>
      </c>
      <c r="C171" t="str">
        <f>'rockfish harvests'!C177</f>
        <v>PWSI</v>
      </c>
      <c r="D171">
        <f>'rockfish harvests'!D177</f>
        <v>3821</v>
      </c>
      <c r="E171">
        <f>'YE harvest'!E178</f>
        <v>1723</v>
      </c>
      <c r="H171" s="13">
        <f t="shared" ref="H171:H178" si="56">E171*F171</f>
        <v>0</v>
      </c>
      <c r="I171">
        <f t="shared" si="45"/>
        <v>0</v>
      </c>
      <c r="J171">
        <f t="shared" si="47"/>
        <v>0</v>
      </c>
      <c r="K171" s="6">
        <f t="shared" si="48"/>
        <v>0</v>
      </c>
      <c r="M171" s="2">
        <f>'rockfish harvests'!O177</f>
        <v>9768.3550806147941</v>
      </c>
      <c r="N171">
        <f>'rockfish harvests'!P177</f>
        <v>8755809.3695013113</v>
      </c>
      <c r="O171" s="32"/>
      <c r="P171" s="32"/>
      <c r="Q171" s="13">
        <f t="shared" si="39"/>
        <v>0</v>
      </c>
      <c r="R171" s="14">
        <f t="shared" si="40"/>
        <v>0</v>
      </c>
      <c r="S171">
        <f t="shared" si="49"/>
        <v>0</v>
      </c>
      <c r="T171" s="6">
        <f t="shared" si="50"/>
        <v>0</v>
      </c>
      <c r="V171" s="13">
        <f t="shared" si="46"/>
        <v>0</v>
      </c>
      <c r="W171">
        <f t="shared" si="46"/>
        <v>0</v>
      </c>
      <c r="X171">
        <f t="shared" si="51"/>
        <v>0</v>
      </c>
      <c r="Y171" s="6">
        <f t="shared" si="52"/>
        <v>0</v>
      </c>
    </row>
    <row r="172" spans="1:25" x14ac:dyDescent="0.3">
      <c r="A172" t="str">
        <f>'rockfish harvests'!A178</f>
        <v>SC</v>
      </c>
      <c r="B172">
        <f>'rockfish harvests'!B178</f>
        <v>1999</v>
      </c>
      <c r="C172" t="str">
        <f>'rockfish harvests'!C178</f>
        <v>PWSI</v>
      </c>
      <c r="D172">
        <f>'rockfish harvests'!D178</f>
        <v>4514</v>
      </c>
      <c r="E172">
        <f>'YE harvest'!E179</f>
        <v>1905</v>
      </c>
      <c r="H172" s="13">
        <f t="shared" si="56"/>
        <v>0</v>
      </c>
      <c r="I172">
        <f t="shared" si="45"/>
        <v>0</v>
      </c>
      <c r="J172">
        <f t="shared" si="47"/>
        <v>0</v>
      </c>
      <c r="K172" s="6">
        <f t="shared" si="48"/>
        <v>0</v>
      </c>
      <c r="M172" s="2">
        <f>'rockfish harvests'!O178</f>
        <v>11540.003882202349</v>
      </c>
      <c r="N172">
        <f>'rockfish harvests'!P178</f>
        <v>12219834.714956973</v>
      </c>
      <c r="Q172" s="13">
        <f t="shared" si="39"/>
        <v>0</v>
      </c>
      <c r="R172" s="14">
        <f t="shared" si="40"/>
        <v>0</v>
      </c>
      <c r="S172">
        <f t="shared" si="49"/>
        <v>0</v>
      </c>
      <c r="T172" s="6">
        <f t="shared" si="50"/>
        <v>0</v>
      </c>
      <c r="V172" s="13">
        <f t="shared" si="46"/>
        <v>0</v>
      </c>
      <c r="W172">
        <f t="shared" si="46"/>
        <v>0</v>
      </c>
      <c r="X172">
        <f t="shared" si="51"/>
        <v>0</v>
      </c>
      <c r="Y172" s="6">
        <f t="shared" si="52"/>
        <v>0</v>
      </c>
    </row>
    <row r="173" spans="1:25" x14ac:dyDescent="0.3">
      <c r="A173" t="str">
        <f>'rockfish harvests'!A179</f>
        <v>SC</v>
      </c>
      <c r="B173">
        <f>'rockfish harvests'!B179</f>
        <v>2000</v>
      </c>
      <c r="C173" t="str">
        <f>'rockfish harvests'!C179</f>
        <v>PWSI</v>
      </c>
      <c r="D173">
        <f>'rockfish harvests'!D179</f>
        <v>6011</v>
      </c>
      <c r="E173">
        <f>'YE harvest'!E180</f>
        <v>2620</v>
      </c>
      <c r="H173" s="13">
        <f t="shared" si="56"/>
        <v>0</v>
      </c>
      <c r="I173">
        <f t="shared" si="45"/>
        <v>0</v>
      </c>
      <c r="J173">
        <f t="shared" si="47"/>
        <v>0</v>
      </c>
      <c r="K173" s="6">
        <f t="shared" si="48"/>
        <v>0</v>
      </c>
      <c r="M173" s="2">
        <f>'rockfish harvests'!O179</f>
        <v>15367.072072644733</v>
      </c>
      <c r="N173">
        <f>'rockfish harvests'!P179</f>
        <v>21668840.765019432</v>
      </c>
      <c r="Q173" s="13">
        <f t="shared" si="39"/>
        <v>0</v>
      </c>
      <c r="R173" s="14">
        <f t="shared" si="40"/>
        <v>0</v>
      </c>
      <c r="S173">
        <f t="shared" si="49"/>
        <v>0</v>
      </c>
      <c r="T173" s="6">
        <f t="shared" si="50"/>
        <v>0</v>
      </c>
      <c r="V173" s="13">
        <f t="shared" si="46"/>
        <v>0</v>
      </c>
      <c r="W173">
        <f t="shared" si="46"/>
        <v>0</v>
      </c>
      <c r="X173">
        <f t="shared" si="51"/>
        <v>0</v>
      </c>
      <c r="Y173" s="6">
        <f t="shared" si="52"/>
        <v>0</v>
      </c>
    </row>
    <row r="174" spans="1:25" x14ac:dyDescent="0.3">
      <c r="A174" t="str">
        <f>'rockfish harvests'!A180</f>
        <v>SC</v>
      </c>
      <c r="B174">
        <f>'rockfish harvests'!B180</f>
        <v>2001</v>
      </c>
      <c r="C174" t="str">
        <f>'rockfish harvests'!C180</f>
        <v>PWSI</v>
      </c>
      <c r="D174">
        <f>'rockfish harvests'!D180</f>
        <v>7036</v>
      </c>
      <c r="E174">
        <f>'YE harvest'!E181</f>
        <v>2827</v>
      </c>
      <c r="H174" s="13">
        <f t="shared" si="56"/>
        <v>0</v>
      </c>
      <c r="I174">
        <f t="shared" si="45"/>
        <v>0</v>
      </c>
      <c r="J174">
        <f t="shared" si="47"/>
        <v>0</v>
      </c>
      <c r="K174" s="6">
        <f t="shared" si="48"/>
        <v>0</v>
      </c>
      <c r="M174" s="2">
        <f>'rockfish harvests'!O180</f>
        <v>17987.476144256918</v>
      </c>
      <c r="N174">
        <f>'rockfish harvests'!P180</f>
        <v>29688884.747428846</v>
      </c>
      <c r="Q174" s="13">
        <f t="shared" si="39"/>
        <v>0</v>
      </c>
      <c r="R174" s="14">
        <f t="shared" si="40"/>
        <v>0</v>
      </c>
      <c r="S174">
        <f t="shared" si="49"/>
        <v>0</v>
      </c>
      <c r="T174" s="6">
        <f t="shared" si="50"/>
        <v>0</v>
      </c>
      <c r="V174" s="13">
        <f t="shared" si="46"/>
        <v>0</v>
      </c>
      <c r="W174">
        <f t="shared" si="46"/>
        <v>0</v>
      </c>
      <c r="X174">
        <f t="shared" si="51"/>
        <v>0</v>
      </c>
      <c r="Y174" s="6">
        <f t="shared" si="52"/>
        <v>0</v>
      </c>
    </row>
    <row r="175" spans="1:25" x14ac:dyDescent="0.3">
      <c r="A175" t="str">
        <f>'rockfish harvests'!A181</f>
        <v>SC</v>
      </c>
      <c r="B175">
        <f>'rockfish harvests'!B181</f>
        <v>2002</v>
      </c>
      <c r="C175" t="str">
        <f>'rockfish harvests'!C181</f>
        <v>PWSI</v>
      </c>
      <c r="D175">
        <f>'rockfish harvests'!D181</f>
        <v>7398</v>
      </c>
      <c r="E175">
        <f>'YE harvest'!E182</f>
        <v>2518</v>
      </c>
      <c r="H175" s="13">
        <f t="shared" si="56"/>
        <v>0</v>
      </c>
      <c r="I175">
        <f t="shared" si="45"/>
        <v>0</v>
      </c>
      <c r="J175">
        <f t="shared" si="47"/>
        <v>0</v>
      </c>
      <c r="K175" s="6">
        <f t="shared" si="48"/>
        <v>0</v>
      </c>
      <c r="M175" s="2">
        <f>'rockfish harvests'!O181</f>
        <v>18912.926167597027</v>
      </c>
      <c r="N175">
        <f>'rockfish harvests'!P181</f>
        <v>32822440.987651471</v>
      </c>
      <c r="Q175" s="13">
        <f t="shared" si="39"/>
        <v>0</v>
      </c>
      <c r="R175" s="14">
        <f t="shared" si="40"/>
        <v>0</v>
      </c>
      <c r="S175">
        <f t="shared" si="49"/>
        <v>0</v>
      </c>
      <c r="T175" s="6">
        <f t="shared" si="50"/>
        <v>0</v>
      </c>
      <c r="V175" s="13">
        <f t="shared" si="46"/>
        <v>0</v>
      </c>
      <c r="W175">
        <f t="shared" si="46"/>
        <v>0</v>
      </c>
      <c r="X175">
        <f t="shared" si="51"/>
        <v>0</v>
      </c>
      <c r="Y175" s="6">
        <f t="shared" si="52"/>
        <v>0</v>
      </c>
    </row>
    <row r="176" spans="1:25" x14ac:dyDescent="0.3">
      <c r="A176" t="str">
        <f>'rockfish harvests'!A182</f>
        <v>SC</v>
      </c>
      <c r="B176">
        <f>'rockfish harvests'!B182</f>
        <v>2003</v>
      </c>
      <c r="C176" t="str">
        <f>'rockfish harvests'!C182</f>
        <v>PWSI</v>
      </c>
      <c r="D176">
        <f>'rockfish harvests'!D182</f>
        <v>11932</v>
      </c>
      <c r="E176">
        <f>'YE harvest'!E183</f>
        <v>3187</v>
      </c>
      <c r="H176" s="13">
        <f t="shared" si="56"/>
        <v>0</v>
      </c>
      <c r="I176">
        <f t="shared" si="45"/>
        <v>0</v>
      </c>
      <c r="J176">
        <f t="shared" si="47"/>
        <v>0</v>
      </c>
      <c r="K176" s="6">
        <f t="shared" si="48"/>
        <v>0</v>
      </c>
      <c r="M176" s="2">
        <f>'rockfish harvests'!O182</f>
        <v>30504.059885343027</v>
      </c>
      <c r="N176">
        <f>'rockfish harvests'!P182</f>
        <v>85382469.486194402</v>
      </c>
      <c r="Q176" s="13">
        <f t="shared" si="39"/>
        <v>0</v>
      </c>
      <c r="R176" s="14">
        <f t="shared" si="40"/>
        <v>0</v>
      </c>
      <c r="S176">
        <f t="shared" si="49"/>
        <v>0</v>
      </c>
      <c r="T176" s="6">
        <f t="shared" si="50"/>
        <v>0</v>
      </c>
      <c r="V176" s="13">
        <f t="shared" si="46"/>
        <v>0</v>
      </c>
      <c r="W176">
        <f t="shared" si="46"/>
        <v>0</v>
      </c>
      <c r="X176">
        <f t="shared" si="51"/>
        <v>0</v>
      </c>
      <c r="Y176" s="6">
        <f t="shared" si="52"/>
        <v>0</v>
      </c>
    </row>
    <row r="177" spans="1:25" x14ac:dyDescent="0.3">
      <c r="A177" t="str">
        <f>'rockfish harvests'!A183</f>
        <v>SC</v>
      </c>
      <c r="B177">
        <f>'rockfish harvests'!B183</f>
        <v>2004</v>
      </c>
      <c r="C177" t="str">
        <f>'rockfish harvests'!C183</f>
        <v>PWSI</v>
      </c>
      <c r="D177">
        <f>'rockfish harvests'!D183</f>
        <v>10310</v>
      </c>
      <c r="E177">
        <f>'YE harvest'!E184</f>
        <v>2872</v>
      </c>
      <c r="H177" s="13">
        <f t="shared" si="56"/>
        <v>0</v>
      </c>
      <c r="I177">
        <f t="shared" si="45"/>
        <v>0</v>
      </c>
      <c r="J177">
        <f t="shared" si="47"/>
        <v>0</v>
      </c>
      <c r="K177" s="6">
        <f t="shared" si="48"/>
        <v>0</v>
      </c>
      <c r="M177" s="2">
        <f>'rockfish harvests'!O183</f>
        <v>26357.430222752817</v>
      </c>
      <c r="N177">
        <f>'rockfish harvests'!P183</f>
        <v>63746970.869564563</v>
      </c>
      <c r="Q177" s="13">
        <f t="shared" si="39"/>
        <v>0</v>
      </c>
      <c r="R177" s="14">
        <f t="shared" si="40"/>
        <v>0</v>
      </c>
      <c r="S177">
        <f t="shared" si="49"/>
        <v>0</v>
      </c>
      <c r="T177" s="6">
        <f t="shared" si="50"/>
        <v>0</v>
      </c>
      <c r="V177" s="13">
        <f t="shared" si="46"/>
        <v>0</v>
      </c>
      <c r="W177">
        <f t="shared" si="46"/>
        <v>0</v>
      </c>
      <c r="X177">
        <f t="shared" si="51"/>
        <v>0</v>
      </c>
      <c r="Y177" s="6">
        <f t="shared" si="52"/>
        <v>0</v>
      </c>
    </row>
    <row r="178" spans="1:25" x14ac:dyDescent="0.3">
      <c r="A178" t="str">
        <f>'rockfish harvests'!A184</f>
        <v>SC</v>
      </c>
      <c r="B178">
        <f>'rockfish harvests'!B184</f>
        <v>2005</v>
      </c>
      <c r="C178" t="str">
        <f>'rockfish harvests'!C184</f>
        <v>PWSI</v>
      </c>
      <c r="D178">
        <f>'rockfish harvests'!D184</f>
        <v>10930</v>
      </c>
      <c r="E178">
        <f>'YE harvest'!E185</f>
        <v>2754</v>
      </c>
      <c r="H178" s="13">
        <f t="shared" si="56"/>
        <v>0</v>
      </c>
      <c r="I178">
        <f t="shared" si="45"/>
        <v>0</v>
      </c>
      <c r="J178">
        <f t="shared" si="47"/>
        <v>0</v>
      </c>
      <c r="K178" s="6">
        <f t="shared" si="48"/>
        <v>0</v>
      </c>
      <c r="M178" s="2">
        <f>'rockfish harvests'!O184</f>
        <v>27942.455124606044</v>
      </c>
      <c r="N178">
        <f>'rockfish harvests'!P184</f>
        <v>71644448.857817397</v>
      </c>
      <c r="Q178" s="13">
        <f t="shared" si="39"/>
        <v>0</v>
      </c>
      <c r="R178" s="14">
        <f t="shared" si="40"/>
        <v>0</v>
      </c>
      <c r="S178">
        <f t="shared" si="49"/>
        <v>0</v>
      </c>
      <c r="T178" s="6">
        <f t="shared" si="50"/>
        <v>0</v>
      </c>
      <c r="V178" s="13">
        <f t="shared" si="46"/>
        <v>0</v>
      </c>
      <c r="W178">
        <f t="shared" si="46"/>
        <v>0</v>
      </c>
      <c r="X178">
        <f t="shared" si="51"/>
        <v>0</v>
      </c>
      <c r="Y178" s="6">
        <f t="shared" si="52"/>
        <v>0</v>
      </c>
    </row>
    <row r="179" spans="1:25" x14ac:dyDescent="0.3">
      <c r="A179" t="str">
        <f>'rockfish harvests'!A185</f>
        <v>SC</v>
      </c>
      <c r="B179">
        <f>'rockfish harvests'!B185</f>
        <v>2006</v>
      </c>
      <c r="C179" t="str">
        <f>'rockfish harvests'!C185</f>
        <v>PWSI</v>
      </c>
      <c r="D179">
        <f>'rockfish harvests'!D185</f>
        <v>7578</v>
      </c>
      <c r="E179">
        <f>'YE harvest'!E186</f>
        <v>2985</v>
      </c>
      <c r="H179" s="13" t="e">
        <f>#REF!</f>
        <v>#REF!</v>
      </c>
      <c r="I179">
        <f t="shared" si="45"/>
        <v>0</v>
      </c>
      <c r="J179">
        <f t="shared" si="47"/>
        <v>0</v>
      </c>
      <c r="K179" s="6">
        <f t="shared" si="48"/>
        <v>0</v>
      </c>
      <c r="M179" s="2">
        <f>'rockfish harvests'!O185</f>
        <v>19373.094687489898</v>
      </c>
      <c r="N179">
        <f>'rockfish harvests'!P185</f>
        <v>34439070.708155498</v>
      </c>
      <c r="Q179" s="13">
        <f t="shared" si="39"/>
        <v>0</v>
      </c>
      <c r="R179" s="14">
        <f t="shared" si="40"/>
        <v>0</v>
      </c>
      <c r="S179">
        <f t="shared" si="49"/>
        <v>0</v>
      </c>
      <c r="T179" s="6">
        <f t="shared" si="50"/>
        <v>0</v>
      </c>
      <c r="V179" s="13" t="e">
        <f t="shared" si="46"/>
        <v>#REF!</v>
      </c>
      <c r="W179">
        <f t="shared" si="46"/>
        <v>0</v>
      </c>
      <c r="X179">
        <f t="shared" si="51"/>
        <v>0</v>
      </c>
      <c r="Y179" s="6">
        <f t="shared" si="52"/>
        <v>0</v>
      </c>
    </row>
    <row r="180" spans="1:25" x14ac:dyDescent="0.3">
      <c r="A180" t="str">
        <f>'rockfish harvests'!A186</f>
        <v>SC</v>
      </c>
      <c r="B180">
        <f>'rockfish harvests'!B186</f>
        <v>2007</v>
      </c>
      <c r="C180" t="str">
        <f>'rockfish harvests'!C186</f>
        <v>PWSI</v>
      </c>
      <c r="D180">
        <f>'rockfish harvests'!D186</f>
        <v>12404</v>
      </c>
      <c r="E180">
        <f>'YE harvest'!E187</f>
        <v>3115</v>
      </c>
      <c r="H180" s="13" t="e">
        <f>#REF!</f>
        <v>#REF!</v>
      </c>
      <c r="I180">
        <f t="shared" si="45"/>
        <v>0</v>
      </c>
      <c r="J180">
        <f t="shared" si="47"/>
        <v>0</v>
      </c>
      <c r="K180" s="6">
        <f t="shared" si="48"/>
        <v>0</v>
      </c>
      <c r="M180" s="2">
        <f>'rockfish harvests'!O186</f>
        <v>31710.724004173229</v>
      </c>
      <c r="N180">
        <f>'rockfish harvests'!P186</f>
        <v>92271108.350786552</v>
      </c>
      <c r="Q180" s="13">
        <f t="shared" si="39"/>
        <v>0</v>
      </c>
      <c r="R180" s="14">
        <f t="shared" si="40"/>
        <v>0</v>
      </c>
      <c r="S180">
        <f t="shared" si="49"/>
        <v>0</v>
      </c>
      <c r="T180" s="6">
        <f t="shared" si="50"/>
        <v>0</v>
      </c>
      <c r="V180" s="13" t="e">
        <f t="shared" si="46"/>
        <v>#REF!</v>
      </c>
      <c r="W180">
        <f t="shared" si="46"/>
        <v>0</v>
      </c>
      <c r="X180">
        <f t="shared" si="51"/>
        <v>0</v>
      </c>
      <c r="Y180" s="6">
        <f t="shared" si="52"/>
        <v>0</v>
      </c>
    </row>
    <row r="181" spans="1:25" x14ac:dyDescent="0.3">
      <c r="A181" t="str">
        <f>'rockfish harvests'!A187</f>
        <v>SC</v>
      </c>
      <c r="B181">
        <f>'rockfish harvests'!B187</f>
        <v>2008</v>
      </c>
      <c r="C181" t="str">
        <f>'rockfish harvests'!C187</f>
        <v>PWSI</v>
      </c>
      <c r="D181">
        <f>'rockfish harvests'!D187</f>
        <v>9522</v>
      </c>
      <c r="E181">
        <f>'YE harvest'!E188</f>
        <v>2623</v>
      </c>
      <c r="H181" s="13" t="e">
        <f>#REF!</f>
        <v>#REF!</v>
      </c>
      <c r="I181">
        <f t="shared" si="45"/>
        <v>0</v>
      </c>
      <c r="J181">
        <f t="shared" si="47"/>
        <v>0</v>
      </c>
      <c r="K181" s="6">
        <f t="shared" si="48"/>
        <v>0</v>
      </c>
      <c r="M181" s="2">
        <f>'rockfish harvests'!O187</f>
        <v>24342.914702332913</v>
      </c>
      <c r="N181">
        <f>'rockfish harvests'!P187</f>
        <v>54374913.17494791</v>
      </c>
      <c r="Q181" s="13">
        <f t="shared" si="39"/>
        <v>0</v>
      </c>
      <c r="R181" s="14">
        <f t="shared" si="40"/>
        <v>0</v>
      </c>
      <c r="S181">
        <f t="shared" si="49"/>
        <v>0</v>
      </c>
      <c r="T181" s="6">
        <f t="shared" si="50"/>
        <v>0</v>
      </c>
      <c r="V181" s="13" t="e">
        <f t="shared" si="46"/>
        <v>#REF!</v>
      </c>
      <c r="W181">
        <f t="shared" si="46"/>
        <v>0</v>
      </c>
      <c r="X181">
        <f t="shared" si="51"/>
        <v>0</v>
      </c>
      <c r="Y181" s="6">
        <f t="shared" si="52"/>
        <v>0</v>
      </c>
    </row>
    <row r="182" spans="1:25" x14ac:dyDescent="0.3">
      <c r="A182" t="str">
        <f>'rockfish harvests'!A188</f>
        <v>SC</v>
      </c>
      <c r="B182">
        <f>'rockfish harvests'!B188</f>
        <v>2009</v>
      </c>
      <c r="C182" t="str">
        <f>'rockfish harvests'!C188</f>
        <v>PWSI</v>
      </c>
      <c r="D182">
        <f>'rockfish harvests'!D188</f>
        <v>8197</v>
      </c>
      <c r="E182">
        <f>'YE harvest'!E189</f>
        <v>2224</v>
      </c>
      <c r="H182" s="13" t="e">
        <f>#REF!</f>
        <v>#REF!</v>
      </c>
      <c r="I182">
        <f t="shared" si="45"/>
        <v>0</v>
      </c>
      <c r="J182">
        <f t="shared" si="47"/>
        <v>0</v>
      </c>
      <c r="K182" s="6">
        <f t="shared" si="48"/>
        <v>0</v>
      </c>
      <c r="M182" s="2">
        <f>'rockfish harvests'!O188</f>
        <v>20955.563097565941</v>
      </c>
      <c r="N182">
        <f>'rockfish harvests'!P188</f>
        <v>40295086.4991799</v>
      </c>
      <c r="Q182" s="13">
        <f t="shared" si="39"/>
        <v>0</v>
      </c>
      <c r="R182" s="14">
        <f t="shared" si="40"/>
        <v>0</v>
      </c>
      <c r="S182">
        <f t="shared" si="49"/>
        <v>0</v>
      </c>
      <c r="T182" s="6">
        <f t="shared" si="50"/>
        <v>0</v>
      </c>
      <c r="V182" s="13" t="e">
        <f t="shared" si="46"/>
        <v>#REF!</v>
      </c>
      <c r="W182">
        <f t="shared" si="46"/>
        <v>0</v>
      </c>
      <c r="X182">
        <f t="shared" si="51"/>
        <v>0</v>
      </c>
      <c r="Y182" s="6">
        <f t="shared" si="52"/>
        <v>0</v>
      </c>
    </row>
    <row r="183" spans="1:25" x14ac:dyDescent="0.3">
      <c r="A183" t="str">
        <f>'rockfish harvests'!A189</f>
        <v>SC</v>
      </c>
      <c r="B183">
        <f>'rockfish harvests'!B189</f>
        <v>2010</v>
      </c>
      <c r="C183" t="str">
        <f>'rockfish harvests'!C189</f>
        <v>PWSI</v>
      </c>
      <c r="D183">
        <f>'rockfish harvests'!D189</f>
        <v>11909</v>
      </c>
      <c r="E183">
        <f>'YE harvest'!E190</f>
        <v>3828</v>
      </c>
      <c r="H183" s="13" t="e">
        <f>#REF!</f>
        <v>#REF!</v>
      </c>
      <c r="I183">
        <f t="shared" si="45"/>
        <v>0</v>
      </c>
      <c r="J183">
        <f t="shared" si="47"/>
        <v>0</v>
      </c>
      <c r="K183" s="6">
        <f t="shared" si="48"/>
        <v>0</v>
      </c>
      <c r="M183" s="2">
        <f>'rockfish harvests'!O189</f>
        <v>30445.260574467829</v>
      </c>
      <c r="N183">
        <f>'rockfish harvests'!P189</f>
        <v>85053622.000279784</v>
      </c>
      <c r="Q183" s="13">
        <f t="shared" si="39"/>
        <v>0</v>
      </c>
      <c r="R183" s="14">
        <f t="shared" si="40"/>
        <v>0</v>
      </c>
      <c r="S183">
        <f t="shared" si="49"/>
        <v>0</v>
      </c>
      <c r="T183" s="6">
        <f t="shared" si="50"/>
        <v>0</v>
      </c>
      <c r="V183" s="13" t="e">
        <f t="shared" si="46"/>
        <v>#REF!</v>
      </c>
      <c r="W183">
        <f t="shared" si="46"/>
        <v>0</v>
      </c>
      <c r="X183">
        <f t="shared" si="51"/>
        <v>0</v>
      </c>
      <c r="Y183" s="6">
        <f t="shared" si="52"/>
        <v>0</v>
      </c>
    </row>
    <row r="184" spans="1:25" x14ac:dyDescent="0.3">
      <c r="A184" t="str">
        <f>'rockfish harvests'!A190</f>
        <v>SC</v>
      </c>
      <c r="B184">
        <f>'rockfish harvests'!B190</f>
        <v>2011</v>
      </c>
      <c r="C184" t="str">
        <f>'rockfish harvests'!C190</f>
        <v>PWSI</v>
      </c>
      <c r="D184">
        <f>'rockfish harvests'!D190</f>
        <v>11367</v>
      </c>
      <c r="E184">
        <f>'YE harvest'!E191</f>
        <v>3175</v>
      </c>
      <c r="H184" s="13" t="e">
        <f>#REF!</f>
        <v>#REF!</v>
      </c>
      <c r="I184">
        <f t="shared" si="45"/>
        <v>0</v>
      </c>
      <c r="J184">
        <f t="shared" si="47"/>
        <v>0</v>
      </c>
      <c r="K184" s="6">
        <f t="shared" si="48"/>
        <v>0</v>
      </c>
      <c r="M184" s="2">
        <f>'rockfish harvests'!O190</f>
        <v>58599.987281399051</v>
      </c>
      <c r="N184">
        <f>'rockfish harvests'!P190</f>
        <v>100066036.13433234</v>
      </c>
      <c r="Q184" s="13">
        <f t="shared" si="39"/>
        <v>0</v>
      </c>
      <c r="R184" s="14">
        <f t="shared" si="40"/>
        <v>0</v>
      </c>
      <c r="S184">
        <f t="shared" si="49"/>
        <v>0</v>
      </c>
      <c r="T184" s="6">
        <f t="shared" si="50"/>
        <v>0</v>
      </c>
      <c r="V184" s="13" t="e">
        <f t="shared" si="46"/>
        <v>#REF!</v>
      </c>
      <c r="W184">
        <f t="shared" si="46"/>
        <v>0</v>
      </c>
      <c r="X184">
        <f t="shared" si="51"/>
        <v>0</v>
      </c>
      <c r="Y184" s="6">
        <f t="shared" si="52"/>
        <v>0</v>
      </c>
    </row>
    <row r="185" spans="1:25" x14ac:dyDescent="0.3">
      <c r="A185" t="str">
        <f>'rockfish harvests'!A191</f>
        <v>SC</v>
      </c>
      <c r="B185">
        <f>'rockfish harvests'!B191</f>
        <v>2012</v>
      </c>
      <c r="C185" t="str">
        <f>'rockfish harvests'!C191</f>
        <v>PWSI</v>
      </c>
      <c r="D185">
        <f>'rockfish harvests'!D191</f>
        <v>13580</v>
      </c>
      <c r="E185">
        <f>'YE harvest'!E192</f>
        <v>4267</v>
      </c>
      <c r="H185" s="13" t="e">
        <f>#REF!</f>
        <v>#REF!</v>
      </c>
      <c r="I185">
        <f t="shared" si="45"/>
        <v>0</v>
      </c>
      <c r="J185">
        <f t="shared" si="47"/>
        <v>0</v>
      </c>
      <c r="K185" s="6">
        <f t="shared" si="48"/>
        <v>0</v>
      </c>
      <c r="M185" s="2">
        <f>'rockfish harvests'!O191</f>
        <v>31117.154090427939</v>
      </c>
      <c r="N185">
        <f>'rockfish harvests'!P191</f>
        <v>29413124.019685954</v>
      </c>
      <c r="Q185" s="13">
        <f t="shared" si="39"/>
        <v>0</v>
      </c>
      <c r="R185" s="14">
        <f t="shared" si="40"/>
        <v>0</v>
      </c>
      <c r="S185">
        <f t="shared" si="49"/>
        <v>0</v>
      </c>
      <c r="T185" s="6">
        <f t="shared" si="50"/>
        <v>0</v>
      </c>
      <c r="V185" s="13" t="e">
        <f t="shared" si="46"/>
        <v>#REF!</v>
      </c>
      <c r="W185">
        <f t="shared" si="46"/>
        <v>0</v>
      </c>
      <c r="X185">
        <f t="shared" si="51"/>
        <v>0</v>
      </c>
      <c r="Y185" s="6">
        <f t="shared" si="52"/>
        <v>0</v>
      </c>
    </row>
    <row r="186" spans="1:25" x14ac:dyDescent="0.3">
      <c r="A186" t="str">
        <f>'rockfish harvests'!A192</f>
        <v>SC</v>
      </c>
      <c r="B186">
        <f>'rockfish harvests'!B192</f>
        <v>2013</v>
      </c>
      <c r="C186" t="str">
        <f>'rockfish harvests'!C192</f>
        <v>PWSI</v>
      </c>
      <c r="D186">
        <f>'rockfish harvests'!D192</f>
        <v>14209</v>
      </c>
      <c r="E186">
        <f>'YE harvest'!E193</f>
        <v>3334</v>
      </c>
      <c r="H186" s="13" t="e">
        <f>#REF!</f>
        <v>#REF!</v>
      </c>
      <c r="I186">
        <f t="shared" si="45"/>
        <v>0</v>
      </c>
      <c r="J186">
        <f t="shared" si="47"/>
        <v>0</v>
      </c>
      <c r="K186" s="6">
        <f t="shared" si="48"/>
        <v>0</v>
      </c>
      <c r="M186" s="2">
        <f>'rockfish harvests'!O192</f>
        <v>46247.943133398883</v>
      </c>
      <c r="N186">
        <f>'rockfish harvests'!P192</f>
        <v>49601334.787597425</v>
      </c>
      <c r="Q186" s="13">
        <f t="shared" si="39"/>
        <v>0</v>
      </c>
      <c r="R186" s="14">
        <f t="shared" si="40"/>
        <v>0</v>
      </c>
      <c r="S186">
        <f t="shared" si="49"/>
        <v>0</v>
      </c>
      <c r="T186" s="6">
        <f t="shared" si="50"/>
        <v>0</v>
      </c>
      <c r="V186" s="13" t="e">
        <f t="shared" si="46"/>
        <v>#REF!</v>
      </c>
      <c r="W186">
        <f t="shared" si="46"/>
        <v>0</v>
      </c>
      <c r="X186">
        <f t="shared" si="51"/>
        <v>0</v>
      </c>
      <c r="Y186" s="6">
        <f t="shared" si="52"/>
        <v>0</v>
      </c>
    </row>
    <row r="187" spans="1:25" x14ac:dyDescent="0.3">
      <c r="A187" t="str">
        <f>'rockfish harvests'!A193</f>
        <v>SC</v>
      </c>
      <c r="B187">
        <f>'rockfish harvests'!B193</f>
        <v>2014</v>
      </c>
      <c r="C187" t="str">
        <f>'rockfish harvests'!C193</f>
        <v>PWSI</v>
      </c>
      <c r="D187">
        <f>'rockfish harvests'!D193</f>
        <v>14913</v>
      </c>
      <c r="E187">
        <f>'YE harvest'!E194</f>
        <v>4184</v>
      </c>
      <c r="H187" s="13" t="e">
        <f>#REF!</f>
        <v>#REF!</v>
      </c>
      <c r="I187">
        <f t="shared" si="45"/>
        <v>0</v>
      </c>
      <c r="J187">
        <f t="shared" si="47"/>
        <v>0</v>
      </c>
      <c r="K187" s="6">
        <f t="shared" si="48"/>
        <v>0</v>
      </c>
      <c r="M187" s="2">
        <f>'rockfish harvests'!O193</f>
        <v>37953.469599823133</v>
      </c>
      <c r="N187">
        <f>'rockfish harvests'!P193</f>
        <v>47097436.38695576</v>
      </c>
      <c r="Q187" s="13">
        <f t="shared" si="39"/>
        <v>0</v>
      </c>
      <c r="R187" s="14">
        <f t="shared" si="40"/>
        <v>0</v>
      </c>
      <c r="S187">
        <f t="shared" si="49"/>
        <v>0</v>
      </c>
      <c r="T187" s="6">
        <f t="shared" si="50"/>
        <v>0</v>
      </c>
      <c r="V187" s="13" t="e">
        <f t="shared" si="46"/>
        <v>#REF!</v>
      </c>
      <c r="W187">
        <f t="shared" si="46"/>
        <v>0</v>
      </c>
      <c r="X187">
        <f t="shared" si="51"/>
        <v>0</v>
      </c>
      <c r="Y187" s="6">
        <f t="shared" si="52"/>
        <v>0</v>
      </c>
    </row>
    <row r="188" spans="1:25" x14ac:dyDescent="0.3">
      <c r="A188" t="str">
        <f>'rockfish harvests'!A194</f>
        <v>SC</v>
      </c>
      <c r="B188">
        <f>'rockfish harvests'!B194</f>
        <v>2015</v>
      </c>
      <c r="C188" t="str">
        <f>'rockfish harvests'!C194</f>
        <v>PWSI</v>
      </c>
      <c r="D188">
        <f>'rockfish harvests'!D194</f>
        <v>20073</v>
      </c>
      <c r="E188">
        <f>'YE harvest'!E195</f>
        <v>5220</v>
      </c>
      <c r="H188" s="13" t="e">
        <f>#REF!</f>
        <v>#REF!</v>
      </c>
      <c r="I188">
        <f t="shared" si="45"/>
        <v>0</v>
      </c>
      <c r="J188">
        <f t="shared" si="47"/>
        <v>0</v>
      </c>
      <c r="K188" s="6">
        <f t="shared" si="48"/>
        <v>0</v>
      </c>
      <c r="M188" s="2">
        <f>'rockfish harvests'!O194</f>
        <v>52130.446754112942</v>
      </c>
      <c r="N188">
        <f>'rockfish harvests'!P194</f>
        <v>59819505.590102598</v>
      </c>
      <c r="Q188" s="13">
        <f t="shared" si="39"/>
        <v>0</v>
      </c>
      <c r="R188" s="14">
        <f t="shared" si="40"/>
        <v>0</v>
      </c>
      <c r="S188">
        <f t="shared" si="49"/>
        <v>0</v>
      </c>
      <c r="T188" s="6">
        <f t="shared" si="50"/>
        <v>0</v>
      </c>
      <c r="V188" s="13" t="e">
        <f t="shared" si="46"/>
        <v>#REF!</v>
      </c>
      <c r="W188">
        <f t="shared" si="46"/>
        <v>0</v>
      </c>
      <c r="X188">
        <f t="shared" si="51"/>
        <v>0</v>
      </c>
      <c r="Y188" s="6">
        <f t="shared" si="52"/>
        <v>0</v>
      </c>
    </row>
    <row r="189" spans="1:25" x14ac:dyDescent="0.3">
      <c r="A189" t="str">
        <f>'rockfish harvests'!A195</f>
        <v>SC</v>
      </c>
      <c r="B189">
        <f>'rockfish harvests'!B195</f>
        <v>2016</v>
      </c>
      <c r="C189" t="str">
        <f>'rockfish harvests'!C195</f>
        <v>PWSI</v>
      </c>
      <c r="D189">
        <f>'rockfish harvests'!D195</f>
        <v>28893</v>
      </c>
      <c r="E189">
        <f>'YE harvest'!E196</f>
        <v>6695</v>
      </c>
      <c r="H189" s="13" t="e">
        <f>#REF!</f>
        <v>#REF!</v>
      </c>
      <c r="I189">
        <f t="shared" si="45"/>
        <v>0</v>
      </c>
      <c r="J189">
        <f t="shared" si="47"/>
        <v>0</v>
      </c>
      <c r="K189" s="6">
        <f t="shared" si="48"/>
        <v>0</v>
      </c>
      <c r="M189" s="2">
        <f>'rockfish harvests'!O195</f>
        <v>64825.548631333717</v>
      </c>
      <c r="N189">
        <f>'rockfish harvests'!P195</f>
        <v>114245520.83381788</v>
      </c>
      <c r="Q189" s="13">
        <f t="shared" si="39"/>
        <v>0</v>
      </c>
      <c r="R189" s="14">
        <f t="shared" si="40"/>
        <v>0</v>
      </c>
      <c r="S189">
        <f t="shared" si="49"/>
        <v>0</v>
      </c>
      <c r="T189" s="6">
        <f t="shared" si="50"/>
        <v>0</v>
      </c>
      <c r="V189" s="13" t="e">
        <f t="shared" si="46"/>
        <v>#REF!</v>
      </c>
      <c r="W189">
        <f t="shared" si="46"/>
        <v>0</v>
      </c>
      <c r="X189">
        <f t="shared" si="51"/>
        <v>0</v>
      </c>
      <c r="Y189" s="6">
        <f t="shared" si="52"/>
        <v>0</v>
      </c>
    </row>
    <row r="190" spans="1:25" x14ac:dyDescent="0.3">
      <c r="A190" t="str">
        <f>'rockfish harvests'!A196</f>
        <v>SC</v>
      </c>
      <c r="B190">
        <f>'rockfish harvests'!B196</f>
        <v>2017</v>
      </c>
      <c r="C190" t="str">
        <f>'rockfish harvests'!C196</f>
        <v>PWSI</v>
      </c>
      <c r="D190">
        <f>'rockfish harvests'!D196</f>
        <v>16300</v>
      </c>
      <c r="E190">
        <f>'YE harvest'!E197</f>
        <v>4734</v>
      </c>
      <c r="H190" s="13" t="e">
        <f>#REF!</f>
        <v>#REF!</v>
      </c>
      <c r="I190">
        <f t="shared" si="45"/>
        <v>0</v>
      </c>
      <c r="J190">
        <f t="shared" si="47"/>
        <v>0</v>
      </c>
      <c r="K190" s="6">
        <f t="shared" si="48"/>
        <v>0</v>
      </c>
      <c r="M190" s="2">
        <f>'rockfish harvests'!O196</f>
        <v>33515.774784613517</v>
      </c>
      <c r="N190">
        <f>'rockfish harvests'!P196</f>
        <v>29331655.3806163</v>
      </c>
      <c r="Q190" s="13">
        <f t="shared" si="39"/>
        <v>0</v>
      </c>
      <c r="R190" s="14">
        <f t="shared" si="40"/>
        <v>0</v>
      </c>
      <c r="S190">
        <f t="shared" si="49"/>
        <v>0</v>
      </c>
      <c r="T190" s="6">
        <f t="shared" si="50"/>
        <v>0</v>
      </c>
      <c r="V190" s="13" t="e">
        <f t="shared" si="46"/>
        <v>#REF!</v>
      </c>
      <c r="W190">
        <f t="shared" si="46"/>
        <v>0</v>
      </c>
      <c r="X190">
        <f t="shared" si="51"/>
        <v>0</v>
      </c>
      <c r="Y190" s="6">
        <f t="shared" si="52"/>
        <v>0</v>
      </c>
    </row>
    <row r="191" spans="1:25" x14ac:dyDescent="0.3">
      <c r="A191" t="str">
        <f>'rockfish harvests'!A197</f>
        <v>SC</v>
      </c>
      <c r="B191">
        <f>'rockfish harvests'!B197</f>
        <v>2018</v>
      </c>
      <c r="C191" t="str">
        <f>'rockfish harvests'!C197</f>
        <v>PWSI</v>
      </c>
      <c r="D191">
        <f>'rockfish harvests'!D197</f>
        <v>12107</v>
      </c>
      <c r="E191">
        <f>'YE harvest'!E198</f>
        <v>3366</v>
      </c>
      <c r="H191" s="13" t="e">
        <f>#REF!</f>
        <v>#REF!</v>
      </c>
      <c r="I191">
        <f t="shared" si="45"/>
        <v>0</v>
      </c>
      <c r="J191">
        <f t="shared" si="47"/>
        <v>0</v>
      </c>
      <c r="K191" s="6">
        <f t="shared" si="48"/>
        <v>0</v>
      </c>
      <c r="M191" s="2">
        <f>'rockfish harvests'!O197</f>
        <v>22239.009039310491</v>
      </c>
      <c r="N191">
        <f>'rockfish harvests'!P197</f>
        <v>18423976.825865198</v>
      </c>
      <c r="Q191" s="13">
        <f t="shared" si="39"/>
        <v>0</v>
      </c>
      <c r="R191" s="14">
        <f t="shared" si="40"/>
        <v>0</v>
      </c>
      <c r="S191">
        <f t="shared" si="49"/>
        <v>0</v>
      </c>
      <c r="T191" s="6">
        <f t="shared" si="50"/>
        <v>0</v>
      </c>
      <c r="V191" s="13" t="e">
        <f t="shared" si="46"/>
        <v>#REF!</v>
      </c>
      <c r="W191">
        <f t="shared" si="46"/>
        <v>0</v>
      </c>
      <c r="X191">
        <f t="shared" si="51"/>
        <v>0</v>
      </c>
      <c r="Y191" s="6">
        <f t="shared" si="52"/>
        <v>0</v>
      </c>
    </row>
    <row r="192" spans="1:25" x14ac:dyDescent="0.3">
      <c r="A192" t="str">
        <f>'rockfish harvests'!A198</f>
        <v>SC</v>
      </c>
      <c r="B192">
        <f>'rockfish harvests'!B198</f>
        <v>2019</v>
      </c>
      <c r="C192" t="str">
        <f>'rockfish harvests'!C198</f>
        <v>PWSI</v>
      </c>
      <c r="D192">
        <f>'rockfish harvests'!D198</f>
        <v>15083</v>
      </c>
      <c r="E192">
        <f>'YE harvest'!E199</f>
        <v>3663</v>
      </c>
      <c r="I192">
        <f t="shared" ref="I192:I193" si="57">(E192^2)*G192</f>
        <v>0</v>
      </c>
      <c r="J192">
        <f t="shared" ref="J192:J193" si="58">SQRT(I192)</f>
        <v>0</v>
      </c>
      <c r="K192" s="6">
        <f t="shared" ref="K192:K193" si="59">(1.96*J192)</f>
        <v>0</v>
      </c>
      <c r="M192" s="2">
        <f>'rockfish harvests'!O198</f>
        <v>32001.722103820983</v>
      </c>
      <c r="N192">
        <f>'rockfish harvests'!P198</f>
        <v>26016565.548853625</v>
      </c>
      <c r="R192" s="14"/>
      <c r="S192"/>
      <c r="T192" s="6"/>
      <c r="Y192" s="6"/>
    </row>
    <row r="193" spans="1:25" x14ac:dyDescent="0.3">
      <c r="A193" t="str">
        <f>'rockfish harvests'!A199</f>
        <v>SC</v>
      </c>
      <c r="B193">
        <f>'rockfish harvests'!B199</f>
        <v>2020</v>
      </c>
      <c r="C193" t="str">
        <f>'rockfish harvests'!C199</f>
        <v>PWSI</v>
      </c>
      <c r="D193">
        <f>'rockfish harvests'!D199</f>
        <v>9001</v>
      </c>
      <c r="E193">
        <f>'YE harvest'!E200</f>
        <v>2287</v>
      </c>
      <c r="I193">
        <f t="shared" si="57"/>
        <v>0</v>
      </c>
      <c r="J193">
        <f t="shared" si="58"/>
        <v>0</v>
      </c>
      <c r="K193" s="6">
        <f t="shared" si="59"/>
        <v>0</v>
      </c>
      <c r="M193" s="2">
        <f>'rockfish harvests'!O199</f>
        <v>18605.884326200114</v>
      </c>
      <c r="N193">
        <f>'rockfish harvests'!P199</f>
        <v>9865637.9851696268</v>
      </c>
      <c r="R193" s="14"/>
      <c r="S193"/>
      <c r="T193" s="6"/>
      <c r="Y193" s="6"/>
    </row>
    <row r="194" spans="1:25" x14ac:dyDescent="0.3">
      <c r="A194" t="str">
        <f>'rockfish harvests'!A200</f>
        <v>SC</v>
      </c>
      <c r="B194">
        <f>'rockfish harvests'!B200</f>
        <v>2021</v>
      </c>
      <c r="C194" t="str">
        <f>'rockfish harvests'!C200</f>
        <v>PWSI</v>
      </c>
      <c r="D194">
        <f>'rockfish harvests'!D200</f>
        <v>16848</v>
      </c>
      <c r="E194">
        <f>'YE harvest'!E201</f>
        <v>3647</v>
      </c>
      <c r="K194" s="6"/>
      <c r="M194" s="2">
        <f>'rockfish harvests'!O200</f>
        <v>26712.114727976325</v>
      </c>
      <c r="N194">
        <f>'rockfish harvests'!P200</f>
        <v>21799295.268585149</v>
      </c>
      <c r="R194" s="14"/>
      <c r="S194"/>
      <c r="T194" s="6"/>
      <c r="Y194" s="6"/>
    </row>
    <row r="195" spans="1:25" x14ac:dyDescent="0.3">
      <c r="A195" t="str">
        <f>'rockfish harvests'!A202</f>
        <v>SC</v>
      </c>
      <c r="B195">
        <f>'rockfish harvests'!B202</f>
        <v>1998</v>
      </c>
      <c r="C195" t="str">
        <f>'rockfish harvests'!C202</f>
        <v>PWSO</v>
      </c>
      <c r="D195">
        <f>'rockfish harvests'!D202</f>
        <v>7091</v>
      </c>
      <c r="E195">
        <f>'YE harvest'!E203</f>
        <v>1652</v>
      </c>
      <c r="H195" s="13">
        <f t="shared" ref="H195:H202" si="60">E195*F195</f>
        <v>0</v>
      </c>
      <c r="I195">
        <f t="shared" si="45"/>
        <v>0</v>
      </c>
      <c r="J195">
        <f t="shared" si="47"/>
        <v>0</v>
      </c>
      <c r="K195" s="6">
        <f t="shared" si="48"/>
        <v>0</v>
      </c>
      <c r="M195" s="2">
        <f>'rockfish harvests'!O202</f>
        <v>1471.2039985303945</v>
      </c>
      <c r="N195">
        <f>'rockfish harvests'!P202</f>
        <v>494154.9077878145</v>
      </c>
      <c r="O195" s="32"/>
      <c r="P195" s="32"/>
      <c r="Q195" s="13">
        <f t="shared" si="39"/>
        <v>0</v>
      </c>
      <c r="R195" s="14">
        <f t="shared" si="40"/>
        <v>0</v>
      </c>
      <c r="S195">
        <f t="shared" si="49"/>
        <v>0</v>
      </c>
      <c r="T195" s="6">
        <f t="shared" si="50"/>
        <v>0</v>
      </c>
      <c r="V195" s="13">
        <f t="shared" si="46"/>
        <v>0</v>
      </c>
      <c r="W195">
        <f t="shared" si="46"/>
        <v>0</v>
      </c>
      <c r="X195">
        <f t="shared" si="51"/>
        <v>0</v>
      </c>
      <c r="Y195" s="6">
        <f t="shared" si="52"/>
        <v>0</v>
      </c>
    </row>
    <row r="196" spans="1:25" x14ac:dyDescent="0.3">
      <c r="A196" t="str">
        <f>'rockfish harvests'!A203</f>
        <v>SC</v>
      </c>
      <c r="B196">
        <f>'rockfish harvests'!B203</f>
        <v>1999</v>
      </c>
      <c r="C196" t="str">
        <f>'rockfish harvests'!C203</f>
        <v>PWSO</v>
      </c>
      <c r="D196">
        <f>'rockfish harvests'!D203</f>
        <v>4594</v>
      </c>
      <c r="E196">
        <f>'YE harvest'!E204</f>
        <v>1341</v>
      </c>
      <c r="H196" s="13">
        <f t="shared" si="60"/>
        <v>0</v>
      </c>
      <c r="I196">
        <f t="shared" si="45"/>
        <v>0</v>
      </c>
      <c r="J196">
        <f t="shared" si="47"/>
        <v>0</v>
      </c>
      <c r="K196" s="6">
        <f t="shared" si="48"/>
        <v>0</v>
      </c>
      <c r="M196" s="2">
        <f>'rockfish harvests'!O203</f>
        <v>953.13935541512274</v>
      </c>
      <c r="N196">
        <f>'rockfish harvests'!P203</f>
        <v>207410.20653889881</v>
      </c>
      <c r="O196" s="32"/>
      <c r="P196" s="32"/>
      <c r="Q196" s="13">
        <f t="shared" ref="Q196:Q270" si="61">M196*O196</f>
        <v>0</v>
      </c>
      <c r="R196" s="14">
        <f t="shared" ref="R196:R270" si="62">(M196^2)*P196+(O196^2)*N196-(P196*N196)</f>
        <v>0</v>
      </c>
      <c r="S196">
        <f t="shared" si="49"/>
        <v>0</v>
      </c>
      <c r="T196" s="6">
        <f t="shared" si="50"/>
        <v>0</v>
      </c>
      <c r="V196" s="13">
        <f t="shared" si="46"/>
        <v>0</v>
      </c>
      <c r="W196">
        <f t="shared" si="46"/>
        <v>0</v>
      </c>
      <c r="X196">
        <f t="shared" si="51"/>
        <v>0</v>
      </c>
      <c r="Y196" s="6">
        <f t="shared" si="52"/>
        <v>0</v>
      </c>
    </row>
    <row r="197" spans="1:25" x14ac:dyDescent="0.3">
      <c r="A197" t="str">
        <f>'rockfish harvests'!A204</f>
        <v>SC</v>
      </c>
      <c r="B197">
        <f>'rockfish harvests'!B204</f>
        <v>2000</v>
      </c>
      <c r="C197" t="str">
        <f>'rockfish harvests'!C204</f>
        <v>PWSO</v>
      </c>
      <c r="D197">
        <f>'rockfish harvests'!D204</f>
        <v>9244</v>
      </c>
      <c r="E197">
        <f>'YE harvest'!E205</f>
        <v>2206</v>
      </c>
      <c r="H197" s="13">
        <f t="shared" si="60"/>
        <v>0</v>
      </c>
      <c r="I197">
        <f t="shared" si="45"/>
        <v>0</v>
      </c>
      <c r="J197">
        <f t="shared" si="47"/>
        <v>0</v>
      </c>
      <c r="K197" s="6">
        <f t="shared" si="48"/>
        <v>0</v>
      </c>
      <c r="M197" s="2">
        <f>'rockfish harvests'!O204</f>
        <v>1917.897301144405</v>
      </c>
      <c r="N197">
        <f>'rockfish harvests'!P204</f>
        <v>839784.81191828009</v>
      </c>
      <c r="O197" s="32"/>
      <c r="P197" s="32"/>
      <c r="Q197" s="13">
        <f t="shared" si="61"/>
        <v>0</v>
      </c>
      <c r="R197" s="14">
        <f t="shared" si="62"/>
        <v>0</v>
      </c>
      <c r="S197">
        <f t="shared" si="49"/>
        <v>0</v>
      </c>
      <c r="T197" s="6">
        <f t="shared" si="50"/>
        <v>0</v>
      </c>
      <c r="V197" s="13">
        <f t="shared" si="46"/>
        <v>0</v>
      </c>
      <c r="W197">
        <f t="shared" si="46"/>
        <v>0</v>
      </c>
      <c r="X197">
        <f t="shared" si="51"/>
        <v>0</v>
      </c>
      <c r="Y197" s="6">
        <f t="shared" si="52"/>
        <v>0</v>
      </c>
    </row>
    <row r="198" spans="1:25" x14ac:dyDescent="0.3">
      <c r="A198" t="str">
        <f>'rockfish harvests'!A205</f>
        <v>SC</v>
      </c>
      <c r="B198">
        <f>'rockfish harvests'!B205</f>
        <v>2001</v>
      </c>
      <c r="C198" t="str">
        <f>'rockfish harvests'!C205</f>
        <v>PWSO</v>
      </c>
      <c r="D198">
        <f>'rockfish harvests'!D205</f>
        <v>11235</v>
      </c>
      <c r="E198">
        <f>'YE harvest'!E206</f>
        <v>3024</v>
      </c>
      <c r="H198" s="13">
        <f t="shared" si="60"/>
        <v>0</v>
      </c>
      <c r="I198">
        <f t="shared" si="45"/>
        <v>0</v>
      </c>
      <c r="J198">
        <f t="shared" si="47"/>
        <v>0</v>
      </c>
      <c r="K198" s="6">
        <f t="shared" si="48"/>
        <v>0</v>
      </c>
      <c r="M198" s="2">
        <f>'rockfish harvests'!O205</f>
        <v>2330.979681778168</v>
      </c>
      <c r="N198">
        <f>'rockfish harvests'!P205</f>
        <v>1240492.9366742759</v>
      </c>
      <c r="Q198" s="13">
        <f t="shared" si="61"/>
        <v>0</v>
      </c>
      <c r="R198" s="14">
        <f t="shared" si="62"/>
        <v>0</v>
      </c>
      <c r="S198">
        <f t="shared" si="49"/>
        <v>0</v>
      </c>
      <c r="T198" s="6">
        <f t="shared" si="50"/>
        <v>0</v>
      </c>
      <c r="V198" s="13">
        <f t="shared" si="46"/>
        <v>0</v>
      </c>
      <c r="W198">
        <f t="shared" si="46"/>
        <v>0</v>
      </c>
      <c r="X198">
        <f t="shared" si="51"/>
        <v>0</v>
      </c>
      <c r="Y198" s="6">
        <f t="shared" si="52"/>
        <v>0</v>
      </c>
    </row>
    <row r="199" spans="1:25" x14ac:dyDescent="0.3">
      <c r="A199" t="str">
        <f>'rockfish harvests'!A206</f>
        <v>SC</v>
      </c>
      <c r="B199">
        <f>'rockfish harvests'!B206</f>
        <v>2002</v>
      </c>
      <c r="C199" t="str">
        <f>'rockfish harvests'!C206</f>
        <v>PWSO</v>
      </c>
      <c r="D199">
        <f>'rockfish harvests'!D206</f>
        <v>9018</v>
      </c>
      <c r="E199">
        <f>'YE harvest'!E207</f>
        <v>2386</v>
      </c>
      <c r="H199" s="13">
        <f t="shared" si="60"/>
        <v>0</v>
      </c>
      <c r="I199">
        <f t="shared" si="45"/>
        <v>0</v>
      </c>
      <c r="J199">
        <f t="shared" si="47"/>
        <v>0</v>
      </c>
      <c r="K199" s="6">
        <f t="shared" si="48"/>
        <v>0</v>
      </c>
      <c r="M199" s="2">
        <f>'rockfish harvests'!O206</f>
        <v>1871.0079902336911</v>
      </c>
      <c r="N199">
        <f>'rockfish harvests'!P206</f>
        <v>799224.16063675296</v>
      </c>
      <c r="O199" s="32"/>
      <c r="P199" s="32"/>
      <c r="Q199" s="13">
        <f t="shared" si="61"/>
        <v>0</v>
      </c>
      <c r="R199" s="14">
        <f t="shared" si="62"/>
        <v>0</v>
      </c>
      <c r="S199">
        <f t="shared" si="49"/>
        <v>0</v>
      </c>
      <c r="T199" s="6">
        <f t="shared" si="50"/>
        <v>0</v>
      </c>
      <c r="V199" s="13">
        <f t="shared" si="46"/>
        <v>0</v>
      </c>
      <c r="W199">
        <f t="shared" si="46"/>
        <v>0</v>
      </c>
      <c r="X199">
        <f t="shared" si="51"/>
        <v>0</v>
      </c>
      <c r="Y199" s="6">
        <f t="shared" si="52"/>
        <v>0</v>
      </c>
    </row>
    <row r="200" spans="1:25" x14ac:dyDescent="0.3">
      <c r="A200" t="str">
        <f>'rockfish harvests'!A207</f>
        <v>SC</v>
      </c>
      <c r="B200">
        <f>'rockfish harvests'!B207</f>
        <v>2003</v>
      </c>
      <c r="C200" t="str">
        <f>'rockfish harvests'!C207</f>
        <v>PWSO</v>
      </c>
      <c r="D200">
        <f>'rockfish harvests'!D207</f>
        <v>9696</v>
      </c>
      <c r="E200">
        <f>'YE harvest'!E208</f>
        <v>2448</v>
      </c>
      <c r="H200" s="13">
        <f t="shared" si="60"/>
        <v>0</v>
      </c>
      <c r="I200">
        <f t="shared" si="45"/>
        <v>0</v>
      </c>
      <c r="J200">
        <f t="shared" si="47"/>
        <v>0</v>
      </c>
      <c r="K200" s="6">
        <f t="shared" si="48"/>
        <v>0</v>
      </c>
      <c r="M200" s="2">
        <f>'rockfish harvests'!O207</f>
        <v>2011.675922965831</v>
      </c>
      <c r="N200">
        <f>'rockfish harvests'!P207</f>
        <v>923917.84611739591</v>
      </c>
      <c r="Q200" s="13">
        <f t="shared" si="61"/>
        <v>0</v>
      </c>
      <c r="R200" s="14">
        <f t="shared" si="62"/>
        <v>0</v>
      </c>
      <c r="S200">
        <f t="shared" si="49"/>
        <v>0</v>
      </c>
      <c r="T200" s="6">
        <f t="shared" si="50"/>
        <v>0</v>
      </c>
      <c r="V200" s="13">
        <f t="shared" si="46"/>
        <v>0</v>
      </c>
      <c r="W200">
        <f t="shared" si="46"/>
        <v>0</v>
      </c>
      <c r="X200">
        <f t="shared" si="51"/>
        <v>0</v>
      </c>
      <c r="Y200" s="6">
        <f t="shared" si="52"/>
        <v>0</v>
      </c>
    </row>
    <row r="201" spans="1:25" x14ac:dyDescent="0.3">
      <c r="A201" t="str">
        <f>'rockfish harvests'!A208</f>
        <v>SC</v>
      </c>
      <c r="B201">
        <f>'rockfish harvests'!B208</f>
        <v>2004</v>
      </c>
      <c r="C201" t="str">
        <f>'rockfish harvests'!C208</f>
        <v>PWSO</v>
      </c>
      <c r="D201">
        <f>'rockfish harvests'!D208</f>
        <v>12216</v>
      </c>
      <c r="E201">
        <f>'YE harvest'!E209</f>
        <v>2976</v>
      </c>
      <c r="H201" s="13">
        <f t="shared" si="60"/>
        <v>0</v>
      </c>
      <c r="I201">
        <f t="shared" si="45"/>
        <v>0</v>
      </c>
      <c r="J201">
        <f t="shared" si="47"/>
        <v>0</v>
      </c>
      <c r="K201" s="6">
        <f t="shared" si="48"/>
        <v>0</v>
      </c>
      <c r="M201" s="2">
        <f>'rockfish harvests'!O208</f>
        <v>2534.5124871029911</v>
      </c>
      <c r="N201">
        <f>'rockfish harvests'!P208</f>
        <v>1466581.4594766509</v>
      </c>
      <c r="Q201" s="13">
        <f t="shared" si="61"/>
        <v>0</v>
      </c>
      <c r="R201" s="14">
        <f t="shared" si="62"/>
        <v>0</v>
      </c>
      <c r="S201">
        <f t="shared" si="49"/>
        <v>0</v>
      </c>
      <c r="T201" s="6">
        <f t="shared" si="50"/>
        <v>0</v>
      </c>
      <c r="V201" s="13">
        <f t="shared" si="46"/>
        <v>0</v>
      </c>
      <c r="W201">
        <f t="shared" si="46"/>
        <v>0</v>
      </c>
      <c r="X201">
        <f t="shared" si="51"/>
        <v>0</v>
      </c>
      <c r="Y201" s="6">
        <f t="shared" si="52"/>
        <v>0</v>
      </c>
    </row>
    <row r="202" spans="1:25" x14ac:dyDescent="0.3">
      <c r="A202" t="str">
        <f>'rockfish harvests'!A209</f>
        <v>SC</v>
      </c>
      <c r="B202">
        <f>'rockfish harvests'!B209</f>
        <v>2005</v>
      </c>
      <c r="C202" t="str">
        <f>'rockfish harvests'!C209</f>
        <v>PWSO</v>
      </c>
      <c r="D202">
        <f>'rockfish harvests'!D209</f>
        <v>9664</v>
      </c>
      <c r="E202">
        <f>'YE harvest'!E210</f>
        <v>2177</v>
      </c>
      <c r="H202" s="13">
        <f t="shared" si="60"/>
        <v>0</v>
      </c>
      <c r="I202">
        <f t="shared" si="45"/>
        <v>0</v>
      </c>
      <c r="J202">
        <f t="shared" si="47"/>
        <v>0</v>
      </c>
      <c r="K202" s="6">
        <f t="shared" si="48"/>
        <v>0</v>
      </c>
      <c r="M202" s="2">
        <f>'rockfish harvests'!O209</f>
        <v>2005.0367285005977</v>
      </c>
      <c r="N202">
        <f>'rockfish harvests'!P209</f>
        <v>917829.44196419709</v>
      </c>
      <c r="Q202" s="13">
        <f t="shared" si="61"/>
        <v>0</v>
      </c>
      <c r="R202" s="14">
        <f t="shared" si="62"/>
        <v>0</v>
      </c>
      <c r="S202">
        <f t="shared" si="49"/>
        <v>0</v>
      </c>
      <c r="T202" s="6">
        <f t="shared" si="50"/>
        <v>0</v>
      </c>
      <c r="V202" s="13">
        <f t="shared" si="46"/>
        <v>0</v>
      </c>
      <c r="W202">
        <f t="shared" si="46"/>
        <v>0</v>
      </c>
      <c r="X202">
        <f t="shared" si="51"/>
        <v>0</v>
      </c>
      <c r="Y202" s="6">
        <f t="shared" si="52"/>
        <v>0</v>
      </c>
    </row>
    <row r="203" spans="1:25" x14ac:dyDescent="0.3">
      <c r="A203" t="str">
        <f>'rockfish harvests'!A210</f>
        <v>SC</v>
      </c>
      <c r="B203">
        <f>'rockfish harvests'!B210</f>
        <v>2006</v>
      </c>
      <c r="C203" t="str">
        <f>'rockfish harvests'!C210</f>
        <v>PWSO</v>
      </c>
      <c r="D203">
        <f>'rockfish harvests'!D210</f>
        <v>9129</v>
      </c>
      <c r="E203">
        <f>'YE harvest'!E211</f>
        <v>2934</v>
      </c>
      <c r="H203" s="13" t="e">
        <f>#REF!</f>
        <v>#REF!</v>
      </c>
      <c r="I203">
        <f t="shared" si="45"/>
        <v>0</v>
      </c>
      <c r="J203">
        <f t="shared" si="47"/>
        <v>0</v>
      </c>
      <c r="K203" s="6">
        <f t="shared" si="48"/>
        <v>0</v>
      </c>
      <c r="M203" s="2">
        <f>'rockfish harvests'!O210</f>
        <v>1894.0376960349713</v>
      </c>
      <c r="N203">
        <f>'rockfish harvests'!P210</f>
        <v>819020.09295315738</v>
      </c>
      <c r="O203" s="32"/>
      <c r="P203" s="32"/>
      <c r="Q203" s="13">
        <f t="shared" si="61"/>
        <v>0</v>
      </c>
      <c r="R203" s="14">
        <f t="shared" si="62"/>
        <v>0</v>
      </c>
      <c r="S203">
        <f t="shared" si="49"/>
        <v>0</v>
      </c>
      <c r="T203" s="6">
        <f t="shared" si="50"/>
        <v>0</v>
      </c>
      <c r="V203" s="13" t="e">
        <f t="shared" si="46"/>
        <v>#REF!</v>
      </c>
      <c r="W203">
        <f t="shared" si="46"/>
        <v>0</v>
      </c>
      <c r="X203">
        <f t="shared" si="51"/>
        <v>0</v>
      </c>
      <c r="Y203" s="6">
        <f t="shared" si="52"/>
        <v>0</v>
      </c>
    </row>
    <row r="204" spans="1:25" x14ac:dyDescent="0.3">
      <c r="A204" t="str">
        <f>'rockfish harvests'!A211</f>
        <v>SC</v>
      </c>
      <c r="B204">
        <f>'rockfish harvests'!B211</f>
        <v>2007</v>
      </c>
      <c r="C204" t="str">
        <f>'rockfish harvests'!C211</f>
        <v>PWSO</v>
      </c>
      <c r="D204">
        <f>'rockfish harvests'!D211</f>
        <v>12198</v>
      </c>
      <c r="E204">
        <f>'YE harvest'!E212</f>
        <v>3859</v>
      </c>
      <c r="H204" s="13" t="e">
        <f>#REF!</f>
        <v>#REF!</v>
      </c>
      <c r="I204">
        <f t="shared" si="45"/>
        <v>0</v>
      </c>
      <c r="J204">
        <f t="shared" si="47"/>
        <v>0</v>
      </c>
      <c r="K204" s="6">
        <f t="shared" si="48"/>
        <v>0</v>
      </c>
      <c r="M204" s="2">
        <f>'rockfish harvests'!O211</f>
        <v>2530.7779402162978</v>
      </c>
      <c r="N204">
        <f>'rockfish harvests'!P211</f>
        <v>1462262.6943327789</v>
      </c>
      <c r="O204" s="32"/>
      <c r="P204" s="32"/>
      <c r="Q204" s="13">
        <f t="shared" si="61"/>
        <v>0</v>
      </c>
      <c r="R204" s="14">
        <f t="shared" si="62"/>
        <v>0</v>
      </c>
      <c r="S204">
        <f t="shared" si="49"/>
        <v>0</v>
      </c>
      <c r="T204" s="6">
        <f t="shared" si="50"/>
        <v>0</v>
      </c>
      <c r="V204" s="13" t="e">
        <f t="shared" si="46"/>
        <v>#REF!</v>
      </c>
      <c r="W204">
        <f t="shared" si="46"/>
        <v>0</v>
      </c>
      <c r="X204">
        <f t="shared" si="51"/>
        <v>0</v>
      </c>
      <c r="Y204" s="6">
        <f t="shared" si="52"/>
        <v>0</v>
      </c>
    </row>
    <row r="205" spans="1:25" x14ac:dyDescent="0.3">
      <c r="A205" t="str">
        <f>'rockfish harvests'!A212</f>
        <v>SC</v>
      </c>
      <c r="B205">
        <f>'rockfish harvests'!B212</f>
        <v>2008</v>
      </c>
      <c r="C205" t="str">
        <f>'rockfish harvests'!C212</f>
        <v>PWSO</v>
      </c>
      <c r="D205">
        <f>'rockfish harvests'!D212</f>
        <v>13387</v>
      </c>
      <c r="E205">
        <f>'YE harvest'!E213</f>
        <v>3569</v>
      </c>
      <c r="H205" s="13" t="e">
        <f>#REF!</f>
        <v>#REF!</v>
      </c>
      <c r="I205">
        <f t="shared" si="45"/>
        <v>0</v>
      </c>
      <c r="J205">
        <f t="shared" si="47"/>
        <v>0</v>
      </c>
      <c r="K205" s="6">
        <f t="shared" si="48"/>
        <v>0</v>
      </c>
      <c r="M205" s="2">
        <f>'rockfish harvests'!O212</f>
        <v>2777.4655095651397</v>
      </c>
      <c r="N205">
        <f>'rockfish harvests'!P212</f>
        <v>1761224.3005580062</v>
      </c>
      <c r="O205" s="32"/>
      <c r="P205" s="32"/>
      <c r="Q205" s="13">
        <f t="shared" si="61"/>
        <v>0</v>
      </c>
      <c r="R205" s="14">
        <f t="shared" si="62"/>
        <v>0</v>
      </c>
      <c r="S205">
        <f t="shared" si="49"/>
        <v>0</v>
      </c>
      <c r="T205" s="6">
        <f t="shared" si="50"/>
        <v>0</v>
      </c>
      <c r="V205" s="13" t="e">
        <f t="shared" si="46"/>
        <v>#REF!</v>
      </c>
      <c r="W205">
        <f t="shared" si="46"/>
        <v>0</v>
      </c>
      <c r="X205">
        <f t="shared" si="51"/>
        <v>0</v>
      </c>
      <c r="Y205" s="6">
        <f t="shared" si="52"/>
        <v>0</v>
      </c>
    </row>
    <row r="206" spans="1:25" x14ac:dyDescent="0.3">
      <c r="A206" t="str">
        <f>'rockfish harvests'!A213</f>
        <v>SC</v>
      </c>
      <c r="B206">
        <f>'rockfish harvests'!B213</f>
        <v>2009</v>
      </c>
      <c r="C206" t="str">
        <f>'rockfish harvests'!C213</f>
        <v>PWSO</v>
      </c>
      <c r="D206">
        <f>'rockfish harvests'!D213</f>
        <v>13724</v>
      </c>
      <c r="E206">
        <f>'YE harvest'!E214</f>
        <v>3376</v>
      </c>
      <c r="H206" s="13" t="e">
        <f>#REF!</f>
        <v>#REF!</v>
      </c>
      <c r="I206">
        <f t="shared" si="45"/>
        <v>0</v>
      </c>
      <c r="J206">
        <f t="shared" si="47"/>
        <v>0</v>
      </c>
      <c r="K206" s="6">
        <f t="shared" si="48"/>
        <v>0</v>
      </c>
      <c r="M206" s="2">
        <f>'rockfish harvests'!O213</f>
        <v>2847.384526277132</v>
      </c>
      <c r="N206">
        <f>'rockfish harvests'!P213</f>
        <v>1851013.392635928</v>
      </c>
      <c r="Q206" s="13">
        <f t="shared" si="61"/>
        <v>0</v>
      </c>
      <c r="R206" s="14">
        <f t="shared" si="62"/>
        <v>0</v>
      </c>
      <c r="S206">
        <f t="shared" si="49"/>
        <v>0</v>
      </c>
      <c r="T206" s="6">
        <f t="shared" si="50"/>
        <v>0</v>
      </c>
      <c r="V206" s="13" t="e">
        <f t="shared" si="46"/>
        <v>#REF!</v>
      </c>
      <c r="W206">
        <f t="shared" si="46"/>
        <v>0</v>
      </c>
      <c r="X206">
        <f t="shared" si="51"/>
        <v>0</v>
      </c>
      <c r="Y206" s="6">
        <f t="shared" si="52"/>
        <v>0</v>
      </c>
    </row>
    <row r="207" spans="1:25" x14ac:dyDescent="0.3">
      <c r="A207" t="str">
        <f>'rockfish harvests'!A214</f>
        <v>SC</v>
      </c>
      <c r="B207">
        <f>'rockfish harvests'!B214</f>
        <v>2010</v>
      </c>
      <c r="C207" t="str">
        <f>'rockfish harvests'!C214</f>
        <v>PWSO</v>
      </c>
      <c r="D207">
        <f>'rockfish harvests'!D214</f>
        <v>13038</v>
      </c>
      <c r="E207">
        <f>'YE harvest'!E215</f>
        <v>4523</v>
      </c>
      <c r="H207" s="13" t="e">
        <f>#REF!</f>
        <v>#REF!</v>
      </c>
      <c r="I207">
        <f t="shared" si="45"/>
        <v>0</v>
      </c>
      <c r="J207">
        <f t="shared" si="47"/>
        <v>0</v>
      </c>
      <c r="K207" s="6">
        <f t="shared" si="48"/>
        <v>0</v>
      </c>
      <c r="M207" s="2">
        <f>'rockfish harvests'!O214</f>
        <v>2705.0567949286833</v>
      </c>
      <c r="N207">
        <f>'rockfish harvests'!P214</f>
        <v>1670590.8394394808</v>
      </c>
      <c r="Q207" s="13">
        <f t="shared" si="61"/>
        <v>0</v>
      </c>
      <c r="R207" s="14">
        <f t="shared" si="62"/>
        <v>0</v>
      </c>
      <c r="S207">
        <f t="shared" si="49"/>
        <v>0</v>
      </c>
      <c r="T207" s="6">
        <f t="shared" si="50"/>
        <v>0</v>
      </c>
      <c r="V207" s="13" t="e">
        <f t="shared" si="46"/>
        <v>#REF!</v>
      </c>
      <c r="W207">
        <f t="shared" si="46"/>
        <v>0</v>
      </c>
      <c r="X207">
        <f t="shared" si="51"/>
        <v>0</v>
      </c>
      <c r="Y207" s="6">
        <f t="shared" si="52"/>
        <v>0</v>
      </c>
    </row>
    <row r="208" spans="1:25" x14ac:dyDescent="0.3">
      <c r="A208" t="str">
        <f>'rockfish harvests'!A215</f>
        <v>SC</v>
      </c>
      <c r="B208">
        <f>'rockfish harvests'!B215</f>
        <v>2011</v>
      </c>
      <c r="C208" t="str">
        <f>'rockfish harvests'!C215</f>
        <v>PWSO</v>
      </c>
      <c r="D208">
        <f>'rockfish harvests'!D215</f>
        <v>15590</v>
      </c>
      <c r="E208">
        <f>'YE harvest'!E216</f>
        <v>4260</v>
      </c>
      <c r="H208" s="13" t="e">
        <f>#REF!</f>
        <v>#REF!</v>
      </c>
      <c r="I208">
        <f t="shared" si="45"/>
        <v>0</v>
      </c>
      <c r="J208">
        <f t="shared" si="47"/>
        <v>0</v>
      </c>
      <c r="K208" s="6">
        <f t="shared" si="48"/>
        <v>0</v>
      </c>
      <c r="M208" s="2">
        <f>'rockfish harvests'!O215</f>
        <v>3693.2731282159002</v>
      </c>
      <c r="N208">
        <f>'rockfish harvests'!P215</f>
        <v>1342172.6209808656</v>
      </c>
      <c r="Q208" s="13">
        <f t="shared" si="61"/>
        <v>0</v>
      </c>
      <c r="R208" s="14">
        <f t="shared" si="62"/>
        <v>0</v>
      </c>
      <c r="S208">
        <f t="shared" si="49"/>
        <v>0</v>
      </c>
      <c r="T208" s="6">
        <f t="shared" si="50"/>
        <v>0</v>
      </c>
      <c r="V208" s="13" t="e">
        <f t="shared" si="46"/>
        <v>#REF!</v>
      </c>
      <c r="W208">
        <f t="shared" si="46"/>
        <v>0</v>
      </c>
      <c r="X208">
        <f t="shared" si="51"/>
        <v>0</v>
      </c>
      <c r="Y208" s="6">
        <f t="shared" si="52"/>
        <v>0</v>
      </c>
    </row>
    <row r="209" spans="1:26" x14ac:dyDescent="0.3">
      <c r="A209" t="str">
        <f>'rockfish harvests'!A216</f>
        <v>SC</v>
      </c>
      <c r="B209">
        <f>'rockfish harvests'!B216</f>
        <v>2012</v>
      </c>
      <c r="C209" t="str">
        <f>'rockfish harvests'!C216</f>
        <v>PWSO</v>
      </c>
      <c r="D209">
        <f>'rockfish harvests'!D216</f>
        <v>16566</v>
      </c>
      <c r="E209">
        <f>'YE harvest'!E217</f>
        <v>5165</v>
      </c>
      <c r="H209" s="13" t="e">
        <f>#REF!</f>
        <v>#REF!</v>
      </c>
      <c r="I209">
        <f t="shared" si="45"/>
        <v>0</v>
      </c>
      <c r="J209">
        <f t="shared" si="47"/>
        <v>0</v>
      </c>
      <c r="K209" s="6">
        <f t="shared" si="48"/>
        <v>0</v>
      </c>
      <c r="M209" s="2">
        <f>'rockfish harvests'!O216</f>
        <v>2004.0431802604508</v>
      </c>
      <c r="N209">
        <f>'rockfish harvests'!P216</f>
        <v>375586.44375818601</v>
      </c>
      <c r="Q209" s="13">
        <f t="shared" si="61"/>
        <v>0</v>
      </c>
      <c r="R209" s="14">
        <f t="shared" si="62"/>
        <v>0</v>
      </c>
      <c r="S209">
        <f t="shared" si="49"/>
        <v>0</v>
      </c>
      <c r="T209" s="6">
        <f t="shared" si="50"/>
        <v>0</v>
      </c>
      <c r="V209" s="13" t="e">
        <f t="shared" si="46"/>
        <v>#REF!</v>
      </c>
      <c r="W209">
        <f t="shared" si="46"/>
        <v>0</v>
      </c>
      <c r="X209">
        <f t="shared" si="51"/>
        <v>0</v>
      </c>
      <c r="Y209" s="6">
        <f t="shared" si="52"/>
        <v>0</v>
      </c>
    </row>
    <row r="210" spans="1:26" x14ac:dyDescent="0.3">
      <c r="A210" t="str">
        <f>'rockfish harvests'!A217</f>
        <v>SC</v>
      </c>
      <c r="B210">
        <f>'rockfish harvests'!B217</f>
        <v>2013</v>
      </c>
      <c r="C210" t="str">
        <f>'rockfish harvests'!C217</f>
        <v>PWSO</v>
      </c>
      <c r="D210">
        <f>'rockfish harvests'!D217</f>
        <v>19818</v>
      </c>
      <c r="E210">
        <f>'YE harvest'!E218</f>
        <v>5595</v>
      </c>
      <c r="H210" s="13" t="e">
        <f>#REF!</f>
        <v>#REF!</v>
      </c>
      <c r="I210">
        <f t="shared" si="45"/>
        <v>0</v>
      </c>
      <c r="J210">
        <f t="shared" si="47"/>
        <v>0</v>
      </c>
      <c r="K210" s="6">
        <f t="shared" si="48"/>
        <v>0</v>
      </c>
      <c r="M210" s="2">
        <f>'rockfish harvests'!O217</f>
        <v>6885.7645042839649</v>
      </c>
      <c r="N210">
        <f>'rockfish harvests'!P217</f>
        <v>4343369.567205376</v>
      </c>
      <c r="Q210" s="13">
        <f t="shared" si="61"/>
        <v>0</v>
      </c>
      <c r="R210" s="14">
        <f t="shared" si="62"/>
        <v>0</v>
      </c>
      <c r="S210">
        <f t="shared" si="49"/>
        <v>0</v>
      </c>
      <c r="T210" s="6">
        <f t="shared" si="50"/>
        <v>0</v>
      </c>
      <c r="V210" s="13" t="e">
        <f t="shared" si="46"/>
        <v>#REF!</v>
      </c>
      <c r="W210">
        <f t="shared" si="46"/>
        <v>0</v>
      </c>
      <c r="X210">
        <f t="shared" si="51"/>
        <v>0</v>
      </c>
      <c r="Y210" s="6">
        <f t="shared" si="52"/>
        <v>0</v>
      </c>
    </row>
    <row r="211" spans="1:26" x14ac:dyDescent="0.3">
      <c r="A211" t="str">
        <f>'rockfish harvests'!A218</f>
        <v>SC</v>
      </c>
      <c r="B211">
        <f>'rockfish harvests'!B218</f>
        <v>2014</v>
      </c>
      <c r="C211" t="str">
        <f>'rockfish harvests'!C218</f>
        <v>PWSO</v>
      </c>
      <c r="D211">
        <f>'rockfish harvests'!D218</f>
        <v>21309</v>
      </c>
      <c r="E211">
        <f>'YE harvest'!E219</f>
        <v>5557</v>
      </c>
      <c r="H211" s="13" t="e">
        <f>#REF!</f>
        <v>#REF!</v>
      </c>
      <c r="I211">
        <f t="shared" si="45"/>
        <v>0</v>
      </c>
      <c r="J211">
        <f t="shared" si="47"/>
        <v>0</v>
      </c>
      <c r="K211" s="6">
        <f t="shared" si="48"/>
        <v>0</v>
      </c>
      <c r="M211" s="2">
        <f>'rockfish harvests'!O218</f>
        <v>7356.7256448320622</v>
      </c>
      <c r="N211">
        <f>'rockfish harvests'!P218</f>
        <v>3862984.9469756186</v>
      </c>
      <c r="Q211" s="13">
        <f t="shared" si="61"/>
        <v>0</v>
      </c>
      <c r="R211" s="14">
        <f t="shared" si="62"/>
        <v>0</v>
      </c>
      <c r="S211">
        <f t="shared" si="49"/>
        <v>0</v>
      </c>
      <c r="T211" s="6">
        <f t="shared" si="50"/>
        <v>0</v>
      </c>
      <c r="V211" s="13" t="e">
        <f t="shared" si="46"/>
        <v>#REF!</v>
      </c>
      <c r="W211">
        <f t="shared" si="46"/>
        <v>0</v>
      </c>
      <c r="X211">
        <f t="shared" si="51"/>
        <v>0</v>
      </c>
      <c r="Y211" s="6">
        <f t="shared" si="52"/>
        <v>0</v>
      </c>
    </row>
    <row r="212" spans="1:26" x14ac:dyDescent="0.3">
      <c r="A212" t="str">
        <f>'rockfish harvests'!A219</f>
        <v>SC</v>
      </c>
      <c r="B212">
        <f>'rockfish harvests'!B219</f>
        <v>2015</v>
      </c>
      <c r="C212" t="str">
        <f>'rockfish harvests'!C219</f>
        <v>PWSO</v>
      </c>
      <c r="D212">
        <f>'rockfish harvests'!D219</f>
        <v>24516</v>
      </c>
      <c r="E212">
        <f>'YE harvest'!E220</f>
        <v>6130</v>
      </c>
      <c r="H212" s="13" t="e">
        <f>#REF!</f>
        <v>#REF!</v>
      </c>
      <c r="I212">
        <f t="shared" si="45"/>
        <v>0</v>
      </c>
      <c r="J212">
        <f t="shared" si="47"/>
        <v>0</v>
      </c>
      <c r="K212" s="6">
        <f t="shared" si="48"/>
        <v>0</v>
      </c>
      <c r="M212" s="2">
        <f>'rockfish harvests'!O219</f>
        <v>2612.963774691143</v>
      </c>
      <c r="N212">
        <f>'rockfish harvests'!P219</f>
        <v>501421.42786728247</v>
      </c>
      <c r="Q212" s="13">
        <f t="shared" si="61"/>
        <v>0</v>
      </c>
      <c r="R212" s="14">
        <f t="shared" si="62"/>
        <v>0</v>
      </c>
      <c r="S212">
        <f t="shared" si="49"/>
        <v>0</v>
      </c>
      <c r="T212" s="6">
        <f t="shared" si="50"/>
        <v>0</v>
      </c>
      <c r="V212" s="13" t="e">
        <f t="shared" si="46"/>
        <v>#REF!</v>
      </c>
      <c r="W212">
        <f t="shared" si="46"/>
        <v>0</v>
      </c>
      <c r="X212">
        <f t="shared" si="51"/>
        <v>0</v>
      </c>
      <c r="Y212" s="6">
        <f t="shared" si="52"/>
        <v>0</v>
      </c>
    </row>
    <row r="213" spans="1:26" x14ac:dyDescent="0.3">
      <c r="A213" t="str">
        <f>'rockfish harvests'!A220</f>
        <v>SC</v>
      </c>
      <c r="B213">
        <f>'rockfish harvests'!B220</f>
        <v>2016</v>
      </c>
      <c r="C213" t="str">
        <f>'rockfish harvests'!C220</f>
        <v>PWSO</v>
      </c>
      <c r="D213">
        <f>'rockfish harvests'!D220</f>
        <v>29349</v>
      </c>
      <c r="E213">
        <f>'YE harvest'!E221</f>
        <v>7689</v>
      </c>
      <c r="H213" s="13" t="e">
        <f>#REF!</f>
        <v>#REF!</v>
      </c>
      <c r="I213">
        <f t="shared" si="45"/>
        <v>0</v>
      </c>
      <c r="J213">
        <f t="shared" si="47"/>
        <v>0</v>
      </c>
      <c r="K213" s="6">
        <f t="shared" si="48"/>
        <v>0</v>
      </c>
      <c r="M213" s="2">
        <f>'rockfish harvests'!O220</f>
        <v>3728.736072598942</v>
      </c>
      <c r="N213">
        <f>'rockfish harvests'!P220</f>
        <v>690520.60458105023</v>
      </c>
      <c r="Q213" s="13">
        <f t="shared" si="61"/>
        <v>0</v>
      </c>
      <c r="R213" s="14">
        <f t="shared" si="62"/>
        <v>0</v>
      </c>
      <c r="S213">
        <f t="shared" si="49"/>
        <v>0</v>
      </c>
      <c r="T213" s="6">
        <f t="shared" si="50"/>
        <v>0</v>
      </c>
      <c r="V213" s="13" t="e">
        <f t="shared" si="46"/>
        <v>#REF!</v>
      </c>
      <c r="W213">
        <f t="shared" si="46"/>
        <v>0</v>
      </c>
      <c r="X213">
        <f t="shared" si="51"/>
        <v>0</v>
      </c>
      <c r="Y213" s="6">
        <f t="shared" si="52"/>
        <v>0</v>
      </c>
    </row>
    <row r="214" spans="1:26" x14ac:dyDescent="0.3">
      <c r="A214" t="str">
        <f>'rockfish harvests'!A221</f>
        <v>SC</v>
      </c>
      <c r="B214">
        <f>'rockfish harvests'!B221</f>
        <v>2017</v>
      </c>
      <c r="C214" t="str">
        <f>'rockfish harvests'!C221</f>
        <v>PWSO</v>
      </c>
      <c r="D214">
        <f>'rockfish harvests'!D221</f>
        <v>28647</v>
      </c>
      <c r="E214">
        <f>'YE harvest'!E222</f>
        <v>7729</v>
      </c>
      <c r="H214" s="13" t="e">
        <f>#REF!</f>
        <v>#REF!</v>
      </c>
      <c r="I214">
        <f t="shared" si="45"/>
        <v>0</v>
      </c>
      <c r="J214">
        <f t="shared" si="47"/>
        <v>0</v>
      </c>
      <c r="K214" s="6">
        <f t="shared" si="48"/>
        <v>0</v>
      </c>
      <c r="M214" s="2">
        <f>'rockfish harvests'!O221</f>
        <v>7308.8621616433084</v>
      </c>
      <c r="N214">
        <f>'rockfish harvests'!P221</f>
        <v>5936209.9806912215</v>
      </c>
      <c r="Q214" s="13">
        <f t="shared" si="61"/>
        <v>0</v>
      </c>
      <c r="R214" s="14">
        <f t="shared" si="62"/>
        <v>0</v>
      </c>
      <c r="S214">
        <f t="shared" si="49"/>
        <v>0</v>
      </c>
      <c r="T214" s="6">
        <f t="shared" si="50"/>
        <v>0</v>
      </c>
      <c r="V214" s="13" t="e">
        <f t="shared" si="46"/>
        <v>#REF!</v>
      </c>
      <c r="W214">
        <f t="shared" si="46"/>
        <v>0</v>
      </c>
      <c r="X214">
        <f t="shared" si="51"/>
        <v>0</v>
      </c>
      <c r="Y214" s="6">
        <f t="shared" si="52"/>
        <v>0</v>
      </c>
    </row>
    <row r="215" spans="1:26" x14ac:dyDescent="0.3">
      <c r="A215" t="str">
        <f>'rockfish harvests'!A222</f>
        <v>SC</v>
      </c>
      <c r="B215">
        <f>'rockfish harvests'!B222</f>
        <v>2018</v>
      </c>
      <c r="C215" t="str">
        <f>'rockfish harvests'!C222</f>
        <v>PWSO</v>
      </c>
      <c r="D215">
        <f>'rockfish harvests'!D222</f>
        <v>27142</v>
      </c>
      <c r="E215">
        <f>'YE harvest'!E223</f>
        <v>5333</v>
      </c>
      <c r="H215" s="13" t="e">
        <f>#REF!</f>
        <v>#REF!</v>
      </c>
      <c r="I215">
        <f t="shared" si="45"/>
        <v>0</v>
      </c>
      <c r="J215">
        <f t="shared" si="47"/>
        <v>0</v>
      </c>
      <c r="K215" s="6">
        <f t="shared" si="48"/>
        <v>0</v>
      </c>
      <c r="M215" s="2">
        <f>'rockfish harvests'!O222</f>
        <v>4727.7448574203227</v>
      </c>
      <c r="N215">
        <f>'rockfish harvests'!P222</f>
        <v>2237274.0611776323</v>
      </c>
      <c r="Q215" s="13">
        <f t="shared" si="61"/>
        <v>0</v>
      </c>
      <c r="R215" s="14">
        <f t="shared" si="62"/>
        <v>0</v>
      </c>
      <c r="S215">
        <f t="shared" si="49"/>
        <v>0</v>
      </c>
      <c r="T215" s="6">
        <f t="shared" si="50"/>
        <v>0</v>
      </c>
      <c r="V215" s="13" t="e">
        <f t="shared" si="46"/>
        <v>#REF!</v>
      </c>
      <c r="W215">
        <f t="shared" si="46"/>
        <v>0</v>
      </c>
      <c r="X215">
        <f t="shared" si="51"/>
        <v>0</v>
      </c>
      <c r="Y215" s="6">
        <f t="shared" si="52"/>
        <v>0</v>
      </c>
    </row>
    <row r="216" spans="1:26" x14ac:dyDescent="0.3">
      <c r="A216" t="str">
        <f>'rockfish harvests'!A223</f>
        <v>SC</v>
      </c>
      <c r="B216">
        <f>'rockfish harvests'!B223</f>
        <v>2019</v>
      </c>
      <c r="C216" t="str">
        <f>'rockfish harvests'!C223</f>
        <v>PWSO</v>
      </c>
      <c r="D216">
        <f>'rockfish harvests'!D223</f>
        <v>33682</v>
      </c>
      <c r="E216">
        <f>'YE harvest'!E224</f>
        <v>7623</v>
      </c>
      <c r="I216">
        <f t="shared" ref="I216:I217" si="63">(E216^2)*G216</f>
        <v>0</v>
      </c>
      <c r="J216">
        <f t="shared" ref="J216:J217" si="64">SQRT(I216)</f>
        <v>0</v>
      </c>
      <c r="K216" s="6">
        <f t="shared" ref="K216:K217" si="65">(1.96*J216)</f>
        <v>0</v>
      </c>
      <c r="M216" s="2">
        <f>'rockfish harvests'!O223</f>
        <v>6995.3520303194382</v>
      </c>
      <c r="N216">
        <f>'rockfish harvests'!P223</f>
        <v>5326815.9562128652</v>
      </c>
      <c r="R216" s="14"/>
      <c r="S216"/>
      <c r="T216" s="6"/>
      <c r="Y216" s="6"/>
    </row>
    <row r="217" spans="1:26" x14ac:dyDescent="0.3">
      <c r="A217" t="str">
        <f>'rockfish harvests'!A224</f>
        <v>SC</v>
      </c>
      <c r="B217">
        <f>'rockfish harvests'!B224</f>
        <v>2020</v>
      </c>
      <c r="C217" t="str">
        <f>'rockfish harvests'!C224</f>
        <v>PWSO</v>
      </c>
      <c r="D217">
        <f>'rockfish harvests'!D224</f>
        <v>29279</v>
      </c>
      <c r="E217">
        <f>'YE harvest'!E225</f>
        <v>5450</v>
      </c>
      <c r="I217">
        <f t="shared" si="63"/>
        <v>0</v>
      </c>
      <c r="J217">
        <f t="shared" si="64"/>
        <v>0</v>
      </c>
      <c r="K217" s="6">
        <f t="shared" si="65"/>
        <v>0</v>
      </c>
      <c r="M217" s="2">
        <f>'rockfish harvests'!O224</f>
        <v>6546.1019423978578</v>
      </c>
      <c r="N217">
        <f>'rockfish harvests'!P224</f>
        <v>3018032.5104616564</v>
      </c>
      <c r="R217" s="14"/>
      <c r="S217"/>
      <c r="T217" s="6"/>
      <c r="Y217" s="6"/>
    </row>
    <row r="218" spans="1:26" x14ac:dyDescent="0.3">
      <c r="A218" t="str">
        <f>'rockfish harvests'!A225</f>
        <v>SC</v>
      </c>
      <c r="B218">
        <f>'rockfish harvests'!B225</f>
        <v>2021</v>
      </c>
      <c r="C218" t="str">
        <f>'rockfish harvests'!C225</f>
        <v>PWSO</v>
      </c>
      <c r="D218">
        <f>'rockfish harvests'!D225</f>
        <v>38638</v>
      </c>
      <c r="E218">
        <f>'YE harvest'!E226</f>
        <v>5963</v>
      </c>
      <c r="K218" s="6"/>
      <c r="M218" s="2">
        <f>'rockfish harvests'!O225</f>
        <v>8140.8816955045913</v>
      </c>
      <c r="N218">
        <f>'rockfish harvests'!P225</f>
        <v>4846611.7748930994</v>
      </c>
      <c r="R218" s="14"/>
      <c r="S218"/>
      <c r="T218" s="6"/>
      <c r="Y218" s="6"/>
    </row>
    <row r="219" spans="1:26" x14ac:dyDescent="0.3">
      <c r="A219" t="str">
        <f>'rockfish harvests'!A227</f>
        <v>SE</v>
      </c>
      <c r="B219">
        <f>'rockfish harvests'!B227</f>
        <v>1998</v>
      </c>
      <c r="C219" t="str">
        <f>'rockfish harvests'!C227</f>
        <v>CSEO</v>
      </c>
      <c r="D219">
        <f>'rockfish harvests'!D227</f>
        <v>9366</v>
      </c>
      <c r="E219">
        <f>'YE harvest'!E228</f>
        <v>4902</v>
      </c>
      <c r="F219" s="32">
        <v>0.12033498300000001</v>
      </c>
      <c r="G219" s="48">
        <v>4.2679450000000004E-3</v>
      </c>
      <c r="H219" s="13">
        <f t="shared" ref="H219:H294" si="66">E219*F219</f>
        <v>589.88208666600008</v>
      </c>
      <c r="I219">
        <f t="shared" si="45"/>
        <v>102557.02824378001</v>
      </c>
      <c r="J219">
        <f t="shared" si="47"/>
        <v>320.24526264065173</v>
      </c>
      <c r="K219" s="6">
        <f t="shared" si="48"/>
        <v>627.68071477567742</v>
      </c>
      <c r="M219" s="2">
        <f>'rockfish harvests'!O227</f>
        <v>1419.5566561478372</v>
      </c>
      <c r="N219">
        <f>'rockfish harvests'!P227</f>
        <v>224247.08472663842</v>
      </c>
      <c r="O219" s="32">
        <v>4.0472332999999999E-2</v>
      </c>
      <c r="P219" s="32">
        <v>4.72614E-4</v>
      </c>
      <c r="Q219" s="13">
        <f t="shared" si="61"/>
        <v>57.452769699981765</v>
      </c>
      <c r="R219" s="14">
        <f>(M219^2)*P219+(O219^2)*N219+(P219*N219)</f>
        <v>1425.6851161469831</v>
      </c>
      <c r="S219">
        <f t="shared" si="49"/>
        <v>37.75824567093899</v>
      </c>
      <c r="T219" s="6">
        <f t="shared" si="50"/>
        <v>74.006161515040418</v>
      </c>
      <c r="V219" s="13">
        <f t="shared" si="46"/>
        <v>647.33485636598186</v>
      </c>
      <c r="W219">
        <f t="shared" si="46"/>
        <v>103982.71335992699</v>
      </c>
      <c r="X219">
        <f t="shared" si="51"/>
        <v>322.46350702044873</v>
      </c>
      <c r="Y219" s="6">
        <f t="shared" si="52"/>
        <v>632.02847376007946</v>
      </c>
      <c r="Z219" s="14">
        <f t="shared" ref="Z219:Z288" si="67">X219/V219</f>
        <v>0.49814018795573473</v>
      </c>
    </row>
    <row r="220" spans="1:26" x14ac:dyDescent="0.3">
      <c r="A220" t="str">
        <f>'rockfish harvests'!A228</f>
        <v>SE</v>
      </c>
      <c r="B220">
        <f>'rockfish harvests'!B228</f>
        <v>1999</v>
      </c>
      <c r="C220" t="str">
        <f>'rockfish harvests'!C228</f>
        <v>CSEO</v>
      </c>
      <c r="D220">
        <f>'rockfish harvests'!D228</f>
        <v>9636</v>
      </c>
      <c r="E220">
        <f>'YE harvest'!E229</f>
        <v>5800</v>
      </c>
      <c r="F220" s="32">
        <v>0.12033498300000001</v>
      </c>
      <c r="G220" s="48">
        <v>4.2679450000000004E-3</v>
      </c>
      <c r="H220" s="13">
        <f t="shared" si="66"/>
        <v>697.94290139999998</v>
      </c>
      <c r="I220">
        <f t="shared" si="45"/>
        <v>143573.6698</v>
      </c>
      <c r="J220">
        <f t="shared" si="47"/>
        <v>378.91116346711141</v>
      </c>
      <c r="K220" s="6">
        <f t="shared" si="48"/>
        <v>742.66588039553835</v>
      </c>
      <c r="M220" s="2">
        <f>'rockfish harvests'!O228</f>
        <v>1460.4791734615155</v>
      </c>
      <c r="N220">
        <f>'rockfish harvests'!P228</f>
        <v>237362.48582500662</v>
      </c>
      <c r="O220" s="32">
        <v>4.0472332999999999E-2</v>
      </c>
      <c r="P220" s="32">
        <v>4.72614E-4</v>
      </c>
      <c r="Q220" s="13">
        <f t="shared" si="61"/>
        <v>59.108999447899215</v>
      </c>
      <c r="R220" s="14">
        <f t="shared" ref="R220:R283" si="68">(M220^2)*P220+(O220^2)*N220+(P220*N220)</f>
        <v>1509.0682832505147</v>
      </c>
      <c r="S220">
        <f t="shared" si="49"/>
        <v>38.846728089383724</v>
      </c>
      <c r="T220" s="6">
        <f t="shared" si="50"/>
        <v>76.139587055192095</v>
      </c>
      <c r="V220" s="13">
        <f t="shared" si="46"/>
        <v>757.05190084789922</v>
      </c>
      <c r="W220">
        <f t="shared" si="46"/>
        <v>145082.73808325053</v>
      </c>
      <c r="X220">
        <f t="shared" si="51"/>
        <v>380.89728022558853</v>
      </c>
      <c r="Y220" s="6">
        <f t="shared" si="52"/>
        <v>746.55866924215354</v>
      </c>
      <c r="Z220" s="14">
        <f t="shared" si="67"/>
        <v>0.50313232130978469</v>
      </c>
    </row>
    <row r="221" spans="1:26" x14ac:dyDescent="0.3">
      <c r="A221" t="str">
        <f>'rockfish harvests'!A229</f>
        <v>SE</v>
      </c>
      <c r="B221">
        <f>'rockfish harvests'!B229</f>
        <v>2000</v>
      </c>
      <c r="C221" t="str">
        <f>'rockfish harvests'!C229</f>
        <v>CSEO</v>
      </c>
      <c r="D221">
        <f>'rockfish harvests'!D229</f>
        <v>16855</v>
      </c>
      <c r="E221">
        <f>'YE harvest'!E230</f>
        <v>11078</v>
      </c>
      <c r="F221" s="32">
        <v>0.12033498300000001</v>
      </c>
      <c r="G221" s="48">
        <v>4.2679450000000004E-3</v>
      </c>
      <c r="H221" s="13">
        <f t="shared" si="66"/>
        <v>1333.0709416740001</v>
      </c>
      <c r="I221">
        <f t="shared" si="45"/>
        <v>523771.10479738005</v>
      </c>
      <c r="J221">
        <f t="shared" si="47"/>
        <v>723.72032222218274</v>
      </c>
      <c r="K221" s="6">
        <f t="shared" si="48"/>
        <v>1418.4918315554783</v>
      </c>
      <c r="M221" s="2">
        <f>'rockfish harvests'!O229</f>
        <v>2554.6260345261362</v>
      </c>
      <c r="N221">
        <f>'rockfish harvests'!P229</f>
        <v>726233.05564746587</v>
      </c>
      <c r="O221" s="32">
        <v>4.0472332999999999E-2</v>
      </c>
      <c r="P221" s="32">
        <v>4.72614E-4</v>
      </c>
      <c r="Q221" s="13">
        <f t="shared" si="61"/>
        <v>103.39167555981128</v>
      </c>
      <c r="R221" s="14">
        <f t="shared" si="68"/>
        <v>4617.137652213778</v>
      </c>
      <c r="S221">
        <f t="shared" si="49"/>
        <v>67.949522825504658</v>
      </c>
      <c r="T221" s="6">
        <f t="shared" si="50"/>
        <v>133.18106473798912</v>
      </c>
      <c r="V221" s="13">
        <f t="shared" si="46"/>
        <v>1436.4626172338114</v>
      </c>
      <c r="W221">
        <f t="shared" si="46"/>
        <v>528388.24244959385</v>
      </c>
      <c r="X221">
        <f t="shared" si="51"/>
        <v>726.90318643516332</v>
      </c>
      <c r="Y221" s="6">
        <f t="shared" si="52"/>
        <v>1424.7302454129201</v>
      </c>
      <c r="Z221" s="14">
        <f t="shared" si="67"/>
        <v>0.50603696727935532</v>
      </c>
    </row>
    <row r="222" spans="1:26" x14ac:dyDescent="0.3">
      <c r="A222" t="str">
        <f>'rockfish harvests'!A230</f>
        <v>SE</v>
      </c>
      <c r="B222">
        <f>'rockfish harvests'!B230</f>
        <v>2001</v>
      </c>
      <c r="C222" t="str">
        <f>'rockfish harvests'!C230</f>
        <v>CSEO</v>
      </c>
      <c r="D222">
        <f>'rockfish harvests'!D230</f>
        <v>15083</v>
      </c>
      <c r="E222">
        <f>'YE harvest'!E231</f>
        <v>11046</v>
      </c>
      <c r="F222" s="32">
        <v>0.12033498300000001</v>
      </c>
      <c r="G222" s="48">
        <v>4.2679450000000004E-3</v>
      </c>
      <c r="H222" s="13">
        <f t="shared" si="66"/>
        <v>1329.2202222180001</v>
      </c>
      <c r="I222">
        <f t="shared" ref="I222:I297" si="69">(E222^2)*G222</f>
        <v>520749.53631162003</v>
      </c>
      <c r="J222">
        <f t="shared" si="47"/>
        <v>721.62977787201942</v>
      </c>
      <c r="K222" s="6">
        <f t="shared" si="48"/>
        <v>1414.394364629158</v>
      </c>
      <c r="M222" s="2">
        <f>'rockfish harvests'!O230</f>
        <v>2286.0530690452506</v>
      </c>
      <c r="N222">
        <f>'rockfish harvests'!P230</f>
        <v>581559.24091147329</v>
      </c>
      <c r="O222" s="32">
        <v>4.0472332999999999E-2</v>
      </c>
      <c r="P222" s="32">
        <v>4.72614E-4</v>
      </c>
      <c r="Q222" s="13">
        <f t="shared" si="61"/>
        <v>92.521901066071379</v>
      </c>
      <c r="R222" s="14">
        <f t="shared" si="68"/>
        <v>3697.3517623916418</v>
      </c>
      <c r="S222">
        <f t="shared" si="49"/>
        <v>60.805853027415395</v>
      </c>
      <c r="T222" s="6">
        <f t="shared" si="50"/>
        <v>119.17947193373418</v>
      </c>
      <c r="V222" s="13">
        <f t="shared" ref="V222:W297" si="70">Q222+H222</f>
        <v>1421.7421232840716</v>
      </c>
      <c r="W222">
        <f t="shared" si="70"/>
        <v>524446.88807401166</v>
      </c>
      <c r="X222">
        <f t="shared" si="51"/>
        <v>724.18705323556537</v>
      </c>
      <c r="Y222" s="6">
        <f t="shared" si="52"/>
        <v>1419.406624341708</v>
      </c>
      <c r="Z222" s="14">
        <f t="shared" si="67"/>
        <v>0.50936596825503844</v>
      </c>
    </row>
    <row r="223" spans="1:26" x14ac:dyDescent="0.3">
      <c r="A223" t="str">
        <f>'rockfish harvests'!A231</f>
        <v>SE</v>
      </c>
      <c r="B223">
        <f>'rockfish harvests'!B231</f>
        <v>2002</v>
      </c>
      <c r="C223" t="str">
        <f>'rockfish harvests'!C231</f>
        <v>CSEO</v>
      </c>
      <c r="D223">
        <f>'rockfish harvests'!D231</f>
        <v>14004</v>
      </c>
      <c r="E223">
        <f>'YE harvest'!E232</f>
        <v>8798</v>
      </c>
      <c r="F223" s="32">
        <v>0.12033498300000001</v>
      </c>
      <c r="G223" s="48">
        <v>4.2679450000000004E-3</v>
      </c>
      <c r="H223" s="13">
        <f t="shared" si="66"/>
        <v>1058.7071804340001</v>
      </c>
      <c r="I223">
        <f t="shared" si="69"/>
        <v>330359.44620778004</v>
      </c>
      <c r="J223">
        <f t="shared" ref="J223:J298" si="71">SQRT(I223)</f>
        <v>574.76903727304239</v>
      </c>
      <c r="K223" s="6">
        <f t="shared" ref="K223:K298" si="72">(1.96*J223)</f>
        <v>1126.5473130551632</v>
      </c>
      <c r="M223" s="2">
        <f>'rockfish harvests'!O231</f>
        <v>2122.5145646694764</v>
      </c>
      <c r="N223">
        <f>'rockfish harvests'!P231</f>
        <v>501328.85623143055</v>
      </c>
      <c r="O223" s="32">
        <v>4.0472332999999999E-2</v>
      </c>
      <c r="P223" s="32">
        <v>4.72614E-4</v>
      </c>
      <c r="Q223" s="13">
        <f t="shared" si="61"/>
        <v>85.903116258653085</v>
      </c>
      <c r="R223" s="14">
        <f t="shared" si="68"/>
        <v>3187.2748289924029</v>
      </c>
      <c r="S223">
        <f t="shared" ref="S223:S298" si="73">SQRT(R223)</f>
        <v>56.455954770001036</v>
      </c>
      <c r="T223" s="6">
        <f t="shared" ref="T223:T298" si="74">(1.96*S223)</f>
        <v>110.65367134920203</v>
      </c>
      <c r="V223" s="13">
        <f t="shared" si="70"/>
        <v>1144.6102966926533</v>
      </c>
      <c r="W223">
        <f t="shared" si="70"/>
        <v>333546.72103677242</v>
      </c>
      <c r="X223">
        <f t="shared" ref="X223:X298" si="75">SQRT(W223)</f>
        <v>577.53503879571883</v>
      </c>
      <c r="Y223" s="6">
        <f t="shared" ref="Y223:Y298" si="76">(1.96*X223)</f>
        <v>1131.9686760396089</v>
      </c>
      <c r="Z223" s="14">
        <f t="shared" si="67"/>
        <v>0.50456914503084926</v>
      </c>
    </row>
    <row r="224" spans="1:26" x14ac:dyDescent="0.3">
      <c r="A224" t="str">
        <f>'rockfish harvests'!A232</f>
        <v>SE</v>
      </c>
      <c r="B224">
        <f>'rockfish harvests'!B232</f>
        <v>2003</v>
      </c>
      <c r="C224" t="str">
        <f>'rockfish harvests'!C232</f>
        <v>CSEO</v>
      </c>
      <c r="D224">
        <f>'rockfish harvests'!D232</f>
        <v>15272</v>
      </c>
      <c r="E224">
        <f>'YE harvest'!E233</f>
        <v>8561</v>
      </c>
      <c r="F224" s="32">
        <v>0.12033498300000001</v>
      </c>
      <c r="G224" s="48">
        <v>4.2679450000000004E-3</v>
      </c>
      <c r="H224" s="13">
        <f t="shared" si="66"/>
        <v>1030.1877894629999</v>
      </c>
      <c r="I224">
        <f t="shared" si="69"/>
        <v>312800.76623834501</v>
      </c>
      <c r="J224">
        <f t="shared" si="71"/>
        <v>559.28594317964496</v>
      </c>
      <c r="K224" s="6">
        <f t="shared" si="72"/>
        <v>1096.2004486321041</v>
      </c>
      <c r="M224" s="2">
        <f>'rockfish harvests'!O232</f>
        <v>2314.6988311648274</v>
      </c>
      <c r="N224">
        <f>'rockfish harvests'!P232</f>
        <v>596225.20240177307</v>
      </c>
      <c r="O224" s="32">
        <v>4.0472332999999999E-2</v>
      </c>
      <c r="P224" s="32">
        <v>4.72614E-4</v>
      </c>
      <c r="Q224" s="13">
        <f t="shared" si="61"/>
        <v>93.681261889613666</v>
      </c>
      <c r="R224" s="14">
        <f t="shared" si="68"/>
        <v>3790.5928541819521</v>
      </c>
      <c r="S224">
        <f t="shared" si="73"/>
        <v>61.567790720326748</v>
      </c>
      <c r="T224" s="6">
        <f t="shared" si="74"/>
        <v>120.67286981184043</v>
      </c>
      <c r="V224" s="13">
        <f t="shared" si="70"/>
        <v>1123.8690513526135</v>
      </c>
      <c r="W224">
        <f t="shared" si="70"/>
        <v>316591.35909252695</v>
      </c>
      <c r="X224">
        <f t="shared" si="75"/>
        <v>562.66451735694773</v>
      </c>
      <c r="Y224" s="6">
        <f t="shared" si="76"/>
        <v>1102.8224540196175</v>
      </c>
      <c r="Z224" s="14">
        <f t="shared" si="67"/>
        <v>0.50064953446290061</v>
      </c>
    </row>
    <row r="225" spans="1:26" x14ac:dyDescent="0.3">
      <c r="A225" t="str">
        <f>'rockfish harvests'!A233</f>
        <v>SE</v>
      </c>
      <c r="B225">
        <f>'rockfish harvests'!B233</f>
        <v>2004</v>
      </c>
      <c r="C225" t="str">
        <f>'rockfish harvests'!C233</f>
        <v>CSEO</v>
      </c>
      <c r="D225">
        <f>'rockfish harvests'!D233</f>
        <v>21796</v>
      </c>
      <c r="E225">
        <f>'YE harvest'!E234</f>
        <v>12007</v>
      </c>
      <c r="F225" s="32">
        <v>0.12033498300000001</v>
      </c>
      <c r="G225" s="48">
        <v>4.2679450000000004E-3</v>
      </c>
      <c r="H225" s="13">
        <f t="shared" si="66"/>
        <v>1444.8621408810002</v>
      </c>
      <c r="I225">
        <f t="shared" si="69"/>
        <v>615301.3038893051</v>
      </c>
      <c r="J225">
        <f t="shared" si="71"/>
        <v>784.41143788786326</v>
      </c>
      <c r="K225" s="6">
        <f t="shared" si="72"/>
        <v>1537.4464182602119</v>
      </c>
      <c r="M225" s="2">
        <f>'rockfish harvests'!O233</f>
        <v>3303.5081013664603</v>
      </c>
      <c r="N225">
        <f>'rockfish harvests'!P233</f>
        <v>1214428.9103843591</v>
      </c>
      <c r="O225" s="32">
        <v>4.0472332999999999E-2</v>
      </c>
      <c r="P225" s="32">
        <v>4.72614E-4</v>
      </c>
      <c r="Q225" s="13">
        <f t="shared" si="61"/>
        <v>133.70067994670114</v>
      </c>
      <c r="R225" s="14">
        <f t="shared" si="68"/>
        <v>7720.9174168938762</v>
      </c>
      <c r="S225">
        <f t="shared" si="73"/>
        <v>87.868751083043605</v>
      </c>
      <c r="T225" s="6">
        <f t="shared" si="74"/>
        <v>172.22275212276546</v>
      </c>
      <c r="V225" s="13">
        <f t="shared" si="70"/>
        <v>1578.5628208277012</v>
      </c>
      <c r="W225">
        <f t="shared" si="70"/>
        <v>623022.22130619898</v>
      </c>
      <c r="X225">
        <f t="shared" si="75"/>
        <v>789.31756682985269</v>
      </c>
      <c r="Y225" s="6">
        <f t="shared" si="76"/>
        <v>1547.0624309865113</v>
      </c>
      <c r="Z225" s="14">
        <f t="shared" si="67"/>
        <v>0.50002290464182042</v>
      </c>
    </row>
    <row r="226" spans="1:26" x14ac:dyDescent="0.3">
      <c r="A226" t="str">
        <f>'rockfish harvests'!A234</f>
        <v>SE</v>
      </c>
      <c r="B226">
        <f>'rockfish harvests'!B234</f>
        <v>2005</v>
      </c>
      <c r="C226" t="str">
        <f>'rockfish harvests'!C234</f>
        <v>CSEO</v>
      </c>
      <c r="D226">
        <f>'rockfish harvests'!D234</f>
        <v>27304</v>
      </c>
      <c r="E226">
        <f>'YE harvest'!E235</f>
        <v>14418</v>
      </c>
      <c r="F226" s="32">
        <v>0.12033498300000001</v>
      </c>
      <c r="G226" s="48">
        <v>4.2679450000000004E-3</v>
      </c>
      <c r="H226" s="13">
        <f t="shared" si="66"/>
        <v>1734.9897848940002</v>
      </c>
      <c r="I226">
        <f t="shared" si="69"/>
        <v>887214.96070218005</v>
      </c>
      <c r="J226">
        <f t="shared" si="71"/>
        <v>941.92088877048479</v>
      </c>
      <c r="K226" s="6">
        <f t="shared" si="72"/>
        <v>1846.1649419901501</v>
      </c>
      <c r="M226" s="2">
        <f>'rockfish harvests'!O234</f>
        <v>4138.3274545655077</v>
      </c>
      <c r="N226">
        <f>'rockfish harvests'!P234</f>
        <v>1905772.4719131205</v>
      </c>
      <c r="O226" s="32">
        <v>4.0472332999999999E-2</v>
      </c>
      <c r="P226" s="32">
        <v>4.72614E-4</v>
      </c>
      <c r="Q226" s="13">
        <f t="shared" si="61"/>
        <v>167.48776680421759</v>
      </c>
      <c r="R226" s="14">
        <f t="shared" si="68"/>
        <v>12116.239777570774</v>
      </c>
      <c r="S226">
        <f t="shared" si="73"/>
        <v>110.07379241931648</v>
      </c>
      <c r="T226" s="6">
        <f t="shared" si="74"/>
        <v>215.74463314186028</v>
      </c>
      <c r="V226" s="13">
        <f t="shared" si="70"/>
        <v>1902.4775516982177</v>
      </c>
      <c r="W226">
        <f t="shared" si="70"/>
        <v>899331.20047975087</v>
      </c>
      <c r="X226">
        <f t="shared" si="75"/>
        <v>948.33074424472329</v>
      </c>
      <c r="Y226" s="6">
        <f t="shared" si="76"/>
        <v>1858.7282587196576</v>
      </c>
      <c r="Z226" s="14">
        <f t="shared" si="67"/>
        <v>0.49847145024035122</v>
      </c>
    </row>
    <row r="227" spans="1:26" x14ac:dyDescent="0.3">
      <c r="A227" t="str">
        <f>'rockfish harvests'!A235</f>
        <v>SE</v>
      </c>
      <c r="B227">
        <f>'rockfish harvests'!B235</f>
        <v>2006</v>
      </c>
      <c r="C227" t="str">
        <f>'rockfish harvests'!C235</f>
        <v>CSEO</v>
      </c>
      <c r="D227">
        <f>'rockfish harvests'!D235</f>
        <v>33748</v>
      </c>
      <c r="E227">
        <f>'YE harvest'!E236</f>
        <v>13609</v>
      </c>
      <c r="F227">
        <f>IF([2]species_comp_Region1_forR!$H10&gt;49,[2]species_comp_Region1_forR!$AV10,[2]species_comp_Region1_forR!$AX10)</f>
        <v>3.4948741999999998E-2</v>
      </c>
      <c r="G227" s="49">
        <f>IF([2]species_comp_Region1_forR!$H10&gt;49,[2]species_comp_Region1_forR!$AW10,[2]species_comp_Region1_forR!$AY10)</f>
        <v>1.57237E-5</v>
      </c>
      <c r="H227" s="13">
        <f t="shared" si="66"/>
        <v>475.617429878</v>
      </c>
      <c r="I227">
        <f t="shared" si="69"/>
        <v>2912.1059873796999</v>
      </c>
      <c r="J227">
        <f t="shared" si="71"/>
        <v>53.96393228240229</v>
      </c>
      <c r="K227" s="6">
        <f t="shared" si="72"/>
        <v>105.76930727350849</v>
      </c>
      <c r="M227" s="2">
        <f>'rockfish harvests'!O235</f>
        <v>5115.01153445198</v>
      </c>
      <c r="N227">
        <f>'rockfish harvests'!P235</f>
        <v>2911485.1530098896</v>
      </c>
      <c r="O227">
        <f>IF([2]species_comp_Region1_forR!$D32&gt;49,[2]species_comp_Region1_forR!$AR32,[2]species_comp_Region1_forR!$AT32)</f>
        <v>3.2818532999999997E-2</v>
      </c>
      <c r="P227">
        <f>IF([2]species_comp_Region1_forR!$D32&gt;49,[2]species_comp_Region1_forR!$AS32,[2]species_comp_Region1_forR!$AU32)</f>
        <v>6.1395499999999999E-5</v>
      </c>
      <c r="Q227" s="13">
        <f t="shared" si="61"/>
        <v>167.86717483879292</v>
      </c>
      <c r="R227" s="14">
        <f t="shared" si="68"/>
        <v>4920.8964799121441</v>
      </c>
      <c r="S227">
        <f t="shared" si="73"/>
        <v>70.149101775519156</v>
      </c>
      <c r="T227" s="6">
        <f t="shared" si="74"/>
        <v>137.49223948001753</v>
      </c>
      <c r="V227" s="13">
        <f t="shared" si="70"/>
        <v>643.48460471679289</v>
      </c>
      <c r="W227">
        <f t="shared" si="70"/>
        <v>7833.0024672918444</v>
      </c>
      <c r="X227">
        <f t="shared" si="75"/>
        <v>88.504251125535461</v>
      </c>
      <c r="Y227" s="6">
        <f t="shared" si="76"/>
        <v>173.4683322060495</v>
      </c>
      <c r="Z227" s="14">
        <f t="shared" si="67"/>
        <v>0.13753903430912304</v>
      </c>
    </row>
    <row r="228" spans="1:26" x14ac:dyDescent="0.3">
      <c r="A228" t="str">
        <f>'rockfish harvests'!A236</f>
        <v>SE</v>
      </c>
      <c r="B228">
        <f>'rockfish harvests'!B236</f>
        <v>2007</v>
      </c>
      <c r="C228" t="str">
        <f>'rockfish harvests'!C236</f>
        <v>CSEO</v>
      </c>
      <c r="D228">
        <f>'rockfish harvests'!D236</f>
        <v>38443</v>
      </c>
      <c r="E228">
        <f>'YE harvest'!E237</f>
        <v>14388</v>
      </c>
      <c r="F228">
        <f>IF([2]species_comp_Region1_forR!$H11&gt;49,[2]species_comp_Region1_forR!$AV11,[2]species_comp_Region1_forR!$AX11)</f>
        <v>4.3135192000000003E-2</v>
      </c>
      <c r="G228" s="49">
        <f>IF([2]species_comp_Region1_forR!$H11&gt;49,[2]species_comp_Region1_forR!$AW11,[2]species_comp_Region1_forR!$AY11)</f>
        <v>2.1723399999999999E-5</v>
      </c>
      <c r="H228" s="13">
        <f t="shared" si="66"/>
        <v>620.62914249599999</v>
      </c>
      <c r="I228">
        <f t="shared" si="69"/>
        <v>4497.0597451295998</v>
      </c>
      <c r="J228">
        <f t="shared" si="71"/>
        <v>67.060120378132339</v>
      </c>
      <c r="K228" s="6">
        <f t="shared" si="72"/>
        <v>131.43783594113938</v>
      </c>
      <c r="M228" s="2">
        <f>'rockfish harvests'!O236</f>
        <v>5826.6086410731732</v>
      </c>
      <c r="N228">
        <f>'rockfish harvests'!P236</f>
        <v>3777922.4788372577</v>
      </c>
      <c r="O228">
        <f>IF([2]species_comp_Region1_forR!$D33&gt;49,[2]species_comp_Region1_forR!$AR33,[2]species_comp_Region1_forR!$AT33)</f>
        <v>1.4044944E-2</v>
      </c>
      <c r="P228">
        <f>IF([2]species_comp_Region1_forR!$D33&gt;49,[2]species_comp_Region1_forR!$AS33,[2]species_comp_Region1_forR!$AU33)</f>
        <v>3.9007600000000002E-5</v>
      </c>
      <c r="Q228" s="13">
        <f t="shared" si="61"/>
        <v>81.83439207378882</v>
      </c>
      <c r="R228" s="14">
        <f t="shared" si="68"/>
        <v>2216.8857617342824</v>
      </c>
      <c r="S228">
        <f t="shared" si="73"/>
        <v>47.083816346323097</v>
      </c>
      <c r="T228" s="6">
        <f t="shared" si="74"/>
        <v>92.28428003879327</v>
      </c>
      <c r="V228" s="13">
        <f t="shared" si="70"/>
        <v>702.46353456978886</v>
      </c>
      <c r="W228">
        <f t="shared" si="70"/>
        <v>6713.9455068638817</v>
      </c>
      <c r="X228">
        <f t="shared" si="75"/>
        <v>81.938669179233571</v>
      </c>
      <c r="Y228" s="6">
        <f t="shared" si="76"/>
        <v>160.59979159129779</v>
      </c>
      <c r="Z228" s="14">
        <f t="shared" si="67"/>
        <v>0.11664472979286453</v>
      </c>
    </row>
    <row r="229" spans="1:26" x14ac:dyDescent="0.3">
      <c r="A229" t="str">
        <f>'rockfish harvests'!A237</f>
        <v>SE</v>
      </c>
      <c r="B229">
        <f>'rockfish harvests'!B237</f>
        <v>2008</v>
      </c>
      <c r="C229" t="str">
        <f>'rockfish harvests'!C237</f>
        <v>CSEO</v>
      </c>
      <c r="D229">
        <f>'rockfish harvests'!D237</f>
        <v>52901</v>
      </c>
      <c r="E229">
        <f>'YE harvest'!E238</f>
        <v>15276</v>
      </c>
      <c r="F229">
        <f>IF([2]species_comp_Region1_forR!$H12&gt;49,[2]species_comp_Region1_forR!$AV12,[2]species_comp_Region1_forR!$AX12)</f>
        <v>8.0645161000000007E-2</v>
      </c>
      <c r="G229" s="49">
        <f>IF([2]species_comp_Region1_forR!$H12&gt;49,[2]species_comp_Region1_forR!$AW12,[2]species_comp_Region1_forR!$AY12)</f>
        <v>3.5188200000000003E-5</v>
      </c>
      <c r="H229" s="13">
        <f t="shared" si="66"/>
        <v>1231.9354794360002</v>
      </c>
      <c r="I229">
        <f t="shared" si="69"/>
        <v>8211.3837923232004</v>
      </c>
      <c r="J229">
        <f t="shared" si="71"/>
        <v>90.616686059043232</v>
      </c>
      <c r="K229" s="6">
        <f t="shared" si="72"/>
        <v>177.60870467572474</v>
      </c>
      <c r="M229" s="2">
        <f>'rockfish harvests'!O237</f>
        <v>8017.9336607812002</v>
      </c>
      <c r="N229">
        <f>'rockfish harvests'!P237</f>
        <v>7153955.9598475369</v>
      </c>
      <c r="O229">
        <f>IF([2]species_comp_Region1_forR!$D34&gt;49,[2]species_comp_Region1_forR!$AR34,[2]species_comp_Region1_forR!$AT34)</f>
        <v>1.5209125E-2</v>
      </c>
      <c r="P229">
        <f>IF([2]species_comp_Region1_forR!$D34&gt;49,[2]species_comp_Region1_forR!$AS34,[2]species_comp_Region1_forR!$AU34)</f>
        <v>2.8529200000000001E-5</v>
      </c>
      <c r="Q229" s="13">
        <f t="shared" si="61"/>
        <v>121.94575528852887</v>
      </c>
      <c r="R229" s="14">
        <f t="shared" si="68"/>
        <v>3692.9958317698574</v>
      </c>
      <c r="S229">
        <f t="shared" si="73"/>
        <v>60.77002412184693</v>
      </c>
      <c r="T229" s="6">
        <f t="shared" si="74"/>
        <v>119.10924727881998</v>
      </c>
      <c r="V229" s="13">
        <f t="shared" si="70"/>
        <v>1353.8812347245291</v>
      </c>
      <c r="W229">
        <f t="shared" si="70"/>
        <v>11904.379624093057</v>
      </c>
      <c r="X229">
        <f t="shared" si="75"/>
        <v>109.10719327383075</v>
      </c>
      <c r="Y229" s="6">
        <f t="shared" si="76"/>
        <v>213.85009881670825</v>
      </c>
      <c r="Z229" s="14">
        <f t="shared" si="67"/>
        <v>8.0588452277374628E-2</v>
      </c>
    </row>
    <row r="230" spans="1:26" x14ac:dyDescent="0.3">
      <c r="A230" t="str">
        <f>'rockfish harvests'!A238</f>
        <v>SE</v>
      </c>
      <c r="B230">
        <f>'rockfish harvests'!B238</f>
        <v>2009</v>
      </c>
      <c r="C230" t="str">
        <f>'rockfish harvests'!C238</f>
        <v>CSEO</v>
      </c>
      <c r="D230">
        <f>'rockfish harvests'!D238</f>
        <v>31717</v>
      </c>
      <c r="E230">
        <f>'YE harvest'!E239</f>
        <v>9427</v>
      </c>
      <c r="F230">
        <f>IF([2]species_comp_Region1_forR!$H13&gt;49,[2]species_comp_Region1_forR!$AV13,[2]species_comp_Region1_forR!$AX13)</f>
        <v>4.0901502999999999E-2</v>
      </c>
      <c r="G230" s="49">
        <f>IF([2]species_comp_Region1_forR!$H13&gt;49,[2]species_comp_Region1_forR!$AW13,[2]species_comp_Region1_forR!$AY13)</f>
        <v>3.2772399999999998E-5</v>
      </c>
      <c r="H230" s="13">
        <f t="shared" si="66"/>
        <v>385.57846878099997</v>
      </c>
      <c r="I230">
        <f t="shared" si="69"/>
        <v>2912.4284253195997</v>
      </c>
      <c r="J230">
        <f t="shared" si="71"/>
        <v>53.966919731624479</v>
      </c>
      <c r="K230" s="6">
        <f t="shared" si="72"/>
        <v>105.77516267398397</v>
      </c>
      <c r="M230" s="2">
        <f>'rockfish harvests'!O238</f>
        <v>4807.1832653257516</v>
      </c>
      <c r="N230">
        <f>'rockfish harvests'!P238</f>
        <v>2571595.7734261826</v>
      </c>
      <c r="O230">
        <f>IF([2]species_comp_Region1_forR!$D35&gt;49,[2]species_comp_Region1_forR!$AR35,[2]species_comp_Region1_forR!$AT35)</f>
        <v>1.0256410000000001E-2</v>
      </c>
      <c r="P230">
        <f>IF([2]species_comp_Region1_forR!$D35&gt;49,[2]species_comp_Region1_forR!$AS35,[2]species_comp_Region1_forR!$AU35)</f>
        <v>2.6095700000000002E-5</v>
      </c>
      <c r="Q230" s="13">
        <f t="shared" si="61"/>
        <v>49.304442514319696</v>
      </c>
      <c r="R230" s="14">
        <f t="shared" si="68"/>
        <v>940.66971592947743</v>
      </c>
      <c r="S230">
        <f t="shared" si="73"/>
        <v>30.670339351390904</v>
      </c>
      <c r="T230" s="6">
        <f t="shared" si="74"/>
        <v>60.113865128726168</v>
      </c>
      <c r="V230" s="13">
        <f t="shared" si="70"/>
        <v>434.88291129531967</v>
      </c>
      <c r="W230">
        <f t="shared" si="70"/>
        <v>3853.0981412490773</v>
      </c>
      <c r="X230">
        <f t="shared" si="75"/>
        <v>62.073328743100909</v>
      </c>
      <c r="Y230" s="6">
        <f t="shared" si="76"/>
        <v>121.66372433647778</v>
      </c>
      <c r="Z230" s="14">
        <f t="shared" si="67"/>
        <v>0.14273572755069291</v>
      </c>
    </row>
    <row r="231" spans="1:26" x14ac:dyDescent="0.3">
      <c r="A231" t="str">
        <f>'rockfish harvests'!A239</f>
        <v>SE</v>
      </c>
      <c r="B231">
        <f>'rockfish harvests'!B239</f>
        <v>2010</v>
      </c>
      <c r="C231" t="str">
        <f>'rockfish harvests'!C239</f>
        <v>CSEO</v>
      </c>
      <c r="D231">
        <f>'rockfish harvests'!D239</f>
        <v>43813</v>
      </c>
      <c r="E231">
        <f>'YE harvest'!E240</f>
        <v>13028</v>
      </c>
      <c r="F231">
        <f>IF([2]species_comp_Region1_forR!$H14&gt;49,[2]species_comp_Region1_forR!$AV14,[2]species_comp_Region1_forR!$AX14)</f>
        <v>8.8066931000000001E-2</v>
      </c>
      <c r="G231" s="49">
        <f>IF([2]species_comp_Region1_forR!$H14&gt;49,[2]species_comp_Region1_forR!$AW14,[2]species_comp_Region1_forR!$AY14)</f>
        <v>3.5379400000000002E-5</v>
      </c>
      <c r="H231" s="13">
        <f t="shared" si="66"/>
        <v>1147.3359770679999</v>
      </c>
      <c r="I231">
        <f t="shared" si="69"/>
        <v>6004.9025406496003</v>
      </c>
      <c r="J231">
        <f t="shared" si="71"/>
        <v>77.491306226244504</v>
      </c>
      <c r="K231" s="6">
        <f t="shared" si="72"/>
        <v>151.88296020343921</v>
      </c>
      <c r="M231" s="2">
        <f>'rockfish harvests'!O239</f>
        <v>6640.5120409785595</v>
      </c>
      <c r="N231">
        <f>'rockfish harvests'!P239</f>
        <v>4907095.1826566225</v>
      </c>
      <c r="O231">
        <f>IF([2]species_comp_Region1_forR!$D36&gt;49,[2]species_comp_Region1_forR!$AR36,[2]species_comp_Region1_forR!$AT36)</f>
        <v>2.530253E-2</v>
      </c>
      <c r="P231">
        <f>IF([2]species_comp_Region1_forR!$D36&gt;49,[2]species_comp_Region1_forR!$AS36,[2]species_comp_Region1_forR!$AU36)</f>
        <v>2.71611E-5</v>
      </c>
      <c r="Q231" s="13">
        <f t="shared" si="61"/>
        <v>168.02175513222124</v>
      </c>
      <c r="R231" s="14">
        <f t="shared" si="68"/>
        <v>4472.5996209123496</v>
      </c>
      <c r="S231">
        <f t="shared" si="73"/>
        <v>66.87749711907847</v>
      </c>
      <c r="T231" s="6">
        <f t="shared" si="74"/>
        <v>131.0798943533938</v>
      </c>
      <c r="V231" s="13">
        <f t="shared" si="70"/>
        <v>1315.3577322002211</v>
      </c>
      <c r="W231">
        <f t="shared" si="70"/>
        <v>10477.50216156195</v>
      </c>
      <c r="X231">
        <f t="shared" si="75"/>
        <v>102.35967058154276</v>
      </c>
      <c r="Y231" s="6">
        <f t="shared" si="76"/>
        <v>200.6249543398238</v>
      </c>
      <c r="Z231" s="14">
        <f t="shared" si="67"/>
        <v>7.7818883848672873E-2</v>
      </c>
    </row>
    <row r="232" spans="1:26" x14ac:dyDescent="0.3">
      <c r="A232" t="str">
        <f>'rockfish harvests'!A240</f>
        <v>SE</v>
      </c>
      <c r="B232">
        <f>'rockfish harvests'!B240</f>
        <v>2011</v>
      </c>
      <c r="C232" t="str">
        <f>'rockfish harvests'!C240</f>
        <v>CSEO</v>
      </c>
      <c r="D232">
        <f>'rockfish harvests'!D240</f>
        <v>58843</v>
      </c>
      <c r="E232">
        <f>'YE harvest'!E241</f>
        <v>12339</v>
      </c>
      <c r="F232">
        <f>IF([2]species_comp_Region1_forR!$H15&gt;49,[2]species_comp_Region1_forR!$AV15,[2]species_comp_Region1_forR!$AX15)</f>
        <v>0.124932687</v>
      </c>
      <c r="G232" s="49">
        <f>IF([2]species_comp_Region1_forR!$H15&gt;49,[2]species_comp_Region1_forR!$AW15,[2]species_comp_Region1_forR!$AY15)</f>
        <v>5.8903300000000002E-5</v>
      </c>
      <c r="H232" s="13">
        <f t="shared" si="66"/>
        <v>1541.544424893</v>
      </c>
      <c r="I232">
        <f t="shared" si="69"/>
        <v>8968.0816749392998</v>
      </c>
      <c r="J232">
        <f t="shared" si="71"/>
        <v>94.699956045075865</v>
      </c>
      <c r="K232" s="6">
        <f t="shared" si="72"/>
        <v>185.61191384834871</v>
      </c>
      <c r="M232" s="2">
        <f>'rockfish harvests'!O240</f>
        <v>9637.9680383923114</v>
      </c>
      <c r="N232">
        <f>'rockfish harvests'!P240</f>
        <v>7141508.8030922944</v>
      </c>
      <c r="O232">
        <f>IF([2]species_comp_Region1_forR!$D37&gt;49,[2]species_comp_Region1_forR!$AR37,[2]species_comp_Region1_forR!$AT37)</f>
        <v>4.9019607999999999E-2</v>
      </c>
      <c r="P232">
        <f>IF([2]species_comp_Region1_forR!$D37&gt;49,[2]species_comp_Region1_forR!$AS37,[2]species_comp_Region1_forR!$AU37)</f>
        <v>6.5381000000000003E-5</v>
      </c>
      <c r="Q232" s="13">
        <f t="shared" si="61"/>
        <v>472.44941515852003</v>
      </c>
      <c r="R232" s="14">
        <f t="shared" si="68"/>
        <v>23700.676445176534</v>
      </c>
      <c r="S232">
        <f t="shared" si="73"/>
        <v>153.95024015952859</v>
      </c>
      <c r="T232" s="6">
        <f t="shared" si="74"/>
        <v>301.74247071267604</v>
      </c>
      <c r="V232" s="13">
        <f t="shared" si="70"/>
        <v>2013.99384005152</v>
      </c>
      <c r="W232">
        <f t="shared" si="70"/>
        <v>32668.758120115832</v>
      </c>
      <c r="X232">
        <f t="shared" si="75"/>
        <v>180.74500856210616</v>
      </c>
      <c r="Y232" s="6">
        <f t="shared" si="76"/>
        <v>354.2602167817281</v>
      </c>
      <c r="Z232" s="14">
        <f t="shared" si="67"/>
        <v>8.9744568711035644E-2</v>
      </c>
    </row>
    <row r="233" spans="1:26" x14ac:dyDescent="0.3">
      <c r="A233" t="str">
        <f>'rockfish harvests'!A241</f>
        <v>SE</v>
      </c>
      <c r="B233">
        <f>'rockfish harvests'!B241</f>
        <v>2012</v>
      </c>
      <c r="C233" t="str">
        <f>'rockfish harvests'!C241</f>
        <v>CSEO</v>
      </c>
      <c r="D233">
        <f>'rockfish harvests'!D241</f>
        <v>57675</v>
      </c>
      <c r="E233">
        <f>'YE harvest'!E242</f>
        <v>14295</v>
      </c>
      <c r="F233">
        <f>IF([2]species_comp_Region1_forR!$H16&gt;49,[2]species_comp_Region1_forR!$AV16,[2]species_comp_Region1_forR!$AX16)</f>
        <v>9.8330240999999999E-2</v>
      </c>
      <c r="G233" s="49">
        <f>IF([2]species_comp_Region1_forR!$H16&gt;49,[2]species_comp_Region1_forR!$AW16,[2]species_comp_Region1_forR!$AY16)</f>
        <v>4.1142200000000001E-5</v>
      </c>
      <c r="H233" s="13">
        <f t="shared" si="66"/>
        <v>1405.6307950949999</v>
      </c>
      <c r="I233">
        <f t="shared" si="69"/>
        <v>8407.2861719550001</v>
      </c>
      <c r="J233">
        <f t="shared" si="71"/>
        <v>91.691254609995383</v>
      </c>
      <c r="K233" s="6">
        <f t="shared" si="72"/>
        <v>179.71485903559093</v>
      </c>
      <c r="M233" s="2">
        <f>'rockfish harvests'!O241</f>
        <v>6152.5876396981548</v>
      </c>
      <c r="N233">
        <f>'rockfish harvests'!P241</f>
        <v>1027468.7062518544</v>
      </c>
      <c r="O233">
        <f>IF([2]species_comp_Region1_forR!$D38&gt;49,[2]species_comp_Region1_forR!$AR38,[2]species_comp_Region1_forR!$AT38)</f>
        <v>4.1853513000000002E-2</v>
      </c>
      <c r="P233">
        <f>IF([2]species_comp_Region1_forR!$D38&gt;49,[2]species_comp_Region1_forR!$AS38,[2]species_comp_Region1_forR!$AU38)</f>
        <v>6.0032599999999998E-5</v>
      </c>
      <c r="Q233" s="13">
        <f t="shared" si="61"/>
        <v>257.50740676174604</v>
      </c>
      <c r="R233" s="14">
        <f t="shared" si="68"/>
        <v>4134.0096868167266</v>
      </c>
      <c r="S233">
        <f t="shared" si="73"/>
        <v>64.296264952302835</v>
      </c>
      <c r="T233" s="6">
        <f t="shared" si="74"/>
        <v>126.02067930651356</v>
      </c>
      <c r="V233" s="13">
        <f t="shared" si="70"/>
        <v>1663.138201856746</v>
      </c>
      <c r="W233">
        <f t="shared" si="70"/>
        <v>12541.295858771726</v>
      </c>
      <c r="X233">
        <f t="shared" si="75"/>
        <v>111.98792729027413</v>
      </c>
      <c r="Y233" s="6">
        <f t="shared" si="76"/>
        <v>219.49633748893729</v>
      </c>
      <c r="Z233" s="14">
        <f t="shared" si="67"/>
        <v>6.7335310538384333E-2</v>
      </c>
    </row>
    <row r="234" spans="1:26" x14ac:dyDescent="0.3">
      <c r="A234" t="str">
        <f>'rockfish harvests'!A242</f>
        <v>SE</v>
      </c>
      <c r="B234">
        <f>'rockfish harvests'!B242</f>
        <v>2013</v>
      </c>
      <c r="C234" t="str">
        <f>'rockfish harvests'!C242</f>
        <v>CSEO</v>
      </c>
      <c r="D234">
        <f>'rockfish harvests'!D242</f>
        <v>60735</v>
      </c>
      <c r="E234">
        <f>'YE harvest'!E243</f>
        <v>12452</v>
      </c>
      <c r="F234">
        <f>IF([2]species_comp_Region1_forR!$H17&gt;49,[2]species_comp_Region1_forR!$AV17,[2]species_comp_Region1_forR!$AX17)</f>
        <v>0.15886699500000001</v>
      </c>
      <c r="G234" s="49">
        <f>IF([2]species_comp_Region1_forR!$H17&gt;49,[2]species_comp_Region1_forR!$AW17,[2]species_comp_Region1_forR!$AY17)</f>
        <v>5.4878099999999999E-5</v>
      </c>
      <c r="H234" s="13">
        <f t="shared" si="66"/>
        <v>1978.2118217400002</v>
      </c>
      <c r="I234">
        <f t="shared" si="69"/>
        <v>8508.9758441424001</v>
      </c>
      <c r="J234">
        <f t="shared" si="71"/>
        <v>92.244110078326415</v>
      </c>
      <c r="K234" s="6">
        <f t="shared" si="72"/>
        <v>180.79845575351976</v>
      </c>
      <c r="M234" s="2">
        <f>'rockfish harvests'!O242</f>
        <v>9629.9871638141776</v>
      </c>
      <c r="N234">
        <f>'rockfish harvests'!P242</f>
        <v>3833914.1323344847</v>
      </c>
      <c r="O234">
        <f>IF([2]species_comp_Region1_forR!$D39&gt;49,[2]species_comp_Region1_forR!$AR39,[2]species_comp_Region1_forR!$AT39)</f>
        <v>4.6840959000000001E-2</v>
      </c>
      <c r="P234">
        <f>IF([2]species_comp_Region1_forR!$D39&gt;49,[2]species_comp_Region1_forR!$AS39,[2]species_comp_Region1_forR!$AU39)</f>
        <v>4.8687999999999999E-5</v>
      </c>
      <c r="Q234" s="13">
        <f t="shared" si="61"/>
        <v>451.07783391074616</v>
      </c>
      <c r="R234" s="14">
        <f t="shared" si="68"/>
        <v>13113.724598571433</v>
      </c>
      <c r="S234">
        <f t="shared" si="73"/>
        <v>114.51517191434257</v>
      </c>
      <c r="T234" s="6">
        <f t="shared" si="74"/>
        <v>224.44973695211144</v>
      </c>
      <c r="V234" s="13">
        <f t="shared" si="70"/>
        <v>2429.2896556507462</v>
      </c>
      <c r="W234">
        <f t="shared" si="70"/>
        <v>21622.700442713831</v>
      </c>
      <c r="X234">
        <f t="shared" si="75"/>
        <v>147.04659276132116</v>
      </c>
      <c r="Y234" s="6">
        <f t="shared" si="76"/>
        <v>288.21132181218945</v>
      </c>
      <c r="Z234" s="14">
        <f t="shared" si="67"/>
        <v>6.0530695637417122E-2</v>
      </c>
    </row>
    <row r="235" spans="1:26" x14ac:dyDescent="0.3">
      <c r="A235" t="str">
        <f>'rockfish harvests'!A243</f>
        <v>SE</v>
      </c>
      <c r="B235">
        <f>'rockfish harvests'!B243</f>
        <v>2014</v>
      </c>
      <c r="C235" t="str">
        <f>'rockfish harvests'!C243</f>
        <v>CSEO</v>
      </c>
      <c r="D235">
        <f>'rockfish harvests'!D243</f>
        <v>73709</v>
      </c>
      <c r="E235">
        <f>'YE harvest'!E244</f>
        <v>13508</v>
      </c>
      <c r="F235">
        <f>IF([2]species_comp_Region1_forR!$H18&gt;49,[2]species_comp_Region1_forR!$AV18,[2]species_comp_Region1_forR!$AX18)</f>
        <v>0.219897959</v>
      </c>
      <c r="G235" s="49">
        <f>IF([2]species_comp_Region1_forR!$H18&gt;49,[2]species_comp_Region1_forR!$AW18,[2]species_comp_Region1_forR!$AY18)</f>
        <v>8.7566500000000003E-5</v>
      </c>
      <c r="H235" s="13">
        <f t="shared" si="66"/>
        <v>2970.3816301719999</v>
      </c>
      <c r="I235">
        <f t="shared" si="69"/>
        <v>15977.914593256</v>
      </c>
      <c r="J235">
        <f t="shared" si="71"/>
        <v>126.40377602451598</v>
      </c>
      <c r="K235" s="6">
        <f t="shared" si="72"/>
        <v>247.75140100805132</v>
      </c>
      <c r="M235" s="2">
        <f>'rockfish harvests'!O243</f>
        <v>12999.052896462119</v>
      </c>
      <c r="N235">
        <f>'rockfish harvests'!P243</f>
        <v>10006306.818414057</v>
      </c>
      <c r="O235">
        <f>IF([2]species_comp_Region1_forR!$D40&gt;49,[2]species_comp_Region1_forR!$AR40,[2]species_comp_Region1_forR!$AT40)</f>
        <v>7.9245283E-2</v>
      </c>
      <c r="P235">
        <f>IF([2]species_comp_Region1_forR!$D40&gt;49,[2]species_comp_Region1_forR!$AS40,[2]species_comp_Region1_forR!$AU40)</f>
        <v>6.8900300000000002E-5</v>
      </c>
      <c r="Q235" s="13">
        <f t="shared" si="61"/>
        <v>1030.1136255121103</v>
      </c>
      <c r="R235" s="14">
        <f t="shared" si="68"/>
        <v>75169.646084428285</v>
      </c>
      <c r="S235">
        <f t="shared" si="73"/>
        <v>274.17083375958919</v>
      </c>
      <c r="T235" s="6">
        <f t="shared" si="74"/>
        <v>537.37483416879479</v>
      </c>
      <c r="V235" s="13">
        <f t="shared" si="70"/>
        <v>4000.4952556841099</v>
      </c>
      <c r="W235">
        <f t="shared" si="70"/>
        <v>91147.560677684291</v>
      </c>
      <c r="X235">
        <f t="shared" si="75"/>
        <v>301.90654295275596</v>
      </c>
      <c r="Y235" s="6">
        <f t="shared" si="76"/>
        <v>591.73682418740168</v>
      </c>
      <c r="Z235" s="14">
        <f t="shared" si="67"/>
        <v>7.5467291836877337E-2</v>
      </c>
    </row>
    <row r="236" spans="1:26" x14ac:dyDescent="0.3">
      <c r="A236" t="str">
        <f>'rockfish harvests'!A244</f>
        <v>SE</v>
      </c>
      <c r="B236">
        <f>'rockfish harvests'!B244</f>
        <v>2015</v>
      </c>
      <c r="C236" t="str">
        <f>'rockfish harvests'!C244</f>
        <v>CSEO</v>
      </c>
      <c r="D236">
        <f>'rockfish harvests'!D244</f>
        <v>80105</v>
      </c>
      <c r="E236">
        <f>'YE harvest'!E245</f>
        <v>16888</v>
      </c>
      <c r="F236">
        <f>IF([2]species_comp_Region1_forR!$H19&gt;49,[2]species_comp_Region1_forR!$AV19,[2]species_comp_Region1_forR!$AX19)</f>
        <v>0.136752137</v>
      </c>
      <c r="G236" s="49">
        <f>IF([2]species_comp_Region1_forR!$H19&gt;49,[2]species_comp_Region1_forR!$AW19,[2]species_comp_Region1_forR!$AY19)</f>
        <v>4.3885099999999998E-5</v>
      </c>
      <c r="H236" s="13">
        <f t="shared" si="66"/>
        <v>2309.4700896559998</v>
      </c>
      <c r="I236">
        <f t="shared" si="69"/>
        <v>12516.229933894399</v>
      </c>
      <c r="J236">
        <f t="shared" si="71"/>
        <v>111.87595780101459</v>
      </c>
      <c r="K236" s="6">
        <f t="shared" si="72"/>
        <v>219.27687728998859</v>
      </c>
      <c r="M236" s="2">
        <f>'rockfish harvests'!O244</f>
        <v>8154.5459903117735</v>
      </c>
      <c r="N236">
        <f>'rockfish harvests'!P244</f>
        <v>3137762.110543259</v>
      </c>
      <c r="O236">
        <f>IF([2]species_comp_Region1_forR!$D41&gt;49,[2]species_comp_Region1_forR!$AR41,[2]species_comp_Region1_forR!$AT41)</f>
        <v>4.3111528000000003E-2</v>
      </c>
      <c r="P236">
        <f>IF([2]species_comp_Region1_forR!$D41&gt;49,[2]species_comp_Region1_forR!$AS41,[2]species_comp_Region1_forR!$AU41)</f>
        <v>3.8698800000000003E-5</v>
      </c>
      <c r="Q236" s="13">
        <f t="shared" si="61"/>
        <v>351.55493778861376</v>
      </c>
      <c r="R236" s="14">
        <f t="shared" si="68"/>
        <v>8526.6237663842658</v>
      </c>
      <c r="S236">
        <f t="shared" si="73"/>
        <v>92.339719332388412</v>
      </c>
      <c r="T236" s="6">
        <f t="shared" si="74"/>
        <v>180.98584989148128</v>
      </c>
      <c r="V236" s="13">
        <f t="shared" si="70"/>
        <v>2661.0250274446134</v>
      </c>
      <c r="W236">
        <f t="shared" si="70"/>
        <v>21042.853700278665</v>
      </c>
      <c r="X236">
        <f t="shared" si="75"/>
        <v>145.06155141966002</v>
      </c>
      <c r="Y236" s="6">
        <f t="shared" si="76"/>
        <v>284.32064078253364</v>
      </c>
      <c r="Z236" s="14">
        <f t="shared" si="67"/>
        <v>5.451341115681383E-2</v>
      </c>
    </row>
    <row r="237" spans="1:26" x14ac:dyDescent="0.3">
      <c r="A237" t="str">
        <f>'rockfish harvests'!A245</f>
        <v>SE</v>
      </c>
      <c r="B237">
        <f>'rockfish harvests'!B245</f>
        <v>2016</v>
      </c>
      <c r="C237" t="str">
        <f>'rockfish harvests'!C245</f>
        <v>CSEO</v>
      </c>
      <c r="D237">
        <f>'rockfish harvests'!D245</f>
        <v>54908</v>
      </c>
      <c r="E237">
        <f>'YE harvest'!E246</f>
        <v>12620</v>
      </c>
      <c r="F237">
        <f>IF([2]species_comp_Region1_forR!$H20&gt;49,[2]species_comp_Region1_forR!$AV20,[2]species_comp_Region1_forR!$AX20)</f>
        <v>0.132767099</v>
      </c>
      <c r="G237" s="49">
        <f>IF([2]species_comp_Region1_forR!$H20&gt;49,[2]species_comp_Region1_forR!$AW20,[2]species_comp_Region1_forR!$AY20)</f>
        <v>5.1493699999999998E-5</v>
      </c>
      <c r="H237" s="13">
        <f t="shared" si="66"/>
        <v>1675.52078938</v>
      </c>
      <c r="I237">
        <f t="shared" si="69"/>
        <v>8201.1132342799992</v>
      </c>
      <c r="J237">
        <f t="shared" si="71"/>
        <v>90.559997980786193</v>
      </c>
      <c r="K237" s="6">
        <f t="shared" si="72"/>
        <v>177.49759604234094</v>
      </c>
      <c r="M237" s="2">
        <f>'rockfish harvests'!O245</f>
        <v>8439.7721422199611</v>
      </c>
      <c r="N237">
        <f>'rockfish harvests'!P245</f>
        <v>2423165.6191606135</v>
      </c>
      <c r="O237">
        <f>IF([2]species_comp_Region1_forR!$D42&gt;49,[2]species_comp_Region1_forR!$AR42,[2]species_comp_Region1_forR!$AT42)</f>
        <v>7.3378840000000001E-2</v>
      </c>
      <c r="P237">
        <f>IF([2]species_comp_Region1_forR!$D42&gt;49,[2]species_comp_Region1_forR!$AS42,[2]species_comp_Region1_forR!$AU42)</f>
        <v>5.8065200000000001E-5</v>
      </c>
      <c r="Q237" s="13">
        <f t="shared" si="61"/>
        <v>619.30068966041574</v>
      </c>
      <c r="R237" s="14">
        <f t="shared" si="68"/>
        <v>17324.095695230495</v>
      </c>
      <c r="S237">
        <f t="shared" si="73"/>
        <v>131.62103059629374</v>
      </c>
      <c r="T237" s="6">
        <f t="shared" si="74"/>
        <v>257.97721996873571</v>
      </c>
      <c r="V237" s="13">
        <f t="shared" si="70"/>
        <v>2294.8214790404159</v>
      </c>
      <c r="W237">
        <f t="shared" si="70"/>
        <v>25525.208929510496</v>
      </c>
      <c r="X237">
        <f t="shared" si="75"/>
        <v>159.76610694859687</v>
      </c>
      <c r="Y237" s="6">
        <f t="shared" si="76"/>
        <v>313.14156961924988</v>
      </c>
      <c r="Z237" s="14">
        <f t="shared" si="67"/>
        <v>6.9620276961763219E-2</v>
      </c>
    </row>
    <row r="238" spans="1:26" x14ac:dyDescent="0.3">
      <c r="A238" t="str">
        <f>'rockfish harvests'!A246</f>
        <v>SE</v>
      </c>
      <c r="B238">
        <f>'rockfish harvests'!B246</f>
        <v>2017</v>
      </c>
      <c r="C238" t="str">
        <f>'rockfish harvests'!C246</f>
        <v>CSEO</v>
      </c>
      <c r="D238">
        <f>'rockfish harvests'!D246</f>
        <v>57388</v>
      </c>
      <c r="E238">
        <f>'YE harvest'!E247</f>
        <v>11329</v>
      </c>
      <c r="F238">
        <f>IF([2]species_comp_Region1_forR!$H21&gt;49,[2]species_comp_Region1_forR!$AV21,[2]species_comp_Region1_forR!$AX21)</f>
        <v>0.20341614899999999</v>
      </c>
      <c r="G238" s="49">
        <f>IF([2]species_comp_Region1_forR!$H21&gt;49,[2]species_comp_Region1_forR!$AW21,[2]species_comp_Region1_forR!$AY21)</f>
        <v>8.3913999999999997E-5</v>
      </c>
      <c r="H238" s="13">
        <f t="shared" si="66"/>
        <v>2304.501552021</v>
      </c>
      <c r="I238">
        <f t="shared" si="69"/>
        <v>10770.046467274</v>
      </c>
      <c r="J238">
        <f t="shared" si="71"/>
        <v>103.77883438964807</v>
      </c>
      <c r="K238" s="6">
        <f t="shared" si="72"/>
        <v>203.40651540371022</v>
      </c>
      <c r="M238" s="2">
        <f>'rockfish harvests'!O246</f>
        <v>14552.082903438393</v>
      </c>
      <c r="N238">
        <f>'rockfish harvests'!P246</f>
        <v>13249322.287968032</v>
      </c>
      <c r="O238">
        <f>IF([2]species_comp_Region1_forR!$D43&gt;49,[2]species_comp_Region1_forR!$AR43,[2]species_comp_Region1_forR!$AT43)</f>
        <v>6.6753927000000005E-2</v>
      </c>
      <c r="P238">
        <f>IF([2]species_comp_Region1_forR!$D43&gt;49,[2]species_comp_Region1_forR!$AS43,[2]species_comp_Region1_forR!$AU43)</f>
        <v>8.1648499999999996E-5</v>
      </c>
      <c r="Q238" s="13">
        <f t="shared" si="61"/>
        <v>971.40867983407463</v>
      </c>
      <c r="R238" s="14">
        <f t="shared" si="68"/>
        <v>77412.057893042685</v>
      </c>
      <c r="S238">
        <f t="shared" si="73"/>
        <v>278.23022462170189</v>
      </c>
      <c r="T238" s="6">
        <f t="shared" si="74"/>
        <v>545.33124025853567</v>
      </c>
      <c r="V238" s="13">
        <f t="shared" si="70"/>
        <v>3275.9102318550745</v>
      </c>
      <c r="W238">
        <f t="shared" si="70"/>
        <v>88182.104360316691</v>
      </c>
      <c r="X238">
        <f t="shared" si="75"/>
        <v>296.9547176933155</v>
      </c>
      <c r="Y238" s="6">
        <f t="shared" si="76"/>
        <v>582.03124667889836</v>
      </c>
      <c r="Z238" s="14">
        <f t="shared" si="67"/>
        <v>9.064800213562528E-2</v>
      </c>
    </row>
    <row r="239" spans="1:26" x14ac:dyDescent="0.3">
      <c r="A239" t="str">
        <f>'rockfish harvests'!A247</f>
        <v>SE</v>
      </c>
      <c r="B239">
        <f>'rockfish harvests'!B247</f>
        <v>2018</v>
      </c>
      <c r="C239" t="str">
        <f>'rockfish harvests'!C247</f>
        <v>CSEO</v>
      </c>
      <c r="D239">
        <f>'rockfish harvests'!D247</f>
        <v>55460</v>
      </c>
      <c r="E239">
        <f>'YE harvest'!E248</f>
        <v>10517</v>
      </c>
      <c r="F239">
        <f>IF([2]species_comp_Region1_forR!$H22&gt;49,[2]species_comp_Region1_forR!$AV22,[2]species_comp_Region1_forR!$AX22)</f>
        <v>0.23470839299999999</v>
      </c>
      <c r="G239" s="49">
        <f>IF([2]species_comp_Region1_forR!$H22&gt;49,[2]species_comp_Region1_forR!$AW22,[2]species_comp_Region1_forR!$AY22)</f>
        <v>8.5208899999999997E-5</v>
      </c>
      <c r="H239" s="13">
        <f t="shared" si="66"/>
        <v>2468.4281691809997</v>
      </c>
      <c r="I239">
        <f t="shared" si="69"/>
        <v>9424.7254276720996</v>
      </c>
      <c r="J239">
        <f t="shared" si="71"/>
        <v>97.081025065004852</v>
      </c>
      <c r="K239" s="6">
        <f t="shared" si="72"/>
        <v>190.27880912740952</v>
      </c>
      <c r="M239" s="2">
        <f>'rockfish harvests'!O247</f>
        <v>6239.0473207200412</v>
      </c>
      <c r="N239">
        <f>'rockfish harvests'!P247</f>
        <v>1305580.4963851175</v>
      </c>
      <c r="O239">
        <f>IF([2]species_comp_Region1_forR!$D44&gt;49,[2]species_comp_Region1_forR!$AR44,[2]species_comp_Region1_forR!$AT44)</f>
        <v>4.0712468000000002E-2</v>
      </c>
      <c r="P239">
        <f>IF([2]species_comp_Region1_forR!$D44&gt;49,[2]species_comp_Region1_forR!$AS44,[2]species_comp_Region1_forR!$AU44)</f>
        <v>4.97515E-5</v>
      </c>
      <c r="Q239" s="13">
        <f t="shared" si="61"/>
        <v>254.00701439530042</v>
      </c>
      <c r="R239" s="14">
        <f t="shared" si="68"/>
        <v>4165.5733890645633</v>
      </c>
      <c r="S239">
        <f t="shared" si="73"/>
        <v>64.541253389321184</v>
      </c>
      <c r="T239" s="6">
        <f t="shared" si="74"/>
        <v>126.50085664306953</v>
      </c>
      <c r="V239" s="13">
        <f t="shared" si="70"/>
        <v>2722.4351835763</v>
      </c>
      <c r="W239" s="14">
        <f>R239+I239</f>
        <v>13590.298816736664</v>
      </c>
      <c r="X239">
        <f t="shared" si="75"/>
        <v>116.57743699677337</v>
      </c>
      <c r="Y239" s="6">
        <f>(1.96*X239)</f>
        <v>228.4917765136758</v>
      </c>
      <c r="Z239" s="14">
        <f t="shared" si="67"/>
        <v>4.2821014693041316E-2</v>
      </c>
    </row>
    <row r="240" spans="1:26" x14ac:dyDescent="0.3">
      <c r="A240" t="str">
        <f>'rockfish harvests'!A248</f>
        <v>SE</v>
      </c>
      <c r="B240">
        <f>'rockfish harvests'!B248</f>
        <v>2019</v>
      </c>
      <c r="C240" t="str">
        <f>'rockfish harvests'!C248</f>
        <v>CSEO</v>
      </c>
      <c r="D240">
        <f>'rockfish harvests'!D248</f>
        <v>59842</v>
      </c>
      <c r="E240">
        <f>'YE harvest'!E249</f>
        <v>8780</v>
      </c>
      <c r="F240">
        <v>9.8395721925133683E-2</v>
      </c>
      <c r="G240" s="49">
        <v>9.4982873481761726E-5</v>
      </c>
      <c r="H240" s="13">
        <f>E240*F240</f>
        <v>863.91443850267376</v>
      </c>
      <c r="I240">
        <f>(E240^2)*G240</f>
        <v>7322.0777441114406</v>
      </c>
      <c r="K240" s="6"/>
      <c r="M240" s="2">
        <f>'rockfish harvests'!O248</f>
        <v>9834.2503043694014</v>
      </c>
      <c r="N240">
        <f>'rockfish harvests'!P248</f>
        <v>3923387.5515685715</v>
      </c>
      <c r="O240">
        <v>2.6845637583892617E-2</v>
      </c>
      <c r="P240">
        <v>3.5114179202428642E-5</v>
      </c>
      <c r="Q240" s="13">
        <f t="shared" ref="Q240:Q242" si="77">M240*O240</f>
        <v>264.00671958038663</v>
      </c>
      <c r="R240" s="14">
        <f t="shared" si="68"/>
        <v>6361.2851912000997</v>
      </c>
      <c r="S240">
        <f t="shared" ref="S240:S242" si="78">SQRT(R240)</f>
        <v>79.757665407157575</v>
      </c>
      <c r="T240" s="6">
        <f t="shared" ref="T240:T242" si="79">(1.96*S240)</f>
        <v>156.32502419802884</v>
      </c>
      <c r="V240" s="13">
        <f t="shared" ref="V240:V242" si="80">Q240+H240</f>
        <v>1127.9211580830604</v>
      </c>
      <c r="W240" s="14">
        <f>R240+I240</f>
        <v>13683.362935311539</v>
      </c>
      <c r="X240">
        <f t="shared" ref="X240:X242" si="81">SQRT(W240)</f>
        <v>116.97590749941433</v>
      </c>
      <c r="Y240" s="6">
        <f t="shared" ref="Y240:Y242" si="82">(1.96*X240)</f>
        <v>229.27277869885208</v>
      </c>
      <c r="Z240" s="14">
        <f t="shared" ref="Z240:Z242" si="83">X240/V240</f>
        <v>0.10370929444946204</v>
      </c>
    </row>
    <row r="241" spans="1:26" x14ac:dyDescent="0.3">
      <c r="A241" t="str">
        <f>'rockfish harvests'!A249</f>
        <v>SE</v>
      </c>
      <c r="B241">
        <f>'rockfish harvests'!B249</f>
        <v>2020</v>
      </c>
      <c r="C241" t="str">
        <f>'rockfish harvests'!C249</f>
        <v>CSEO</v>
      </c>
      <c r="D241">
        <f>'rockfish harvests'!D249</f>
        <v>24728</v>
      </c>
      <c r="E241">
        <f>'YE harvest'!E250</f>
        <v>824</v>
      </c>
      <c r="F241" t="s">
        <v>244</v>
      </c>
      <c r="G241" t="s">
        <v>215</v>
      </c>
      <c r="H241" s="13">
        <f t="shared" ref="H241" si="84">E241*F241</f>
        <v>817.94117647058783</v>
      </c>
      <c r="I241">
        <f t="shared" ref="I241" si="85">(E241^2)*G241</f>
        <v>1.5510989814318419</v>
      </c>
      <c r="J241">
        <f t="shared" ref="J241" si="86">SQRT(I241)</f>
        <v>1.2454312431571009</v>
      </c>
      <c r="K241" s="6">
        <f t="shared" ref="K241" si="87">(1.96*J241)</f>
        <v>2.4410452365879176</v>
      </c>
      <c r="M241" s="2">
        <f>'rockfish harvests'!O249</f>
        <v>5579.5825129317564</v>
      </c>
      <c r="N241">
        <f>'rockfish harvests'!P249</f>
        <v>3148769.5238355137</v>
      </c>
      <c r="O241" t="s">
        <v>247</v>
      </c>
      <c r="P241" t="s">
        <v>248</v>
      </c>
      <c r="Q241" s="13">
        <f t="shared" si="77"/>
        <v>286.51910201541421</v>
      </c>
      <c r="R241" s="14">
        <f t="shared" si="68"/>
        <v>12828.80436748283</v>
      </c>
      <c r="S241">
        <f t="shared" si="78"/>
        <v>113.2643119763804</v>
      </c>
      <c r="T241" s="6">
        <f t="shared" si="79"/>
        <v>221.99805147370557</v>
      </c>
      <c r="V241" s="13">
        <f t="shared" si="80"/>
        <v>1104.4602784860022</v>
      </c>
      <c r="W241">
        <f t="shared" ref="W241:W242" si="88">R241+I241</f>
        <v>12830.355466464262</v>
      </c>
      <c r="X241">
        <f t="shared" si="81"/>
        <v>113.27115902322295</v>
      </c>
      <c r="Y241" s="6">
        <f t="shared" si="82"/>
        <v>222.01147168551697</v>
      </c>
      <c r="Z241" s="14">
        <f t="shared" si="83"/>
        <v>0.10255792918011994</v>
      </c>
    </row>
    <row r="242" spans="1:26" x14ac:dyDescent="0.3">
      <c r="A242" t="str">
        <f>'rockfish harvests'!A250</f>
        <v>SE</v>
      </c>
      <c r="B242">
        <f>'rockfish harvests'!B250</f>
        <v>2021</v>
      </c>
      <c r="C242" t="str">
        <f>'rockfish harvests'!C250</f>
        <v>CSEO</v>
      </c>
      <c r="D242">
        <f>'rockfish harvests'!D250</f>
        <v>56521</v>
      </c>
      <c r="E242">
        <f>'YE harvest'!E251</f>
        <v>2821</v>
      </c>
      <c r="F242" t="s">
        <v>245</v>
      </c>
      <c r="G242" t="s">
        <v>217</v>
      </c>
      <c r="H242" s="13">
        <f>E242*F242</f>
        <v>2776.921875</v>
      </c>
      <c r="I242">
        <f>(E242^2)*G242</f>
        <v>13.326239468860571</v>
      </c>
      <c r="K242" s="6"/>
      <c r="M242" s="2">
        <f>'rockfish harvests'!O250</f>
        <v>6300.3832456916716</v>
      </c>
      <c r="N242">
        <f>'rockfish harvests'!P250</f>
        <v>1468791.0672018982</v>
      </c>
      <c r="O242" t="s">
        <v>249</v>
      </c>
      <c r="P242" t="s">
        <v>250</v>
      </c>
      <c r="Q242" s="13">
        <f t="shared" si="77"/>
        <v>201.07606103271308</v>
      </c>
      <c r="R242" s="14">
        <f t="shared" si="68"/>
        <v>4207.7900410882221</v>
      </c>
      <c r="S242">
        <f t="shared" si="78"/>
        <v>64.867480613079323</v>
      </c>
      <c r="T242" s="6">
        <f t="shared" si="79"/>
        <v>127.14026200163548</v>
      </c>
      <c r="V242" s="13">
        <f t="shared" si="80"/>
        <v>2977.9979360327129</v>
      </c>
      <c r="W242">
        <f t="shared" si="88"/>
        <v>4221.116280557083</v>
      </c>
      <c r="X242">
        <f t="shared" si="81"/>
        <v>64.970118366500486</v>
      </c>
      <c r="Y242" s="6">
        <f t="shared" si="82"/>
        <v>127.34143199834095</v>
      </c>
      <c r="Z242" s="14">
        <f t="shared" si="83"/>
        <v>2.1816710340992928E-2</v>
      </c>
    </row>
    <row r="243" spans="1:26" x14ac:dyDescent="0.3">
      <c r="A243" t="s">
        <v>151</v>
      </c>
      <c r="B243">
        <v>2022</v>
      </c>
      <c r="C243" t="s">
        <v>42</v>
      </c>
      <c r="D243">
        <f>'rockfish harvests'!D251</f>
        <v>67729</v>
      </c>
      <c r="E243">
        <f>'YE harvest'!E252</f>
        <v>3398</v>
      </c>
      <c r="F243" t="s">
        <v>246</v>
      </c>
      <c r="G243" t="s">
        <v>219</v>
      </c>
      <c r="H243" s="13">
        <f>E243*F243</f>
        <v>3206.1774193548381</v>
      </c>
      <c r="I243">
        <f>(E243^2)*G243</f>
        <v>64.111042070977632</v>
      </c>
      <c r="K243" s="6"/>
      <c r="M243" s="2">
        <f>'rockfish harvests'!O251</f>
        <v>11225.939425595861</v>
      </c>
      <c r="N243">
        <f>'rockfish harvests'!P251</f>
        <v>5307635.0491281012</v>
      </c>
      <c r="O243" t="s">
        <v>251</v>
      </c>
      <c r="P243" t="s">
        <v>252</v>
      </c>
      <c r="Q243" s="13">
        <f t="shared" ref="Q243" si="89">M243*O243</f>
        <v>527.13106868015302</v>
      </c>
      <c r="R243" s="14">
        <f t="shared" si="68"/>
        <v>21941.907266752412</v>
      </c>
      <c r="S243">
        <f t="shared" ref="S243" si="90">SQRT(R243)</f>
        <v>148.12800973061243</v>
      </c>
      <c r="T243" s="6"/>
      <c r="V243" s="13">
        <f t="shared" ref="V243" si="91">Q243+H243</f>
        <v>3733.3084880349911</v>
      </c>
      <c r="W243">
        <f t="shared" ref="W243" si="92">R243+I243</f>
        <v>22006.01830882339</v>
      </c>
      <c r="X243">
        <f t="shared" ref="X243" si="93">SQRT(W243)</f>
        <v>148.34425606953371</v>
      </c>
      <c r="Y243" s="6">
        <f t="shared" ref="Y243" si="94">(1.96*X243)</f>
        <v>290.75474189628608</v>
      </c>
      <c r="Z243" s="14">
        <f t="shared" ref="Z243" si="95">X243/V243</f>
        <v>3.973533302832255E-2</v>
      </c>
    </row>
    <row r="244" spans="1:26" x14ac:dyDescent="0.3">
      <c r="A244" t="str">
        <f>'rockfish harvests'!A252</f>
        <v>SE</v>
      </c>
      <c r="B244">
        <f>'rockfish harvests'!B252</f>
        <v>1998</v>
      </c>
      <c r="C244" t="str">
        <f>'rockfish harvests'!C252</f>
        <v>EWYKT</v>
      </c>
      <c r="D244">
        <f>'rockfish harvests'!D252</f>
        <v>1305</v>
      </c>
      <c r="E244">
        <f>'YE harvest'!E253</f>
        <v>606</v>
      </c>
      <c r="F244" s="32">
        <v>1.1788528E-2</v>
      </c>
      <c r="G244" s="32">
        <v>5.1482899999999996E-4</v>
      </c>
      <c r="H244" s="13">
        <f t="shared" si="66"/>
        <v>7.1438479679999993</v>
      </c>
      <c r="I244">
        <f t="shared" si="69"/>
        <v>189.06374264399997</v>
      </c>
      <c r="J244">
        <f t="shared" si="71"/>
        <v>13.750045186980294</v>
      </c>
      <c r="K244" s="6">
        <f t="shared" si="72"/>
        <v>26.950088566481377</v>
      </c>
      <c r="M244" s="2">
        <f>'rockfish harvests'!O252</f>
        <v>340.03895326402039</v>
      </c>
      <c r="N244">
        <f>'rockfish harvests'!P252</f>
        <v>27091.93854220381</v>
      </c>
      <c r="O244" s="50">
        <f t="shared" ref="O244:P259" si="96">O294</f>
        <v>2.6213604000000001E-2</v>
      </c>
      <c r="P244" s="50">
        <f t="shared" si="96"/>
        <v>5.4350899999999996E-4</v>
      </c>
      <c r="Q244" s="13">
        <f t="shared" si="61"/>
        <v>8.9136464654375391</v>
      </c>
      <c r="R244" s="14">
        <f t="shared" si="68"/>
        <v>96.185058019878753</v>
      </c>
      <c r="S244">
        <f t="shared" si="73"/>
        <v>9.8073981269182067</v>
      </c>
      <c r="T244" s="6">
        <f t="shared" si="74"/>
        <v>19.222500328759686</v>
      </c>
      <c r="V244" s="13">
        <f t="shared" si="70"/>
        <v>16.05749443343754</v>
      </c>
      <c r="W244">
        <f t="shared" si="70"/>
        <v>285.24880066387874</v>
      </c>
      <c r="X244">
        <f t="shared" si="75"/>
        <v>16.889310248316203</v>
      </c>
      <c r="Y244" s="6">
        <f t="shared" si="76"/>
        <v>33.103048086699758</v>
      </c>
      <c r="Z244" s="14">
        <f t="shared" si="67"/>
        <v>1.0518023417866813</v>
      </c>
    </row>
    <row r="245" spans="1:26" x14ac:dyDescent="0.3">
      <c r="A245" t="str">
        <f>'rockfish harvests'!A253</f>
        <v>SE</v>
      </c>
      <c r="B245">
        <f>'rockfish harvests'!B253</f>
        <v>1999</v>
      </c>
      <c r="C245" t="str">
        <f>'rockfish harvests'!C253</f>
        <v>EWYKT</v>
      </c>
      <c r="D245">
        <f>'rockfish harvests'!D253</f>
        <v>663</v>
      </c>
      <c r="E245">
        <f>'YE harvest'!E254</f>
        <v>116</v>
      </c>
      <c r="F245" s="32">
        <v>1.1788528E-2</v>
      </c>
      <c r="G245" s="32">
        <v>5.1482899999999996E-4</v>
      </c>
      <c r="H245" s="13">
        <f t="shared" si="66"/>
        <v>1.3674692479999999</v>
      </c>
      <c r="I245">
        <f t="shared" si="69"/>
        <v>6.9275390239999997</v>
      </c>
      <c r="J245">
        <f t="shared" si="71"/>
        <v>2.6320218509731257</v>
      </c>
      <c r="K245" s="6">
        <f t="shared" si="72"/>
        <v>5.1587628279073261</v>
      </c>
      <c r="M245" s="2">
        <f>'rockfish harvests'!O253</f>
        <v>172.7554222329851</v>
      </c>
      <c r="N245">
        <f>'rockfish harvests'!P253</f>
        <v>6992.7196212962144</v>
      </c>
      <c r="O245" s="50">
        <f t="shared" si="96"/>
        <v>2.6213604000000001E-2</v>
      </c>
      <c r="P245" s="50">
        <f t="shared" si="96"/>
        <v>5.4350899999999996E-4</v>
      </c>
      <c r="Q245" s="13">
        <f t="shared" si="61"/>
        <v>4.5285422272682672</v>
      </c>
      <c r="R245" s="14">
        <f t="shared" si="68"/>
        <v>24.826394074508649</v>
      </c>
      <c r="S245">
        <f t="shared" si="73"/>
        <v>4.98260916333086</v>
      </c>
      <c r="T245" s="6">
        <f t="shared" si="74"/>
        <v>9.7659139601284863</v>
      </c>
      <c r="V245" s="13">
        <f t="shared" si="70"/>
        <v>5.8960114752682671</v>
      </c>
      <c r="W245">
        <f t="shared" si="70"/>
        <v>31.753933098508647</v>
      </c>
      <c r="X245">
        <f t="shared" si="75"/>
        <v>5.6350628300409076</v>
      </c>
      <c r="Y245" s="6">
        <f t="shared" si="76"/>
        <v>11.044723146880179</v>
      </c>
      <c r="Z245" s="14">
        <f t="shared" si="67"/>
        <v>0.95574149637904382</v>
      </c>
    </row>
    <row r="246" spans="1:26" x14ac:dyDescent="0.3">
      <c r="A246" t="str">
        <f>'rockfish harvests'!A254</f>
        <v>SE</v>
      </c>
      <c r="B246">
        <f>'rockfish harvests'!B254</f>
        <v>2000</v>
      </c>
      <c r="C246" t="str">
        <f>'rockfish harvests'!C254</f>
        <v>EWYKT</v>
      </c>
      <c r="D246">
        <f>'rockfish harvests'!D254</f>
        <v>1199</v>
      </c>
      <c r="E246">
        <f>'YE harvest'!E255</f>
        <v>142</v>
      </c>
      <c r="F246" s="32">
        <v>1.1788528E-2</v>
      </c>
      <c r="G246" s="32">
        <v>5.1482899999999996E-4</v>
      </c>
      <c r="H246" s="13">
        <f t="shared" si="66"/>
        <v>1.6739709759999999</v>
      </c>
      <c r="I246">
        <f t="shared" si="69"/>
        <v>10.381011956</v>
      </c>
      <c r="J246">
        <f t="shared" si="71"/>
        <v>3.2219577830877921</v>
      </c>
      <c r="K246" s="6">
        <f t="shared" si="72"/>
        <v>6.3150372548520721</v>
      </c>
      <c r="M246" s="2">
        <f>'rockfish harvests'!O254</f>
        <v>312.41893100655966</v>
      </c>
      <c r="N246">
        <f>'rockfish harvests'!P254</f>
        <v>22869.539754384543</v>
      </c>
      <c r="O246" s="50">
        <f t="shared" si="96"/>
        <v>2.6213604000000001E-2</v>
      </c>
      <c r="P246" s="50">
        <f t="shared" si="96"/>
        <v>5.4350899999999996E-4</v>
      </c>
      <c r="Q246" s="13">
        <f t="shared" si="61"/>
        <v>8.1896261395092775</v>
      </c>
      <c r="R246" s="14">
        <f t="shared" si="68"/>
        <v>81.194190099637808</v>
      </c>
      <c r="S246">
        <f t="shared" si="73"/>
        <v>9.0107818805938145</v>
      </c>
      <c r="T246" s="6">
        <f t="shared" si="74"/>
        <v>17.661132485963876</v>
      </c>
      <c r="V246" s="13">
        <f t="shared" si="70"/>
        <v>9.8635971155092772</v>
      </c>
      <c r="W246">
        <f t="shared" si="70"/>
        <v>91.575202055637803</v>
      </c>
      <c r="X246">
        <f t="shared" si="75"/>
        <v>9.5694933019276309</v>
      </c>
      <c r="Y246" s="6">
        <f t="shared" si="76"/>
        <v>18.756206871778158</v>
      </c>
      <c r="Z246" s="14">
        <f t="shared" si="67"/>
        <v>0.97018290486345948</v>
      </c>
    </row>
    <row r="247" spans="1:26" x14ac:dyDescent="0.3">
      <c r="A247" t="str">
        <f>'rockfish harvests'!A255</f>
        <v>SE</v>
      </c>
      <c r="B247">
        <f>'rockfish harvests'!B255</f>
        <v>2001</v>
      </c>
      <c r="C247" t="str">
        <f>'rockfish harvests'!C255</f>
        <v>EWYKT</v>
      </c>
      <c r="D247">
        <f>'rockfish harvests'!D255</f>
        <v>1043</v>
      </c>
      <c r="E247">
        <f>'YE harvest'!E256</f>
        <v>152</v>
      </c>
      <c r="F247" s="32">
        <v>1.1788528E-2</v>
      </c>
      <c r="G247" s="32">
        <v>5.1482899999999996E-4</v>
      </c>
      <c r="H247" s="13">
        <f t="shared" si="66"/>
        <v>1.791856256</v>
      </c>
      <c r="I247">
        <f t="shared" si="69"/>
        <v>11.894609215999999</v>
      </c>
      <c r="J247">
        <f t="shared" si="71"/>
        <v>3.4488562185165099</v>
      </c>
      <c r="K247" s="6">
        <f t="shared" si="72"/>
        <v>6.7597581882923592</v>
      </c>
      <c r="M247" s="2">
        <f>'rockfish harvests'!O255</f>
        <v>271.77059636350441</v>
      </c>
      <c r="N247">
        <f>'rockfish harvests'!P255</f>
        <v>17305.640405277591</v>
      </c>
      <c r="O247" s="50">
        <f t="shared" si="96"/>
        <v>2.6213604000000001E-2</v>
      </c>
      <c r="P247" s="50">
        <f t="shared" si="96"/>
        <v>5.4350899999999996E-4</v>
      </c>
      <c r="Q247" s="13">
        <f t="shared" si="61"/>
        <v>7.1240867919167448</v>
      </c>
      <c r="R247" s="14">
        <f t="shared" si="68"/>
        <v>61.440565571184848</v>
      </c>
      <c r="S247">
        <f t="shared" si="73"/>
        <v>7.8384032539277317</v>
      </c>
      <c r="T247" s="6">
        <f t="shared" si="74"/>
        <v>15.363270377698354</v>
      </c>
      <c r="V247" s="13">
        <f t="shared" si="70"/>
        <v>8.9159430479167447</v>
      </c>
      <c r="W247">
        <f t="shared" si="70"/>
        <v>73.335174787184854</v>
      </c>
      <c r="X247">
        <f t="shared" si="75"/>
        <v>8.5635959028427333</v>
      </c>
      <c r="Y247" s="6">
        <f t="shared" si="76"/>
        <v>16.784647969571758</v>
      </c>
      <c r="Z247" s="14">
        <f t="shared" si="67"/>
        <v>0.96048122524107649</v>
      </c>
    </row>
    <row r="248" spans="1:26" x14ac:dyDescent="0.3">
      <c r="A248" t="str">
        <f>'rockfish harvests'!A256</f>
        <v>SE</v>
      </c>
      <c r="B248">
        <f>'rockfish harvests'!B256</f>
        <v>2002</v>
      </c>
      <c r="C248" t="str">
        <f>'rockfish harvests'!C256</f>
        <v>EWYKT</v>
      </c>
      <c r="D248">
        <f>'rockfish harvests'!D256</f>
        <v>893</v>
      </c>
      <c r="E248">
        <f>'YE harvest'!E257</f>
        <v>102</v>
      </c>
      <c r="F248" s="32">
        <v>1.1788528E-2</v>
      </c>
      <c r="G248" s="32">
        <v>5.1482899999999996E-4</v>
      </c>
      <c r="H248" s="13">
        <f t="shared" si="66"/>
        <v>1.202429856</v>
      </c>
      <c r="I248">
        <f t="shared" si="69"/>
        <v>5.3562809159999993</v>
      </c>
      <c r="J248">
        <f t="shared" si="71"/>
        <v>2.314364041372921</v>
      </c>
      <c r="K248" s="6">
        <f t="shared" si="72"/>
        <v>4.5361535210909247</v>
      </c>
      <c r="M248" s="2">
        <f>'rockfish harvests'!O256</f>
        <v>232.6856592067204</v>
      </c>
      <c r="N248">
        <f>'rockfish harvests'!P256</f>
        <v>12685.920229322461</v>
      </c>
      <c r="O248" s="50">
        <f t="shared" si="96"/>
        <v>2.6213604000000001E-2</v>
      </c>
      <c r="P248" s="50">
        <f t="shared" si="96"/>
        <v>5.4350899999999996E-4</v>
      </c>
      <c r="Q248" s="13">
        <f t="shared" si="61"/>
        <v>6.0995297269239233</v>
      </c>
      <c r="R248" s="14">
        <f t="shared" si="68"/>
        <v>45.03907948086156</v>
      </c>
      <c r="S248">
        <f t="shared" si="73"/>
        <v>6.7111161129026486</v>
      </c>
      <c r="T248" s="6">
        <f t="shared" si="74"/>
        <v>13.15378758128919</v>
      </c>
      <c r="V248" s="13">
        <f t="shared" si="70"/>
        <v>7.3019595829239234</v>
      </c>
      <c r="W248">
        <f t="shared" si="70"/>
        <v>50.395360396861562</v>
      </c>
      <c r="X248">
        <f t="shared" si="75"/>
        <v>7.098968967171329</v>
      </c>
      <c r="Y248" s="6">
        <f t="shared" si="76"/>
        <v>13.913979175655804</v>
      </c>
      <c r="Z248" s="14">
        <f t="shared" si="67"/>
        <v>0.97220052871460694</v>
      </c>
    </row>
    <row r="249" spans="1:26" x14ac:dyDescent="0.3">
      <c r="A249" t="str">
        <f>'rockfish harvests'!A257</f>
        <v>SE</v>
      </c>
      <c r="B249">
        <f>'rockfish harvests'!B257</f>
        <v>2003</v>
      </c>
      <c r="C249" t="str">
        <f>'rockfish harvests'!C257</f>
        <v>EWYKT</v>
      </c>
      <c r="D249">
        <f>'rockfish harvests'!D257</f>
        <v>1627</v>
      </c>
      <c r="E249">
        <f>'YE harvest'!E258</f>
        <v>443</v>
      </c>
      <c r="F249" s="32">
        <v>1.1788528E-2</v>
      </c>
      <c r="G249" s="32">
        <v>5.1482899999999996E-4</v>
      </c>
      <c r="H249" s="13">
        <f t="shared" si="66"/>
        <v>5.2223179039999996</v>
      </c>
      <c r="I249">
        <f t="shared" si="69"/>
        <v>101.03467642099999</v>
      </c>
      <c r="J249">
        <f t="shared" si="71"/>
        <v>10.051600689492195</v>
      </c>
      <c r="K249" s="6">
        <f t="shared" si="72"/>
        <v>19.701137351404704</v>
      </c>
      <c r="M249" s="2">
        <f>'rockfish harvests'!O257</f>
        <v>423.94128502725016</v>
      </c>
      <c r="N249">
        <f>'rockfish harvests'!P257</f>
        <v>42110.865184765593</v>
      </c>
      <c r="O249" s="50">
        <f t="shared" si="96"/>
        <v>2.6213604000000001E-2</v>
      </c>
      <c r="P249" s="50">
        <f t="shared" si="96"/>
        <v>5.4350899999999996E-4</v>
      </c>
      <c r="Q249" s="13">
        <f t="shared" si="61"/>
        <v>11.113028964955465</v>
      </c>
      <c r="R249" s="14">
        <f t="shared" si="68"/>
        <v>149.50705741319348</v>
      </c>
      <c r="S249">
        <f t="shared" si="73"/>
        <v>12.227307856318719</v>
      </c>
      <c r="T249" s="6">
        <f t="shared" si="74"/>
        <v>23.96552339838469</v>
      </c>
      <c r="V249" s="13">
        <f t="shared" si="70"/>
        <v>16.335346868955465</v>
      </c>
      <c r="W249">
        <f t="shared" si="70"/>
        <v>250.54173383419345</v>
      </c>
      <c r="X249">
        <f t="shared" si="75"/>
        <v>15.828510158388042</v>
      </c>
      <c r="Y249" s="6">
        <f t="shared" si="76"/>
        <v>31.023879910440563</v>
      </c>
      <c r="Z249" s="14">
        <f t="shared" si="67"/>
        <v>0.96897300592186131</v>
      </c>
    </row>
    <row r="250" spans="1:26" x14ac:dyDescent="0.3">
      <c r="A250" t="str">
        <f>'rockfish harvests'!A258</f>
        <v>SE</v>
      </c>
      <c r="B250">
        <f>'rockfish harvests'!B258</f>
        <v>2004</v>
      </c>
      <c r="C250" t="str">
        <f>'rockfish harvests'!C258</f>
        <v>EWYKT</v>
      </c>
      <c r="D250">
        <f>'rockfish harvests'!D258</f>
        <v>1501</v>
      </c>
      <c r="E250">
        <f>'YE harvest'!E259</f>
        <v>378</v>
      </c>
      <c r="F250" s="32">
        <v>1.1788528E-2</v>
      </c>
      <c r="G250" s="32">
        <v>5.1482899999999996E-4</v>
      </c>
      <c r="H250" s="13">
        <f t="shared" si="66"/>
        <v>4.4560635839999998</v>
      </c>
      <c r="I250">
        <f t="shared" si="69"/>
        <v>73.56082683599999</v>
      </c>
      <c r="J250">
        <f t="shared" si="71"/>
        <v>8.57676085920553</v>
      </c>
      <c r="K250" s="6">
        <f t="shared" si="72"/>
        <v>16.810451284042838</v>
      </c>
      <c r="M250" s="2">
        <f>'rockfish harvests'!O258</f>
        <v>391.10993781555135</v>
      </c>
      <c r="N250">
        <f>'rockfish harvests'!P258</f>
        <v>35841.026777365994</v>
      </c>
      <c r="O250" s="50">
        <f t="shared" si="96"/>
        <v>2.6213604000000001E-2</v>
      </c>
      <c r="P250" s="50">
        <f t="shared" si="96"/>
        <v>5.4350899999999996E-4</v>
      </c>
      <c r="Q250" s="13">
        <f t="shared" si="61"/>
        <v>10.252401030361488</v>
      </c>
      <c r="R250" s="14">
        <f t="shared" si="68"/>
        <v>127.24712315077277</v>
      </c>
      <c r="S250">
        <f t="shared" si="73"/>
        <v>11.280386657857644</v>
      </c>
      <c r="T250" s="6">
        <f t="shared" si="74"/>
        <v>22.109557849400982</v>
      </c>
      <c r="V250" s="13">
        <f t="shared" si="70"/>
        <v>14.708464614361489</v>
      </c>
      <c r="W250">
        <f t="shared" si="70"/>
        <v>200.80794998677277</v>
      </c>
      <c r="X250">
        <f t="shared" si="75"/>
        <v>14.170672178367996</v>
      </c>
      <c r="Y250" s="6">
        <f t="shared" si="76"/>
        <v>27.774517469601271</v>
      </c>
      <c r="Z250" s="14">
        <f t="shared" si="67"/>
        <v>0.96343653466940471</v>
      </c>
    </row>
    <row r="251" spans="1:26" x14ac:dyDescent="0.3">
      <c r="A251" t="str">
        <f>'rockfish harvests'!A259</f>
        <v>SE</v>
      </c>
      <c r="B251">
        <f>'rockfish harvests'!B259</f>
        <v>2005</v>
      </c>
      <c r="C251" t="str">
        <f>'rockfish harvests'!C259</f>
        <v>EWYKT</v>
      </c>
      <c r="D251">
        <f>'rockfish harvests'!D259</f>
        <v>1676</v>
      </c>
      <c r="E251">
        <f>'YE harvest'!E260</f>
        <v>284</v>
      </c>
      <c r="F251" s="32">
        <v>1.1788528E-2</v>
      </c>
      <c r="G251" s="32">
        <v>5.1482899999999996E-4</v>
      </c>
      <c r="H251" s="13">
        <f t="shared" si="66"/>
        <v>3.3479419519999998</v>
      </c>
      <c r="I251">
        <f t="shared" si="69"/>
        <v>41.524047824</v>
      </c>
      <c r="J251">
        <f t="shared" si="71"/>
        <v>6.4439155661755843</v>
      </c>
      <c r="K251" s="6">
        <f t="shared" si="72"/>
        <v>12.630074509704144</v>
      </c>
      <c r="M251" s="2">
        <f>'rockfish harvests'!O259</f>
        <v>436.70903116513273</v>
      </c>
      <c r="N251">
        <f>'rockfish harvests'!P259</f>
        <v>44685.54786836687</v>
      </c>
      <c r="O251" s="50">
        <f t="shared" si="96"/>
        <v>2.6213604000000001E-2</v>
      </c>
      <c r="P251" s="50">
        <f t="shared" si="96"/>
        <v>5.4350899999999996E-4</v>
      </c>
      <c r="Q251" s="13">
        <f t="shared" si="61"/>
        <v>11.447717606186449</v>
      </c>
      <c r="R251" s="14">
        <f t="shared" si="68"/>
        <v>158.64800548227242</v>
      </c>
      <c r="S251">
        <f t="shared" si="73"/>
        <v>12.595554989053575</v>
      </c>
      <c r="T251" s="6">
        <f t="shared" si="74"/>
        <v>24.687287778545006</v>
      </c>
      <c r="V251" s="13">
        <f t="shared" si="70"/>
        <v>14.795659558186449</v>
      </c>
      <c r="W251">
        <f t="shared" si="70"/>
        <v>200.17205330627243</v>
      </c>
      <c r="X251">
        <f t="shared" si="75"/>
        <v>14.148217319021942</v>
      </c>
      <c r="Y251" s="6">
        <f t="shared" si="76"/>
        <v>27.730505945283006</v>
      </c>
      <c r="Z251" s="14">
        <f t="shared" si="67"/>
        <v>0.95624106944213405</v>
      </c>
    </row>
    <row r="252" spans="1:26" x14ac:dyDescent="0.3">
      <c r="A252" t="str">
        <f>'rockfish harvests'!A260</f>
        <v>SE</v>
      </c>
      <c r="B252">
        <f>'rockfish harvests'!B260</f>
        <v>2006</v>
      </c>
      <c r="C252" t="str">
        <f>'rockfish harvests'!C260</f>
        <v>EWYKT</v>
      </c>
      <c r="D252">
        <f>'rockfish harvests'!D260</f>
        <v>2529</v>
      </c>
      <c r="E252">
        <f>'YE harvest'!E261</f>
        <v>440</v>
      </c>
      <c r="F252">
        <f>IF([2]species_comp_Region1_forR!$H318&gt;49,[2]species_comp_Region1_forR!$AV318,[2]species_comp_Region1_forR!$AX318)</f>
        <v>0</v>
      </c>
      <c r="G252">
        <f>IF([2]species_comp_Region1_forR!$H318&gt;49,[2]species_comp_Region1_forR!$AW318,[2]species_comp_Region1_forR!$AY318)</f>
        <v>0</v>
      </c>
      <c r="H252" s="13">
        <f t="shared" si="66"/>
        <v>0</v>
      </c>
      <c r="I252">
        <f t="shared" si="69"/>
        <v>0</v>
      </c>
      <c r="J252">
        <f t="shared" si="71"/>
        <v>0</v>
      </c>
      <c r="K252" s="6">
        <f t="shared" si="72"/>
        <v>0</v>
      </c>
      <c r="M252" s="2">
        <f>'rockfish harvests'!O260</f>
        <v>658.97204046337765</v>
      </c>
      <c r="N252">
        <f>'rockfish harvests'!P260</f>
        <v>101745.85299552699</v>
      </c>
      <c r="O252" s="27">
        <f t="shared" si="96"/>
        <v>6.0606061000000003E-2</v>
      </c>
      <c r="P252" s="27">
        <f t="shared" si="96"/>
        <v>8.7589199999999997E-4</v>
      </c>
      <c r="Q252" s="13">
        <f t="shared" si="61"/>
        <v>39.937699681617936</v>
      </c>
      <c r="R252" s="14">
        <f t="shared" si="68"/>
        <v>843.19150205836684</v>
      </c>
      <c r="S252">
        <f t="shared" si="73"/>
        <v>29.037759935269918</v>
      </c>
      <c r="T252" s="6">
        <f t="shared" si="74"/>
        <v>56.914009473129035</v>
      </c>
      <c r="V252" s="13">
        <f t="shared" si="70"/>
        <v>39.937699681617936</v>
      </c>
      <c r="W252">
        <f t="shared" si="70"/>
        <v>843.19150205836684</v>
      </c>
      <c r="X252">
        <f t="shared" si="75"/>
        <v>29.037759935269918</v>
      </c>
      <c r="Y252" s="6">
        <f t="shared" si="76"/>
        <v>56.914009473129035</v>
      </c>
      <c r="Z252" s="14">
        <f t="shared" si="67"/>
        <v>0.72707642570198117</v>
      </c>
    </row>
    <row r="253" spans="1:26" x14ac:dyDescent="0.3">
      <c r="A253" t="str">
        <f>'rockfish harvests'!A261</f>
        <v>SE</v>
      </c>
      <c r="B253">
        <f>'rockfish harvests'!B261</f>
        <v>2007</v>
      </c>
      <c r="C253" t="str">
        <f>'rockfish harvests'!C261</f>
        <v>EWYKT</v>
      </c>
      <c r="D253">
        <f>'rockfish harvests'!D261</f>
        <v>2290</v>
      </c>
      <c r="E253">
        <f>'YE harvest'!E262</f>
        <v>334</v>
      </c>
      <c r="F253">
        <f>IF([2]species_comp_Region1_forR!$H319&gt;49,[2]species_comp_Region1_forR!$AV319,[2]species_comp_Region1_forR!$AX319)</f>
        <v>0</v>
      </c>
      <c r="G253">
        <f>IF([2]species_comp_Region1_forR!$H319&gt;49,[2]species_comp_Region1_forR!$AW319,[2]species_comp_Region1_forR!$AY319)</f>
        <v>0</v>
      </c>
      <c r="H253" s="13">
        <f t="shared" si="66"/>
        <v>0</v>
      </c>
      <c r="I253">
        <f t="shared" si="69"/>
        <v>0</v>
      </c>
      <c r="J253">
        <f t="shared" si="71"/>
        <v>0</v>
      </c>
      <c r="K253" s="6">
        <f t="shared" si="72"/>
        <v>0</v>
      </c>
      <c r="M253" s="2">
        <f>'rockfish harvests'!O261</f>
        <v>596.69670726023514</v>
      </c>
      <c r="N253">
        <f>'rockfish harvests'!P261</f>
        <v>83423.810519029968</v>
      </c>
      <c r="O253" s="27">
        <f t="shared" si="96"/>
        <v>1.6393443000000001E-2</v>
      </c>
      <c r="P253" s="27">
        <f t="shared" si="96"/>
        <v>2.6874499999999998E-4</v>
      </c>
      <c r="Q253" s="13">
        <f t="shared" si="61"/>
        <v>9.7819134587583516</v>
      </c>
      <c r="R253" s="14">
        <f t="shared" si="68"/>
        <v>140.52530208385483</v>
      </c>
      <c r="S253">
        <f t="shared" si="73"/>
        <v>11.854336847072249</v>
      </c>
      <c r="T253" s="6">
        <f t="shared" si="74"/>
        <v>23.234500220261609</v>
      </c>
      <c r="V253" s="13">
        <f t="shared" si="70"/>
        <v>9.7819134587583516</v>
      </c>
      <c r="W253">
        <f t="shared" si="70"/>
        <v>140.52530208385483</v>
      </c>
      <c r="X253">
        <f t="shared" si="75"/>
        <v>11.854336847072249</v>
      </c>
      <c r="Y253" s="6">
        <f t="shared" si="76"/>
        <v>23.234500220261609</v>
      </c>
      <c r="Z253" s="14">
        <f t="shared" si="67"/>
        <v>1.211862780942754</v>
      </c>
    </row>
    <row r="254" spans="1:26" x14ac:dyDescent="0.3">
      <c r="A254" t="str">
        <f>'rockfish harvests'!A262</f>
        <v>SE</v>
      </c>
      <c r="B254">
        <f>'rockfish harvests'!B262</f>
        <v>2008</v>
      </c>
      <c r="C254" t="str">
        <f>'rockfish harvests'!C262</f>
        <v>EWYKT</v>
      </c>
      <c r="D254">
        <f>'rockfish harvests'!D262</f>
        <v>2857</v>
      </c>
      <c r="E254">
        <f>'YE harvest'!E263</f>
        <v>401</v>
      </c>
      <c r="F254">
        <f>IF([2]species_comp_Region1_forR!$H320&gt;49,[2]species_comp_Region1_forR!$AV320,[2]species_comp_Region1_forR!$AX320)</f>
        <v>0</v>
      </c>
      <c r="G254">
        <f>IF([2]species_comp_Region1_forR!$H320&gt;49,[2]species_comp_Region1_forR!$AW320,[2]species_comp_Region1_forR!$AY320)</f>
        <v>0</v>
      </c>
      <c r="H254" s="13">
        <f t="shared" si="66"/>
        <v>0</v>
      </c>
      <c r="I254">
        <f t="shared" si="69"/>
        <v>0</v>
      </c>
      <c r="J254">
        <f t="shared" si="71"/>
        <v>0</v>
      </c>
      <c r="K254" s="6">
        <f t="shared" si="72"/>
        <v>0</v>
      </c>
      <c r="M254" s="2">
        <f>'rockfish harvests'!O262</f>
        <v>744.43776971287843</v>
      </c>
      <c r="N254">
        <f>'rockfish harvests'!P262</f>
        <v>129849.277997606</v>
      </c>
      <c r="O254" s="27">
        <f t="shared" si="96"/>
        <v>7.9207921000000001E-2</v>
      </c>
      <c r="P254" s="27">
        <f t="shared" si="96"/>
        <v>7.2933999999999998E-4</v>
      </c>
      <c r="Q254" s="13">
        <f t="shared" si="61"/>
        <v>58.965368052833867</v>
      </c>
      <c r="R254" s="14">
        <f t="shared" si="68"/>
        <v>1313.5561548843136</v>
      </c>
      <c r="S254">
        <f t="shared" si="73"/>
        <v>36.243015256519612</v>
      </c>
      <c r="T254" s="6">
        <f t="shared" si="74"/>
        <v>71.036309902778441</v>
      </c>
      <c r="V254" s="13">
        <f t="shared" si="70"/>
        <v>58.965368052833867</v>
      </c>
      <c r="W254">
        <f t="shared" si="70"/>
        <v>1313.5561548843136</v>
      </c>
      <c r="X254">
        <f t="shared" si="75"/>
        <v>36.243015256519612</v>
      </c>
      <c r="Y254" s="6">
        <f t="shared" si="76"/>
        <v>71.036309902778441</v>
      </c>
      <c r="Z254" s="14">
        <f t="shared" si="67"/>
        <v>0.61464918228010246</v>
      </c>
    </row>
    <row r="255" spans="1:26" x14ac:dyDescent="0.3">
      <c r="A255" t="str">
        <f>'rockfish harvests'!A263</f>
        <v>SE</v>
      </c>
      <c r="B255">
        <f>'rockfish harvests'!B263</f>
        <v>2009</v>
      </c>
      <c r="C255" t="str">
        <f>'rockfish harvests'!C263</f>
        <v>EWYKT</v>
      </c>
      <c r="D255">
        <f>'rockfish harvests'!D263</f>
        <v>2494</v>
      </c>
      <c r="E255">
        <f>'YE harvest'!E264</f>
        <v>301</v>
      </c>
      <c r="F255">
        <f>IF([2]species_comp_Region1_forR!$H321&gt;49,[2]species_comp_Region1_forR!$AV321,[2]species_comp_Region1_forR!$AX321)</f>
        <v>0</v>
      </c>
      <c r="G255">
        <f>IF([2]species_comp_Region1_forR!$H321&gt;49,[2]species_comp_Region1_forR!$AW321,[2]species_comp_Region1_forR!$AY321)</f>
        <v>0</v>
      </c>
      <c r="H255" s="13">
        <f t="shared" si="66"/>
        <v>0</v>
      </c>
      <c r="I255">
        <f t="shared" si="69"/>
        <v>0</v>
      </c>
      <c r="J255">
        <f t="shared" si="71"/>
        <v>0</v>
      </c>
      <c r="K255" s="6">
        <f t="shared" si="72"/>
        <v>0</v>
      </c>
      <c r="M255" s="2">
        <f>'rockfish harvests'!O263</f>
        <v>649.85222179346101</v>
      </c>
      <c r="N255">
        <f>'rockfish harvests'!P263</f>
        <v>98949.124670686113</v>
      </c>
      <c r="O255" s="27">
        <f t="shared" si="96"/>
        <v>5.1282051000000002E-2</v>
      </c>
      <c r="P255" s="27">
        <f t="shared" si="96"/>
        <v>6.3184700000000005E-4</v>
      </c>
      <c r="Q255" s="13">
        <f t="shared" si="61"/>
        <v>33.325754780475577</v>
      </c>
      <c r="R255" s="14">
        <f t="shared" si="68"/>
        <v>589.57592599336749</v>
      </c>
      <c r="S255">
        <f t="shared" si="73"/>
        <v>24.281184608526981</v>
      </c>
      <c r="T255" s="6">
        <f t="shared" si="74"/>
        <v>47.591121832712879</v>
      </c>
      <c r="V255" s="13">
        <f t="shared" si="70"/>
        <v>33.325754780475577</v>
      </c>
      <c r="W255">
        <f t="shared" si="70"/>
        <v>589.57592599336749</v>
      </c>
      <c r="X255">
        <f t="shared" si="75"/>
        <v>24.281184608526981</v>
      </c>
      <c r="Y255" s="6">
        <f t="shared" si="76"/>
        <v>47.591121832712879</v>
      </c>
      <c r="Z255" s="14">
        <f t="shared" si="67"/>
        <v>0.72860119053485017</v>
      </c>
    </row>
    <row r="256" spans="1:26" x14ac:dyDescent="0.3">
      <c r="A256" t="str">
        <f>'rockfish harvests'!A264</f>
        <v>SE</v>
      </c>
      <c r="B256">
        <f>'rockfish harvests'!B264</f>
        <v>2010</v>
      </c>
      <c r="C256" t="str">
        <f>'rockfish harvests'!C264</f>
        <v>EWYKT</v>
      </c>
      <c r="D256">
        <f>'rockfish harvests'!D264</f>
        <v>2435</v>
      </c>
      <c r="E256">
        <f>'YE harvest'!E265</f>
        <v>503</v>
      </c>
      <c r="F256">
        <f>IF([2]species_comp_Region1_forR!$H322&gt;49,[2]species_comp_Region1_forR!$AV322,[2]species_comp_Region1_forR!$AX322)</f>
        <v>0</v>
      </c>
      <c r="G256">
        <f>IF([2]species_comp_Region1_forR!$H322&gt;49,[2]species_comp_Region1_forR!$AW322,[2]species_comp_Region1_forR!$AY322)</f>
        <v>0</v>
      </c>
      <c r="H256" s="13">
        <f t="shared" si="66"/>
        <v>0</v>
      </c>
      <c r="I256">
        <f t="shared" si="69"/>
        <v>0</v>
      </c>
      <c r="J256">
        <f t="shared" si="71"/>
        <v>0</v>
      </c>
      <c r="K256" s="6">
        <f t="shared" si="72"/>
        <v>0</v>
      </c>
      <c r="M256" s="2">
        <f>'rockfish harvests'!O264</f>
        <v>634.4788131784594</v>
      </c>
      <c r="N256">
        <f>'rockfish harvests'!P264</f>
        <v>94322.866254399312</v>
      </c>
      <c r="O256" s="27">
        <f t="shared" si="96"/>
        <v>0</v>
      </c>
      <c r="P256" s="27">
        <f t="shared" si="96"/>
        <v>0</v>
      </c>
      <c r="Q256" s="13">
        <f t="shared" si="61"/>
        <v>0</v>
      </c>
      <c r="R256" s="14">
        <f t="shared" si="68"/>
        <v>0</v>
      </c>
      <c r="S256">
        <f t="shared" si="73"/>
        <v>0</v>
      </c>
      <c r="T256" s="6">
        <f t="shared" si="74"/>
        <v>0</v>
      </c>
      <c r="V256" s="13">
        <f t="shared" si="70"/>
        <v>0</v>
      </c>
      <c r="W256">
        <f t="shared" si="70"/>
        <v>0</v>
      </c>
      <c r="X256">
        <f t="shared" si="75"/>
        <v>0</v>
      </c>
      <c r="Y256" s="6">
        <f t="shared" si="76"/>
        <v>0</v>
      </c>
      <c r="Z256" s="14" t="e">
        <f t="shared" si="67"/>
        <v>#DIV/0!</v>
      </c>
    </row>
    <row r="257" spans="1:26" x14ac:dyDescent="0.3">
      <c r="A257" t="str">
        <f>'rockfish harvests'!A265</f>
        <v>SE</v>
      </c>
      <c r="B257">
        <f>'rockfish harvests'!B265</f>
        <v>2011</v>
      </c>
      <c r="C257" t="str">
        <f>'rockfish harvests'!C265</f>
        <v>EWYKT</v>
      </c>
      <c r="D257">
        <f>'rockfish harvests'!D265</f>
        <v>2848</v>
      </c>
      <c r="E257">
        <f>'YE harvest'!E266</f>
        <v>485</v>
      </c>
      <c r="F257">
        <f>IF([2]species_comp_Region1_forR!$H323&gt;49,[2]species_comp_Region1_forR!$AV323,[2]species_comp_Region1_forR!$AX323)</f>
        <v>2.3148148E-2</v>
      </c>
      <c r="G257">
        <f>IF([2]species_comp_Region1_forR!$H323&gt;49,[2]species_comp_Region1_forR!$AW323,[2]species_comp_Region1_forR!$AY323)</f>
        <v>1.0517400000000001E-4</v>
      </c>
      <c r="H257" s="13">
        <f t="shared" si="66"/>
        <v>11.226851780000001</v>
      </c>
      <c r="I257">
        <f t="shared" si="69"/>
        <v>24.73955415</v>
      </c>
      <c r="J257">
        <f t="shared" si="71"/>
        <v>4.9738872273102457</v>
      </c>
      <c r="K257" s="6">
        <f t="shared" si="72"/>
        <v>9.7488189655280806</v>
      </c>
      <c r="M257" s="2">
        <f>'rockfish harvests'!O265</f>
        <v>1436.4366812227072</v>
      </c>
      <c r="N257">
        <f>'rockfish harvests'!P265</f>
        <v>404683.38862902793</v>
      </c>
      <c r="O257" s="27">
        <f t="shared" si="96"/>
        <v>3.6363635999999998E-2</v>
      </c>
      <c r="P257" s="27">
        <f t="shared" si="96"/>
        <v>2.1366700000000001E-4</v>
      </c>
      <c r="Q257" s="13">
        <f t="shared" si="61"/>
        <v>52.234060613030557</v>
      </c>
      <c r="R257" s="14">
        <f t="shared" si="68"/>
        <v>1062.4558822321267</v>
      </c>
      <c r="S257">
        <f t="shared" si="73"/>
        <v>32.595335283321241</v>
      </c>
      <c r="T257" s="6">
        <f t="shared" si="74"/>
        <v>63.886857155309627</v>
      </c>
      <c r="V257" s="13">
        <f t="shared" si="70"/>
        <v>63.460912393030554</v>
      </c>
      <c r="W257">
        <f t="shared" si="70"/>
        <v>1087.1954363821267</v>
      </c>
      <c r="X257">
        <f t="shared" si="75"/>
        <v>32.972646790667667</v>
      </c>
      <c r="Y257" s="6">
        <f t="shared" si="76"/>
        <v>64.626387709708624</v>
      </c>
      <c r="Z257" s="14">
        <f t="shared" si="67"/>
        <v>0.51957410549755678</v>
      </c>
    </row>
    <row r="258" spans="1:26" x14ac:dyDescent="0.3">
      <c r="A258" t="str">
        <f>'rockfish harvests'!A266</f>
        <v>SE</v>
      </c>
      <c r="B258">
        <f>'rockfish harvests'!B266</f>
        <v>2012</v>
      </c>
      <c r="C258" t="str">
        <f>'rockfish harvests'!C266</f>
        <v>EWYKT</v>
      </c>
      <c r="D258">
        <f>'rockfish harvests'!D266</f>
        <v>3241</v>
      </c>
      <c r="E258">
        <f>'YE harvest'!E267</f>
        <v>514</v>
      </c>
      <c r="F258">
        <f>IF([2]species_comp_Region1_forR!$H324&gt;49,[2]species_comp_Region1_forR!$AV324,[2]species_comp_Region1_forR!$AX324)</f>
        <v>7.3170732000000002E-2</v>
      </c>
      <c r="G258">
        <f>IF([2]species_comp_Region1_forR!$H324&gt;49,[2]species_comp_Region1_forR!$AW324,[2]species_comp_Region1_forR!$AY324)</f>
        <v>2.3712200000000001E-4</v>
      </c>
      <c r="H258" s="13">
        <f t="shared" si="66"/>
        <v>37.609756248000004</v>
      </c>
      <c r="I258">
        <f t="shared" si="69"/>
        <v>62.646683912</v>
      </c>
      <c r="J258">
        <f t="shared" si="71"/>
        <v>7.9149658187512095</v>
      </c>
      <c r="K258" s="6">
        <f t="shared" si="72"/>
        <v>15.51333300475237</v>
      </c>
      <c r="M258" s="2">
        <f>'rockfish harvests'!O266</f>
        <v>535.14427701186287</v>
      </c>
      <c r="N258">
        <f>'rockfish harvests'!P266</f>
        <v>48300.340637739224</v>
      </c>
      <c r="O258" s="27">
        <f t="shared" si="96"/>
        <v>1.5564201999999999E-2</v>
      </c>
      <c r="P258" s="27">
        <f t="shared" si="96"/>
        <v>5.9851400000000001E-5</v>
      </c>
      <c r="Q258" s="13">
        <f t="shared" si="61"/>
        <v>8.32909362655659</v>
      </c>
      <c r="R258" s="14">
        <f t="shared" si="68"/>
        <v>31.731537122126781</v>
      </c>
      <c r="S258">
        <f t="shared" si="73"/>
        <v>5.633075281063336</v>
      </c>
      <c r="T258" s="6">
        <f t="shared" si="74"/>
        <v>11.040827550884138</v>
      </c>
      <c r="V258" s="13">
        <f t="shared" si="70"/>
        <v>45.938849874556595</v>
      </c>
      <c r="W258">
        <f t="shared" si="70"/>
        <v>94.378221034126781</v>
      </c>
      <c r="X258">
        <f t="shared" si="75"/>
        <v>9.7148453942472379</v>
      </c>
      <c r="Y258" s="6">
        <f t="shared" si="76"/>
        <v>19.041096972724585</v>
      </c>
      <c r="Z258" s="14">
        <f t="shared" si="67"/>
        <v>0.21147341347846502</v>
      </c>
    </row>
    <row r="259" spans="1:26" x14ac:dyDescent="0.3">
      <c r="A259" t="str">
        <f>'rockfish harvests'!A267</f>
        <v>SE</v>
      </c>
      <c r="B259">
        <f>'rockfish harvests'!B267</f>
        <v>2013</v>
      </c>
      <c r="C259" t="str">
        <f>'rockfish harvests'!C267</f>
        <v>EWYKT</v>
      </c>
      <c r="D259">
        <f>'rockfish harvests'!D267</f>
        <v>3884</v>
      </c>
      <c r="E259">
        <f>'YE harvest'!E268</f>
        <v>452</v>
      </c>
      <c r="F259">
        <f>IF([2]species_comp_Region1_forR!$H325&gt;49,[2]species_comp_Region1_forR!$AV325,[2]species_comp_Region1_forR!$AX325)</f>
        <v>0</v>
      </c>
      <c r="G259">
        <f>IF([2]species_comp_Region1_forR!$H325&gt;49,[2]species_comp_Region1_forR!$AW325,[2]species_comp_Region1_forR!$AY325)</f>
        <v>0</v>
      </c>
      <c r="H259" s="13">
        <f t="shared" si="66"/>
        <v>0</v>
      </c>
      <c r="I259">
        <f t="shared" si="69"/>
        <v>0</v>
      </c>
      <c r="J259">
        <f t="shared" si="71"/>
        <v>0</v>
      </c>
      <c r="K259" s="6">
        <f t="shared" si="72"/>
        <v>0</v>
      </c>
      <c r="M259" s="2">
        <f>'rockfish harvests'!O267</f>
        <v>591.36648814078035</v>
      </c>
      <c r="N259">
        <f>'rockfish harvests'!P267</f>
        <v>87012.297802534755</v>
      </c>
      <c r="O259" s="27">
        <f t="shared" si="96"/>
        <v>1.3071895E-2</v>
      </c>
      <c r="P259" s="27">
        <f t="shared" si="96"/>
        <v>4.2298400000000001E-5</v>
      </c>
      <c r="Q259" s="13">
        <f t="shared" si="61"/>
        <v>7.7302806394950263</v>
      </c>
      <c r="R259" s="14">
        <f t="shared" si="68"/>
        <v>33.341014873499454</v>
      </c>
      <c r="S259">
        <f t="shared" si="73"/>
        <v>5.7741678944675181</v>
      </c>
      <c r="T259" s="6">
        <f t="shared" si="74"/>
        <v>11.317369073156335</v>
      </c>
      <c r="V259" s="13">
        <f t="shared" si="70"/>
        <v>7.7302806394950263</v>
      </c>
      <c r="W259">
        <f t="shared" si="70"/>
        <v>33.341014873499454</v>
      </c>
      <c r="X259">
        <f t="shared" si="75"/>
        <v>5.7741678944675181</v>
      </c>
      <c r="Y259" s="6">
        <f t="shared" si="76"/>
        <v>11.317369073156335</v>
      </c>
      <c r="Z259" s="14">
        <f t="shared" si="67"/>
        <v>0.74695449799927449</v>
      </c>
    </row>
    <row r="260" spans="1:26" x14ac:dyDescent="0.3">
      <c r="A260" t="str">
        <f>'rockfish harvests'!A268</f>
        <v>SE</v>
      </c>
      <c r="B260">
        <f>'rockfish harvests'!B268</f>
        <v>2014</v>
      </c>
      <c r="C260" t="str">
        <f>'rockfish harvests'!C268</f>
        <v>EWYKT</v>
      </c>
      <c r="D260">
        <f>'rockfish harvests'!D268</f>
        <v>4695</v>
      </c>
      <c r="E260">
        <f>'YE harvest'!E269</f>
        <v>675</v>
      </c>
      <c r="F260">
        <f>IF([2]species_comp_Region1_forR!$H326&gt;49,[2]species_comp_Region1_forR!$AV326,[2]species_comp_Region1_forR!$AX326)</f>
        <v>0</v>
      </c>
      <c r="G260">
        <f>IF([2]species_comp_Region1_forR!$H326&gt;49,[2]species_comp_Region1_forR!$AW326,[2]species_comp_Region1_forR!$AY326)</f>
        <v>0</v>
      </c>
      <c r="H260" s="13">
        <f t="shared" si="66"/>
        <v>0</v>
      </c>
      <c r="I260">
        <f t="shared" si="69"/>
        <v>0</v>
      </c>
      <c r="J260">
        <f t="shared" si="71"/>
        <v>0</v>
      </c>
      <c r="K260" s="6">
        <f t="shared" si="72"/>
        <v>0</v>
      </c>
      <c r="M260" s="2">
        <f>'rockfish harvests'!O268</f>
        <v>1023.1397849462364</v>
      </c>
      <c r="N260">
        <f>'rockfish harvests'!P268</f>
        <v>234030.60206548884</v>
      </c>
      <c r="O260" s="27">
        <f t="shared" ref="O260:P264" si="97">O310</f>
        <v>1.4150942999999999E-2</v>
      </c>
      <c r="P260" s="27">
        <f t="shared" si="97"/>
        <v>3.29804E-5</v>
      </c>
      <c r="Q260" s="13">
        <f t="shared" si="61"/>
        <v>14.47839277780645</v>
      </c>
      <c r="R260" s="14">
        <f t="shared" si="68"/>
        <v>89.107238920235162</v>
      </c>
      <c r="S260">
        <f t="shared" si="73"/>
        <v>9.4396630723895623</v>
      </c>
      <c r="T260" s="6">
        <f t="shared" si="74"/>
        <v>18.501739621883541</v>
      </c>
      <c r="V260" s="13">
        <f t="shared" si="70"/>
        <v>14.47839277780645</v>
      </c>
      <c r="W260">
        <f t="shared" si="70"/>
        <v>89.107238920235162</v>
      </c>
      <c r="X260">
        <f t="shared" si="75"/>
        <v>9.4396630723895623</v>
      </c>
      <c r="Y260" s="6">
        <f t="shared" si="76"/>
        <v>18.501739621883541</v>
      </c>
      <c r="Z260" s="14">
        <f t="shared" si="67"/>
        <v>0.65198280066413006</v>
      </c>
    </row>
    <row r="261" spans="1:26" x14ac:dyDescent="0.3">
      <c r="A261" t="str">
        <f>'rockfish harvests'!A269</f>
        <v>SE</v>
      </c>
      <c r="B261">
        <f>'rockfish harvests'!B269</f>
        <v>2015</v>
      </c>
      <c r="C261" t="str">
        <f>'rockfish harvests'!C269</f>
        <v>EWYKT</v>
      </c>
      <c r="D261">
        <f>'rockfish harvests'!D269</f>
        <v>5729</v>
      </c>
      <c r="E261">
        <f>'YE harvest'!E270</f>
        <v>1014</v>
      </c>
      <c r="F261">
        <f>IF([2]species_comp_Region1_forR!$H327&gt;49,[2]species_comp_Region1_forR!$AV327,[2]species_comp_Region1_forR!$AX327)</f>
        <v>0</v>
      </c>
      <c r="G261">
        <f>IF([2]species_comp_Region1_forR!$H327&gt;49,[2]species_comp_Region1_forR!$AW327,[2]species_comp_Region1_forR!$AY327)</f>
        <v>0</v>
      </c>
      <c r="H261" s="13">
        <f t="shared" si="66"/>
        <v>0</v>
      </c>
      <c r="I261">
        <f t="shared" si="69"/>
        <v>0</v>
      </c>
      <c r="J261">
        <f t="shared" si="71"/>
        <v>0</v>
      </c>
      <c r="K261" s="6">
        <f t="shared" si="72"/>
        <v>0</v>
      </c>
      <c r="M261" s="2">
        <f>'rockfish harvests'!O269</f>
        <v>2397.5678935972783</v>
      </c>
      <c r="N261">
        <f>'rockfish harvests'!P269</f>
        <v>1115072.9274274483</v>
      </c>
      <c r="O261" s="27">
        <f t="shared" si="97"/>
        <v>1.2779553000000001E-2</v>
      </c>
      <c r="P261" s="27">
        <f t="shared" si="97"/>
        <v>4.0436699999999999E-5</v>
      </c>
      <c r="Q261" s="13">
        <f t="shared" si="61"/>
        <v>30.639845967324781</v>
      </c>
      <c r="R261" s="14">
        <f t="shared" si="68"/>
        <v>459.643775397654</v>
      </c>
      <c r="S261">
        <f t="shared" si="73"/>
        <v>21.439304452282354</v>
      </c>
      <c r="T261" s="6">
        <f t="shared" si="74"/>
        <v>42.021036726473412</v>
      </c>
      <c r="V261" s="13">
        <f t="shared" si="70"/>
        <v>30.639845967324781</v>
      </c>
      <c r="W261">
        <f t="shared" si="70"/>
        <v>459.643775397654</v>
      </c>
      <c r="X261">
        <f t="shared" si="75"/>
        <v>21.439304452282354</v>
      </c>
      <c r="Y261" s="6">
        <f t="shared" si="76"/>
        <v>42.021036726473412</v>
      </c>
      <c r="Z261" s="14">
        <f t="shared" si="67"/>
        <v>0.69971972036497343</v>
      </c>
    </row>
    <row r="262" spans="1:26" x14ac:dyDescent="0.3">
      <c r="A262" t="str">
        <f>'rockfish harvests'!A270</f>
        <v>SE</v>
      </c>
      <c r="B262">
        <f>'rockfish harvests'!B270</f>
        <v>2016</v>
      </c>
      <c r="C262" t="str">
        <f>'rockfish harvests'!C270</f>
        <v>EWYKT</v>
      </c>
      <c r="D262">
        <f>'rockfish harvests'!D270</f>
        <v>7499</v>
      </c>
      <c r="E262">
        <f>'YE harvest'!E271</f>
        <v>1262</v>
      </c>
      <c r="F262">
        <f>IF([2]species_comp_Region1_forR!$H328&gt;49,[2]species_comp_Region1_forR!$AV328,[2]species_comp_Region1_forR!$AX328)</f>
        <v>0</v>
      </c>
      <c r="G262">
        <f>IF([2]species_comp_Region1_forR!$H328&gt;49,[2]species_comp_Region1_forR!$AW328,[2]species_comp_Region1_forR!$AY328)</f>
        <v>0</v>
      </c>
      <c r="H262" s="13">
        <f t="shared" si="66"/>
        <v>0</v>
      </c>
      <c r="I262">
        <f t="shared" si="69"/>
        <v>0</v>
      </c>
      <c r="J262">
        <f t="shared" si="71"/>
        <v>0</v>
      </c>
      <c r="K262" s="6">
        <f t="shared" si="72"/>
        <v>0</v>
      </c>
      <c r="M262" s="2">
        <f>'rockfish harvests'!O270</f>
        <v>2107.8674308497375</v>
      </c>
      <c r="N262">
        <f>'rockfish harvests'!P270</f>
        <v>521828.91183042602</v>
      </c>
      <c r="O262" s="27">
        <f t="shared" si="97"/>
        <v>9.9601589999999997E-3</v>
      </c>
      <c r="P262" s="27">
        <f t="shared" si="97"/>
        <v>1.96825E-5</v>
      </c>
      <c r="Q262" s="13">
        <f t="shared" si="61"/>
        <v>20.994694762184889</v>
      </c>
      <c r="R262" s="14">
        <f t="shared" si="68"/>
        <v>149.49022957798246</v>
      </c>
      <c r="S262">
        <f t="shared" si="73"/>
        <v>12.226619711841145</v>
      </c>
      <c r="T262" s="6">
        <f t="shared" si="74"/>
        <v>23.964174635208646</v>
      </c>
      <c r="V262" s="13">
        <f t="shared" si="70"/>
        <v>20.994694762184889</v>
      </c>
      <c r="W262">
        <f t="shared" si="70"/>
        <v>149.49022957798246</v>
      </c>
      <c r="X262">
        <f t="shared" si="75"/>
        <v>12.226619711841145</v>
      </c>
      <c r="Y262" s="6">
        <f t="shared" si="76"/>
        <v>23.964174635208646</v>
      </c>
      <c r="Z262" s="14">
        <f t="shared" si="67"/>
        <v>0.58236710989785012</v>
      </c>
    </row>
    <row r="263" spans="1:26" x14ac:dyDescent="0.3">
      <c r="A263" t="str">
        <f>'rockfish harvests'!A271</f>
        <v>SE</v>
      </c>
      <c r="B263">
        <f>'rockfish harvests'!B271</f>
        <v>2017</v>
      </c>
      <c r="C263" t="str">
        <f>'rockfish harvests'!C271</f>
        <v>EWYKT</v>
      </c>
      <c r="D263">
        <f>'rockfish harvests'!D271</f>
        <v>6324</v>
      </c>
      <c r="E263">
        <f>'YE harvest'!E272</f>
        <v>797</v>
      </c>
      <c r="F263">
        <f>IF([2]species_comp_Region1_forR!$H329&gt;49,[2]species_comp_Region1_forR!$AV329,[2]species_comp_Region1_forR!$AX329)</f>
        <v>1.1583012E-2</v>
      </c>
      <c r="G263">
        <f>IF([2]species_comp_Region1_forR!$H329&gt;49,[2]species_comp_Region1_forR!$AW329,[2]species_comp_Region1_forR!$AY329)</f>
        <v>4.4375400000000002E-5</v>
      </c>
      <c r="H263" s="13">
        <f t="shared" si="66"/>
        <v>9.2316605640000002</v>
      </c>
      <c r="I263">
        <f t="shared" si="69"/>
        <v>28.1876534586</v>
      </c>
      <c r="J263">
        <f t="shared" si="71"/>
        <v>5.3092045975456621</v>
      </c>
      <c r="K263" s="6">
        <f t="shared" si="72"/>
        <v>10.406041011189497</v>
      </c>
      <c r="M263" s="2">
        <f>'rockfish harvests'!O271</f>
        <v>1256.0488400488402</v>
      </c>
      <c r="N263">
        <f>'rockfish harvests'!P271</f>
        <v>191271.46761998921</v>
      </c>
      <c r="O263" s="27">
        <f t="shared" si="97"/>
        <v>9.7465889999999999E-3</v>
      </c>
      <c r="P263" s="27">
        <f t="shared" si="97"/>
        <v>1.8850799999999999E-5</v>
      </c>
      <c r="Q263" s="13">
        <f t="shared" si="61"/>
        <v>12.242191807882786</v>
      </c>
      <c r="R263" s="14">
        <f t="shared" si="68"/>
        <v>51.515772378666895</v>
      </c>
      <c r="S263">
        <f t="shared" si="73"/>
        <v>7.1774488767713907</v>
      </c>
      <c r="T263" s="6">
        <f t="shared" si="74"/>
        <v>14.067799798471926</v>
      </c>
      <c r="V263" s="13">
        <f t="shared" si="70"/>
        <v>21.473852371882785</v>
      </c>
      <c r="W263">
        <f t="shared" si="70"/>
        <v>79.703425837266892</v>
      </c>
      <c r="X263">
        <f t="shared" si="75"/>
        <v>8.9276775164242395</v>
      </c>
      <c r="Y263" s="6">
        <f t="shared" si="76"/>
        <v>17.498247932191511</v>
      </c>
      <c r="Z263" s="14">
        <f t="shared" si="67"/>
        <v>0.41574643253643073</v>
      </c>
    </row>
    <row r="264" spans="1:26" x14ac:dyDescent="0.3">
      <c r="A264" t="str">
        <f>'rockfish harvests'!A272</f>
        <v>SE</v>
      </c>
      <c r="B264">
        <f>'rockfish harvests'!B272</f>
        <v>2018</v>
      </c>
      <c r="C264" t="str">
        <f>'rockfish harvests'!C272</f>
        <v>EWYKT</v>
      </c>
      <c r="D264">
        <f>'rockfish harvests'!D272</f>
        <v>8659</v>
      </c>
      <c r="E264">
        <f>'YE harvest'!E273</f>
        <v>977</v>
      </c>
      <c r="F264">
        <f>IF([2]species_comp_Region1_forR!$H330&gt;49,[2]species_comp_Region1_forR!$AV330,[2]species_comp_Region1_forR!$AX330)</f>
        <v>5.0193050000000003E-2</v>
      </c>
      <c r="G264">
        <f>IF([2]species_comp_Region1_forR!$H330&gt;49,[2]species_comp_Region1_forR!$AW330,[2]species_comp_Region1_forR!$AY330)</f>
        <v>1.8478200000000001E-4</v>
      </c>
      <c r="H264" s="13">
        <f t="shared" si="66"/>
        <v>49.03860985</v>
      </c>
      <c r="I264">
        <f t="shared" si="69"/>
        <v>176.37977767800001</v>
      </c>
      <c r="J264">
        <f t="shared" si="71"/>
        <v>13.280804858064892</v>
      </c>
      <c r="K264" s="6">
        <f t="shared" si="72"/>
        <v>26.030377521807189</v>
      </c>
      <c r="M264" s="2">
        <f>'rockfish harvests'!O272</f>
        <v>1971.3795063043872</v>
      </c>
      <c r="N264">
        <f>'rockfish harvests'!P272</f>
        <v>502872.73387700756</v>
      </c>
      <c r="O264" s="27">
        <f t="shared" si="97"/>
        <v>1.6985138E-2</v>
      </c>
      <c r="P264" s="27">
        <f t="shared" si="97"/>
        <v>3.5524800000000002E-5</v>
      </c>
      <c r="Q264" s="13">
        <f t="shared" si="61"/>
        <v>33.484152964951889</v>
      </c>
      <c r="R264" s="14">
        <f t="shared" si="68"/>
        <v>301.00202911167423</v>
      </c>
      <c r="S264">
        <f t="shared" si="73"/>
        <v>17.349410050825192</v>
      </c>
      <c r="T264" s="6">
        <f t="shared" si="74"/>
        <v>34.004843699617375</v>
      </c>
      <c r="V264" s="13">
        <f t="shared" si="70"/>
        <v>82.522762814951889</v>
      </c>
      <c r="W264">
        <f t="shared" si="70"/>
        <v>477.38180678967421</v>
      </c>
      <c r="X264">
        <f t="shared" si="75"/>
        <v>21.849068785412211</v>
      </c>
      <c r="Y264" s="6">
        <f t="shared" si="76"/>
        <v>42.824174819407929</v>
      </c>
      <c r="Z264" s="14">
        <f t="shared" si="67"/>
        <v>0.26476414555346767</v>
      </c>
    </row>
    <row r="265" spans="1:26" x14ac:dyDescent="0.3">
      <c r="A265" t="str">
        <f>'rockfish harvests'!A273</f>
        <v>SE</v>
      </c>
      <c r="B265">
        <f>'rockfish harvests'!B273</f>
        <v>2019</v>
      </c>
      <c r="C265" t="str">
        <f>'rockfish harvests'!C273</f>
        <v>EWYKT</v>
      </c>
      <c r="D265">
        <f>'rockfish harvests'!D273</f>
        <v>7908</v>
      </c>
      <c r="E265">
        <f>'YE harvest'!E274</f>
        <v>739</v>
      </c>
      <c r="F265">
        <v>6.8493150684931503E-3</v>
      </c>
      <c r="G265">
        <v>2.3375951723662074E-5</v>
      </c>
      <c r="H265" s="13">
        <f>E265*F265</f>
        <v>5.0616438356164384</v>
      </c>
      <c r="I265">
        <f>(E265^2)*G265</f>
        <v>12.766098131278055</v>
      </c>
      <c r="K265" s="6"/>
      <c r="M265" s="2">
        <f>'rockfish harvests'!O273</f>
        <v>3002.4944735311237</v>
      </c>
      <c r="N265">
        <f>'rockfish harvests'!P273</f>
        <v>1226769.4446075337</v>
      </c>
      <c r="O265" s="43">
        <v>3.3898305084745763E-2</v>
      </c>
      <c r="P265" s="43">
        <v>5.6464155167460796E-4</v>
      </c>
      <c r="Q265" s="13">
        <f>M265*O265</f>
        <v>101.77947367902114</v>
      </c>
      <c r="R265" s="14">
        <f t="shared" si="68"/>
        <v>7192.5881241165835</v>
      </c>
      <c r="S265">
        <f>SQRT(R265)</f>
        <v>84.809127599077357</v>
      </c>
      <c r="T265" s="6">
        <f>(1.96*S265)</f>
        <v>166.22589009419161</v>
      </c>
      <c r="V265" s="13">
        <f>Q265+H265</f>
        <v>106.84111751463757</v>
      </c>
      <c r="W265">
        <f>R265+I265</f>
        <v>7205.3542222478618</v>
      </c>
      <c r="X265">
        <f>SQRT(W265)</f>
        <v>84.884357936240889</v>
      </c>
      <c r="Y265" s="6">
        <f>(1.96*X265)</f>
        <v>166.37334155503214</v>
      </c>
      <c r="Z265" s="14">
        <f t="shared" si="67"/>
        <v>0.79449148334311892</v>
      </c>
    </row>
    <row r="266" spans="1:26" x14ac:dyDescent="0.3">
      <c r="A266" t="str">
        <f>'rockfish harvests'!A274</f>
        <v>SE</v>
      </c>
      <c r="B266">
        <f>'rockfish harvests'!B274</f>
        <v>2020</v>
      </c>
      <c r="C266" t="str">
        <f>'rockfish harvests'!C274</f>
        <v>EWYKT</v>
      </c>
      <c r="D266">
        <f>'rockfish harvests'!D274</f>
        <v>4059</v>
      </c>
      <c r="E266">
        <f>'YE harvest'!E275</f>
        <v>76</v>
      </c>
      <c r="F266" s="26" t="str">
        <f>F241</f>
        <v>0.992647058823529</v>
      </c>
      <c r="G266" s="26" t="str">
        <f>G241</f>
        <v>2.28446805399873e-06</v>
      </c>
      <c r="H266" s="13">
        <f t="shared" ref="H266:H267" si="98">E266*F266</f>
        <v>75.441176470588204</v>
      </c>
      <c r="I266">
        <f t="shared" ref="I266:I267" si="99">(E266^2)*G266</f>
        <v>1.3195087479896665E-2</v>
      </c>
      <c r="J266">
        <f t="shared" ref="J266" si="100">SQRT(I266)</f>
        <v>0.11486987194167436</v>
      </c>
      <c r="K266" s="6">
        <f t="shared" ref="K266" si="101">(1.96*J266)</f>
        <v>0.22514494900568174</v>
      </c>
      <c r="M266" s="2">
        <f>'rockfish harvests'!O274</f>
        <v>914.63838771593146</v>
      </c>
      <c r="N266">
        <f>'rockfish harvests'!P274</f>
        <v>109543.02664472036</v>
      </c>
      <c r="O266" t="s">
        <v>273</v>
      </c>
      <c r="P266" t="s">
        <v>273</v>
      </c>
      <c r="Q266" s="13">
        <f t="shared" ref="Q266:Q267" si="102">M266*O266</f>
        <v>0</v>
      </c>
      <c r="R266" s="14">
        <f t="shared" si="68"/>
        <v>0</v>
      </c>
      <c r="S266">
        <f t="shared" ref="S266:S267" si="103">SQRT(R266)</f>
        <v>0</v>
      </c>
      <c r="T266" s="6">
        <f t="shared" ref="T266:T267" si="104">(1.96*S266)</f>
        <v>0</v>
      </c>
      <c r="V266" s="13">
        <f t="shared" ref="V266:V267" si="105">Q266+H266</f>
        <v>75.441176470588204</v>
      </c>
      <c r="W266">
        <f t="shared" ref="W266:W267" si="106">R266+I266</f>
        <v>1.3195087479896665E-2</v>
      </c>
      <c r="X266">
        <f t="shared" ref="X266:X267" si="107">SQRT(W266)</f>
        <v>0.11486987194167436</v>
      </c>
      <c r="Y266" s="6">
        <f t="shared" ref="Y266:Y267" si="108">(1.96*X266)</f>
        <v>0.22514494900568174</v>
      </c>
      <c r="Z266" s="14">
        <f t="shared" ref="Z266:Z267" si="109">X266/V266</f>
        <v>1.5226415773945145E-3</v>
      </c>
    </row>
    <row r="267" spans="1:26" x14ac:dyDescent="0.3">
      <c r="A267" t="str">
        <f>'rockfish harvests'!A275</f>
        <v>SE</v>
      </c>
      <c r="B267">
        <f>'rockfish harvests'!B275</f>
        <v>2021</v>
      </c>
      <c r="C267" t="str">
        <f>'rockfish harvests'!C275</f>
        <v>EWYKT</v>
      </c>
      <c r="D267">
        <f>'rockfish harvests'!D275</f>
        <v>7343</v>
      </c>
      <c r="E267">
        <f>'YE harvest'!E276</f>
        <v>118</v>
      </c>
      <c r="F267" s="26" t="str">
        <f t="shared" ref="F267:G267" si="110">F242</f>
        <v>0.984375</v>
      </c>
      <c r="G267" s="26" t="str">
        <f t="shared" si="110"/>
        <v>1.67456280620577e-06</v>
      </c>
      <c r="H267" s="13">
        <f t="shared" si="98"/>
        <v>116.15625</v>
      </c>
      <c r="I267">
        <f t="shared" si="99"/>
        <v>2.3316612513609142E-2</v>
      </c>
      <c r="K267" s="6"/>
      <c r="M267" s="2">
        <f>'rockfish harvests'!O275</f>
        <v>1513.750779741571</v>
      </c>
      <c r="N267">
        <f>'rockfish harvests'!P275</f>
        <v>303380.23971291271</v>
      </c>
      <c r="O267" t="s">
        <v>273</v>
      </c>
      <c r="P267" t="s">
        <v>273</v>
      </c>
      <c r="Q267" s="13">
        <f t="shared" si="102"/>
        <v>0</v>
      </c>
      <c r="R267" s="14">
        <f t="shared" si="68"/>
        <v>0</v>
      </c>
      <c r="S267">
        <f t="shared" si="103"/>
        <v>0</v>
      </c>
      <c r="T267" s="6">
        <f t="shared" si="104"/>
        <v>0</v>
      </c>
      <c r="V267" s="13">
        <f t="shared" si="105"/>
        <v>116.15625</v>
      </c>
      <c r="W267">
        <f t="shared" si="106"/>
        <v>2.3316612513609142E-2</v>
      </c>
      <c r="X267">
        <f t="shared" si="107"/>
        <v>0.1526977816263522</v>
      </c>
      <c r="Y267" s="6">
        <f t="shared" si="108"/>
        <v>0.29928765198765028</v>
      </c>
      <c r="Z267" s="14">
        <f t="shared" si="109"/>
        <v>1.3145894571006914E-3</v>
      </c>
    </row>
    <row r="268" spans="1:26" x14ac:dyDescent="0.3">
      <c r="A268" t="str">
        <f>'rockfish harvests'!A276</f>
        <v>SE</v>
      </c>
      <c r="B268">
        <f>'rockfish harvests'!B276</f>
        <v>2022</v>
      </c>
      <c r="C268" t="str">
        <f>'rockfish harvests'!C276</f>
        <v>EWYKT</v>
      </c>
      <c r="D268">
        <f>'rockfish harvests'!D276</f>
        <v>6780</v>
      </c>
      <c r="E268">
        <f>'YE harvest'!E277</f>
        <v>191</v>
      </c>
      <c r="F268" s="26" t="str">
        <f t="shared" ref="F268:G268" si="111">F243</f>
        <v>0.943548387096774</v>
      </c>
      <c r="G268" s="26" t="str">
        <f t="shared" si="111"/>
        <v>5.55246828977902e-06</v>
      </c>
      <c r="H268" s="13">
        <f t="shared" ref="H268" si="112">E268*F268</f>
        <v>180.21774193548384</v>
      </c>
      <c r="I268">
        <f t="shared" ref="I268" si="113">(E268^2)*G268</f>
        <v>0.20255959567942841</v>
      </c>
      <c r="K268" s="6"/>
      <c r="M268" s="2">
        <f>'rockfish harvests'!O276</f>
        <v>2639.4706368899915</v>
      </c>
      <c r="N268">
        <f>'rockfish harvests'!P276</f>
        <v>966290.79621620791</v>
      </c>
      <c r="O268" t="s">
        <v>292</v>
      </c>
      <c r="P268" t="s">
        <v>293</v>
      </c>
      <c r="Q268" s="13">
        <f t="shared" ref="Q268" si="114">M268*O268</f>
        <v>128.75466521414606</v>
      </c>
      <c r="R268" s="14">
        <f t="shared" si="68"/>
        <v>2337.6957905658342</v>
      </c>
      <c r="S268">
        <f t="shared" ref="S268" si="115">SQRT(R268)</f>
        <v>48.349723789964244</v>
      </c>
      <c r="T268" s="6"/>
      <c r="V268" s="13">
        <f t="shared" ref="V268" si="116">Q268+H268</f>
        <v>308.97240714962993</v>
      </c>
      <c r="W268">
        <f t="shared" ref="W268" si="117">R268+I268</f>
        <v>2337.8983501615135</v>
      </c>
      <c r="X268">
        <f t="shared" ref="X268" si="118">SQRT(W268)</f>
        <v>48.351818478331438</v>
      </c>
      <c r="Y268" s="6">
        <f t="shared" ref="Y268" si="119">(1.96*X268)</f>
        <v>94.76956421752962</v>
      </c>
      <c r="Z268" s="14">
        <f t="shared" ref="Z268" si="120">X268/V268</f>
        <v>0.15649235128920588</v>
      </c>
    </row>
    <row r="269" spans="1:26" x14ac:dyDescent="0.3">
      <c r="A269" t="str">
        <f>'rockfish harvests'!A277</f>
        <v>SE</v>
      </c>
      <c r="B269">
        <f>'rockfish harvests'!B277</f>
        <v>1998</v>
      </c>
      <c r="C269" t="str">
        <f>'rockfish harvests'!C277</f>
        <v>NSEI</v>
      </c>
      <c r="D269">
        <f>'rockfish harvests'!D277</f>
        <v>5285</v>
      </c>
      <c r="E269">
        <f>'YE harvest'!E278</f>
        <v>2741</v>
      </c>
      <c r="F269" s="32">
        <v>0.20680934300000001</v>
      </c>
      <c r="G269" s="32">
        <v>2.4673001E-2</v>
      </c>
      <c r="H269" s="13">
        <f t="shared" si="66"/>
        <v>566.864409163</v>
      </c>
      <c r="I269">
        <f t="shared" si="69"/>
        <v>185370.25502608099</v>
      </c>
      <c r="J269">
        <f t="shared" si="71"/>
        <v>430.54646093781912</v>
      </c>
      <c r="K269" s="6">
        <f t="shared" si="72"/>
        <v>843.87106343812547</v>
      </c>
      <c r="M269" s="2">
        <f>'rockfish harvests'!O277</f>
        <v>3144.4015142904627</v>
      </c>
      <c r="N269">
        <f>'rockfish harvests'!P277</f>
        <v>781648.06612226402</v>
      </c>
      <c r="O269" s="32">
        <v>0.14286457299999999</v>
      </c>
      <c r="P269" s="32">
        <v>2.497768E-3</v>
      </c>
      <c r="Q269" s="13">
        <f t="shared" si="61"/>
        <v>449.22357967966036</v>
      </c>
      <c r="R269" s="14">
        <f t="shared" si="68"/>
        <v>42602.120119882238</v>
      </c>
      <c r="S269">
        <f t="shared" si="73"/>
        <v>206.40281034879888</v>
      </c>
      <c r="T269" s="6">
        <f t="shared" si="74"/>
        <v>404.54950828364582</v>
      </c>
      <c r="V269" s="13">
        <f t="shared" si="70"/>
        <v>1016.0879888426604</v>
      </c>
      <c r="W269">
        <f t="shared" si="70"/>
        <v>227972.37514596322</v>
      </c>
      <c r="X269">
        <f t="shared" si="75"/>
        <v>477.46452763107254</v>
      </c>
      <c r="Y269" s="6">
        <f t="shared" si="76"/>
        <v>935.83047415690214</v>
      </c>
      <c r="Z269" s="14">
        <f t="shared" si="67"/>
        <v>0.46990470596440359</v>
      </c>
    </row>
    <row r="270" spans="1:26" x14ac:dyDescent="0.3">
      <c r="A270" t="str">
        <f>'rockfish harvests'!A278</f>
        <v>SE</v>
      </c>
      <c r="B270">
        <f>'rockfish harvests'!B278</f>
        <v>1999</v>
      </c>
      <c r="C270" t="str">
        <f>'rockfish harvests'!C278</f>
        <v>NSEI</v>
      </c>
      <c r="D270">
        <f>'rockfish harvests'!D278</f>
        <v>6363</v>
      </c>
      <c r="E270">
        <f>'YE harvest'!E279</f>
        <v>2506</v>
      </c>
      <c r="F270" s="32">
        <v>0.20680934300000001</v>
      </c>
      <c r="G270" s="32">
        <v>2.4673001E-2</v>
      </c>
      <c r="H270" s="13">
        <f t="shared" si="66"/>
        <v>518.26421355800005</v>
      </c>
      <c r="I270">
        <f t="shared" si="69"/>
        <v>154947.334508036</v>
      </c>
      <c r="J270">
        <f t="shared" si="71"/>
        <v>393.63350277642274</v>
      </c>
      <c r="K270" s="6">
        <f t="shared" si="72"/>
        <v>771.52166544178851</v>
      </c>
      <c r="M270" s="2">
        <f>'rockfish harvests'!O278</f>
        <v>3785.7761278013659</v>
      </c>
      <c r="N270">
        <f>'rockfish harvests'!P278</f>
        <v>1133039.6837394333</v>
      </c>
      <c r="O270" s="32">
        <v>0.14286457299999999</v>
      </c>
      <c r="P270" s="32">
        <v>2.497768E-3</v>
      </c>
      <c r="Q270" s="13">
        <f t="shared" si="61"/>
        <v>540.85328997193551</v>
      </c>
      <c r="R270" s="14">
        <f t="shared" si="68"/>
        <v>61753.997482174338</v>
      </c>
      <c r="S270">
        <f t="shared" si="73"/>
        <v>248.50351603583869</v>
      </c>
      <c r="T270" s="6">
        <f t="shared" si="74"/>
        <v>487.0668914302438</v>
      </c>
      <c r="V270" s="13">
        <f t="shared" si="70"/>
        <v>1059.1175035299357</v>
      </c>
      <c r="W270">
        <f t="shared" si="70"/>
        <v>216701.33199021034</v>
      </c>
      <c r="X270">
        <f t="shared" si="75"/>
        <v>465.51190316705151</v>
      </c>
      <c r="Y270" s="6">
        <f t="shared" si="76"/>
        <v>912.40333020742094</v>
      </c>
      <c r="Z270" s="14">
        <f t="shared" si="67"/>
        <v>0.43952809921047059</v>
      </c>
    </row>
    <row r="271" spans="1:26" x14ac:dyDescent="0.3">
      <c r="A271" t="str">
        <f>'rockfish harvests'!A279</f>
        <v>SE</v>
      </c>
      <c r="B271">
        <f>'rockfish harvests'!B279</f>
        <v>2000</v>
      </c>
      <c r="C271" t="str">
        <f>'rockfish harvests'!C279</f>
        <v>NSEI</v>
      </c>
      <c r="D271">
        <f>'rockfish harvests'!D279</f>
        <v>9746</v>
      </c>
      <c r="E271">
        <f>'YE harvest'!E280</f>
        <v>4164</v>
      </c>
      <c r="F271" s="32">
        <v>0.20680934300000001</v>
      </c>
      <c r="G271" s="32">
        <v>2.4673001E-2</v>
      </c>
      <c r="H271" s="13">
        <f t="shared" si="66"/>
        <v>861.15410425200002</v>
      </c>
      <c r="I271">
        <f t="shared" si="69"/>
        <v>427802.598346896</v>
      </c>
      <c r="J271">
        <f t="shared" si="71"/>
        <v>654.06620333640228</v>
      </c>
      <c r="K271" s="6">
        <f t="shared" si="72"/>
        <v>1281.9697585393485</v>
      </c>
      <c r="M271" s="2">
        <f>'rockfish harvests'!O279</f>
        <v>5798.550077251628</v>
      </c>
      <c r="N271">
        <f>'rockfish harvests'!P279</f>
        <v>2658116.9727772144</v>
      </c>
      <c r="O271" s="32">
        <v>0.14286457299999999</v>
      </c>
      <c r="P271" s="32">
        <v>2.497768E-3</v>
      </c>
      <c r="Q271" s="13">
        <f t="shared" ref="Q271:Q346" si="121">M271*O271</f>
        <v>828.40738080567075</v>
      </c>
      <c r="R271" s="14">
        <f t="shared" si="68"/>
        <v>144875.1982829567</v>
      </c>
      <c r="S271">
        <f t="shared" si="73"/>
        <v>380.62474733384943</v>
      </c>
      <c r="T271" s="6">
        <f t="shared" si="74"/>
        <v>746.0245047743449</v>
      </c>
      <c r="V271" s="13">
        <f t="shared" si="70"/>
        <v>1689.5614850576708</v>
      </c>
      <c r="W271">
        <f t="shared" si="70"/>
        <v>572677.79662985273</v>
      </c>
      <c r="X271">
        <f t="shared" si="75"/>
        <v>756.75477972051999</v>
      </c>
      <c r="Y271" s="6">
        <f t="shared" si="76"/>
        <v>1483.2393682522193</v>
      </c>
      <c r="Z271" s="14">
        <f t="shared" si="67"/>
        <v>0.44790011278854952</v>
      </c>
    </row>
    <row r="272" spans="1:26" x14ac:dyDescent="0.3">
      <c r="A272" t="str">
        <f>'rockfish harvests'!A280</f>
        <v>SE</v>
      </c>
      <c r="B272">
        <f>'rockfish harvests'!B280</f>
        <v>2001</v>
      </c>
      <c r="C272" t="str">
        <f>'rockfish harvests'!C280</f>
        <v>NSEI</v>
      </c>
      <c r="D272">
        <f>'rockfish harvests'!D280</f>
        <v>7242</v>
      </c>
      <c r="E272">
        <f>'YE harvest'!E281</f>
        <v>3333</v>
      </c>
      <c r="F272" s="32">
        <v>0.20680934300000001</v>
      </c>
      <c r="G272" s="32">
        <v>2.4673001E-2</v>
      </c>
      <c r="H272" s="13">
        <f t="shared" si="66"/>
        <v>689.29554021900003</v>
      </c>
      <c r="I272">
        <f t="shared" si="69"/>
        <v>274089.62940588902</v>
      </c>
      <c r="J272">
        <f t="shared" si="71"/>
        <v>523.53570022099643</v>
      </c>
      <c r="K272" s="6">
        <f t="shared" si="72"/>
        <v>1026.1299724331529</v>
      </c>
      <c r="M272" s="2">
        <f>'rockfish harvests'!O280</f>
        <v>4308.7522736975479</v>
      </c>
      <c r="N272">
        <f>'rockfish harvests'!P280</f>
        <v>1467703.4510787677</v>
      </c>
      <c r="O272" s="32">
        <v>0.14286457299999999</v>
      </c>
      <c r="P272" s="32">
        <v>2.497768E-3</v>
      </c>
      <c r="Q272" s="13">
        <f t="shared" si="121"/>
        <v>615.56805374457929</v>
      </c>
      <c r="R272" s="14">
        <f t="shared" si="68"/>
        <v>79994.157771565428</v>
      </c>
      <c r="S272">
        <f t="shared" si="73"/>
        <v>282.83238458770137</v>
      </c>
      <c r="T272" s="6">
        <f t="shared" si="74"/>
        <v>554.3514737918947</v>
      </c>
      <c r="V272" s="13">
        <f t="shared" si="70"/>
        <v>1304.8635939635792</v>
      </c>
      <c r="W272">
        <f t="shared" si="70"/>
        <v>354083.78717745445</v>
      </c>
      <c r="X272">
        <f t="shared" si="75"/>
        <v>595.04939893882295</v>
      </c>
      <c r="Y272" s="6">
        <f t="shared" si="76"/>
        <v>1166.296821920093</v>
      </c>
      <c r="Z272" s="14">
        <f t="shared" si="67"/>
        <v>0.45602421716076458</v>
      </c>
    </row>
    <row r="273" spans="1:26" x14ac:dyDescent="0.3">
      <c r="A273" t="str">
        <f>'rockfish harvests'!A281</f>
        <v>SE</v>
      </c>
      <c r="B273">
        <f>'rockfish harvests'!B281</f>
        <v>2002</v>
      </c>
      <c r="C273" t="str">
        <f>'rockfish harvests'!C281</f>
        <v>NSEI</v>
      </c>
      <c r="D273">
        <f>'rockfish harvests'!D281</f>
        <v>4958</v>
      </c>
      <c r="E273">
        <f>'YE harvest'!E282</f>
        <v>1838</v>
      </c>
      <c r="F273" s="32">
        <v>0.20680934300000001</v>
      </c>
      <c r="G273" s="32">
        <v>2.4673001E-2</v>
      </c>
      <c r="H273" s="13">
        <f t="shared" si="66"/>
        <v>380.115572434</v>
      </c>
      <c r="I273">
        <f t="shared" si="69"/>
        <v>83351.417590244004</v>
      </c>
      <c r="J273">
        <f t="shared" si="71"/>
        <v>288.70645574743219</v>
      </c>
      <c r="K273" s="6">
        <f t="shared" si="72"/>
        <v>565.86465326496705</v>
      </c>
      <c r="M273" s="2">
        <f>'rockfish harvests'!O281</f>
        <v>2949.8472484109971</v>
      </c>
      <c r="N273">
        <f>'rockfish harvests'!P281</f>
        <v>687914.27130295534</v>
      </c>
      <c r="O273" s="32">
        <v>0.14286457299999999</v>
      </c>
      <c r="P273" s="32">
        <v>2.497768E-3</v>
      </c>
      <c r="Q273" s="13">
        <f t="shared" si="121"/>
        <v>421.42866755946199</v>
      </c>
      <c r="R273" s="14">
        <f t="shared" si="68"/>
        <v>37493.352428566854</v>
      </c>
      <c r="S273">
        <f t="shared" si="73"/>
        <v>193.6320025940104</v>
      </c>
      <c r="T273" s="6">
        <f t="shared" si="74"/>
        <v>379.51872508426038</v>
      </c>
      <c r="V273" s="13">
        <f t="shared" si="70"/>
        <v>801.54423999346204</v>
      </c>
      <c r="W273">
        <f t="shared" si="70"/>
        <v>120844.77001881086</v>
      </c>
      <c r="X273">
        <f t="shared" si="75"/>
        <v>347.62734360060176</v>
      </c>
      <c r="Y273" s="6">
        <f t="shared" si="76"/>
        <v>681.34959345717948</v>
      </c>
      <c r="Z273" s="14">
        <f t="shared" si="67"/>
        <v>0.43369701415786766</v>
      </c>
    </row>
    <row r="274" spans="1:26" x14ac:dyDescent="0.3">
      <c r="A274" t="str">
        <f>'rockfish harvests'!A282</f>
        <v>SE</v>
      </c>
      <c r="B274">
        <f>'rockfish harvests'!B282</f>
        <v>2003</v>
      </c>
      <c r="C274" t="str">
        <f>'rockfish harvests'!C282</f>
        <v>NSEI</v>
      </c>
      <c r="D274">
        <f>'rockfish harvests'!D282</f>
        <v>6069</v>
      </c>
      <c r="E274">
        <f>'YE harvest'!E283</f>
        <v>2518</v>
      </c>
      <c r="F274" s="32">
        <v>0.20680934300000001</v>
      </c>
      <c r="G274" s="32">
        <v>2.4673001E-2</v>
      </c>
      <c r="H274" s="13">
        <f t="shared" si="66"/>
        <v>520.74592567399998</v>
      </c>
      <c r="I274">
        <f t="shared" si="69"/>
        <v>156434.82039232401</v>
      </c>
      <c r="J274">
        <f t="shared" si="71"/>
        <v>395.51841978891957</v>
      </c>
      <c r="K274" s="6">
        <f t="shared" si="72"/>
        <v>775.21610278628236</v>
      </c>
      <c r="M274" s="2">
        <f>'rockfish harvests'!O282</f>
        <v>3610.8557786620295</v>
      </c>
      <c r="N274">
        <f>'rockfish harvests'!P282</f>
        <v>1030755.2356043656</v>
      </c>
      <c r="O274" s="32">
        <v>0.14286457299999999</v>
      </c>
      <c r="P274" s="32">
        <v>2.497768E-3</v>
      </c>
      <c r="Q274" s="13">
        <f t="shared" si="121"/>
        <v>515.86336898313334</v>
      </c>
      <c r="R274" s="14">
        <f t="shared" si="68"/>
        <v>56179.194019199458</v>
      </c>
      <c r="S274">
        <f t="shared" si="73"/>
        <v>237.02150539391874</v>
      </c>
      <c r="T274" s="6">
        <f t="shared" si="74"/>
        <v>464.56215057208072</v>
      </c>
      <c r="V274" s="13">
        <f t="shared" si="70"/>
        <v>1036.6092946571334</v>
      </c>
      <c r="W274">
        <f t="shared" si="70"/>
        <v>212614.01441152347</v>
      </c>
      <c r="X274">
        <f t="shared" si="75"/>
        <v>461.10087227365278</v>
      </c>
      <c r="Y274" s="6">
        <f t="shared" si="76"/>
        <v>903.75770965635945</v>
      </c>
      <c r="Z274" s="14">
        <f t="shared" si="67"/>
        <v>0.44481645558287752</v>
      </c>
    </row>
    <row r="275" spans="1:26" x14ac:dyDescent="0.3">
      <c r="A275" t="str">
        <f>'rockfish harvests'!A283</f>
        <v>SE</v>
      </c>
      <c r="B275">
        <f>'rockfish harvests'!B283</f>
        <v>2004</v>
      </c>
      <c r="C275" t="str">
        <f>'rockfish harvests'!C283</f>
        <v>NSEI</v>
      </c>
      <c r="D275">
        <f>'rockfish harvests'!D283</f>
        <v>6052</v>
      </c>
      <c r="E275">
        <f>'YE harvest'!E284</f>
        <v>2724</v>
      </c>
      <c r="F275" s="32">
        <v>0.20680934300000001</v>
      </c>
      <c r="G275" s="32">
        <v>2.4673001E-2</v>
      </c>
      <c r="H275" s="13">
        <f t="shared" si="66"/>
        <v>563.34865033200003</v>
      </c>
      <c r="I275">
        <f t="shared" si="69"/>
        <v>183078.00986817601</v>
      </c>
      <c r="J275">
        <f t="shared" si="71"/>
        <v>427.87616183678193</v>
      </c>
      <c r="K275" s="6">
        <f t="shared" si="72"/>
        <v>838.63727720009263</v>
      </c>
      <c r="M275" s="2">
        <f>'rockfish harvests'!O283</f>
        <v>3600.7413367049921</v>
      </c>
      <c r="N275">
        <f>'rockfish harvests'!P283</f>
        <v>1024988.7840591522</v>
      </c>
      <c r="O275" s="32">
        <v>0.14286457299999999</v>
      </c>
      <c r="P275" s="32">
        <v>2.497768E-3</v>
      </c>
      <c r="Q275" s="13">
        <f t="shared" si="121"/>
        <v>514.41837355180792</v>
      </c>
      <c r="R275" s="14">
        <f t="shared" si="68"/>
        <v>55864.905438389171</v>
      </c>
      <c r="S275">
        <f t="shared" si="73"/>
        <v>236.3575796085016</v>
      </c>
      <c r="T275" s="6">
        <f t="shared" si="74"/>
        <v>463.26085603266313</v>
      </c>
      <c r="V275" s="13">
        <f t="shared" si="70"/>
        <v>1077.767023883808</v>
      </c>
      <c r="W275">
        <f t="shared" si="70"/>
        <v>238942.91530656518</v>
      </c>
      <c r="X275">
        <f t="shared" si="75"/>
        <v>488.81787539590363</v>
      </c>
      <c r="Y275" s="6">
        <f t="shared" si="76"/>
        <v>958.0830357759711</v>
      </c>
      <c r="Z275" s="14">
        <f t="shared" si="67"/>
        <v>0.45354688403289112</v>
      </c>
    </row>
    <row r="276" spans="1:26" x14ac:dyDescent="0.3">
      <c r="A276" t="str">
        <f>'rockfish harvests'!A284</f>
        <v>SE</v>
      </c>
      <c r="B276">
        <f>'rockfish harvests'!B284</f>
        <v>2005</v>
      </c>
      <c r="C276" t="str">
        <f>'rockfish harvests'!C284</f>
        <v>NSEI</v>
      </c>
      <c r="D276">
        <f>'rockfish harvests'!D284</f>
        <v>7678</v>
      </c>
      <c r="E276">
        <f>'YE harvest'!E285</f>
        <v>3213</v>
      </c>
      <c r="F276" s="32">
        <v>0.20680934300000001</v>
      </c>
      <c r="G276" s="32">
        <v>2.4673001E-2</v>
      </c>
      <c r="H276" s="13">
        <f t="shared" si="66"/>
        <v>664.47841905899998</v>
      </c>
      <c r="I276">
        <f t="shared" si="69"/>
        <v>254708.49366036899</v>
      </c>
      <c r="J276">
        <f t="shared" si="71"/>
        <v>504.68653009602804</v>
      </c>
      <c r="K276" s="6">
        <f t="shared" si="72"/>
        <v>989.18559898821491</v>
      </c>
      <c r="M276" s="2">
        <f>'rockfish harvests'!O284</f>
        <v>4568.1579615368355</v>
      </c>
      <c r="N276">
        <f>'rockfish harvests'!P284</f>
        <v>1649747.5421593867</v>
      </c>
      <c r="O276" s="32">
        <v>0.14286457299999999</v>
      </c>
      <c r="P276" s="32">
        <v>2.497768E-3</v>
      </c>
      <c r="Q276" s="13">
        <f t="shared" si="121"/>
        <v>652.62793657151042</v>
      </c>
      <c r="R276" s="14">
        <f t="shared" si="68"/>
        <v>89916.096520555046</v>
      </c>
      <c r="S276">
        <f t="shared" si="73"/>
        <v>299.86012826075267</v>
      </c>
      <c r="T276" s="6">
        <f t="shared" si="74"/>
        <v>587.72585139107525</v>
      </c>
      <c r="V276" s="13">
        <f t="shared" si="70"/>
        <v>1317.1063556305103</v>
      </c>
      <c r="W276">
        <f t="shared" si="70"/>
        <v>344624.59018092405</v>
      </c>
      <c r="X276">
        <f t="shared" si="75"/>
        <v>587.04734918141321</v>
      </c>
      <c r="Y276" s="6">
        <f t="shared" si="76"/>
        <v>1150.6128043955698</v>
      </c>
      <c r="Z276" s="14">
        <f t="shared" si="67"/>
        <v>0.44570990540880695</v>
      </c>
    </row>
    <row r="277" spans="1:26" x14ac:dyDescent="0.3">
      <c r="A277" t="str">
        <f>'rockfish harvests'!A285</f>
        <v>SE</v>
      </c>
      <c r="B277">
        <f>'rockfish harvests'!B285</f>
        <v>2006</v>
      </c>
      <c r="C277" t="str">
        <f>'rockfish harvests'!C285</f>
        <v>NSEI</v>
      </c>
      <c r="D277">
        <f>'rockfish harvests'!D285</f>
        <v>6437</v>
      </c>
      <c r="E277">
        <f>'YE harvest'!E286</f>
        <v>2961</v>
      </c>
      <c r="F277">
        <f>IF([2]species_comp_Region1_forR!$H142&gt;49,[2]species_comp_Region1_forR!$AV142,[2]species_comp_Region1_forR!$AX142)</f>
        <v>7.1225071000000001E-2</v>
      </c>
      <c r="G277">
        <f>IF([2]species_comp_Region1_forR!$H142&gt;49,[2]species_comp_Region1_forR!$AW142,[2]species_comp_Region1_forR!$AY142)</f>
        <v>1.89006E-4</v>
      </c>
      <c r="H277" s="13">
        <f t="shared" si="66"/>
        <v>210.897435231</v>
      </c>
      <c r="I277">
        <f t="shared" si="69"/>
        <v>1657.1140741260001</v>
      </c>
      <c r="J277">
        <f t="shared" si="71"/>
        <v>40.707666036337677</v>
      </c>
      <c r="K277" s="6">
        <f t="shared" si="72"/>
        <v>79.787025431221849</v>
      </c>
      <c r="M277" s="2">
        <f>'rockfish harvests'!O285</f>
        <v>3829.8036986731713</v>
      </c>
      <c r="N277">
        <f>'rockfish harvests'!P285</f>
        <v>1159546.8293526676</v>
      </c>
      <c r="O277">
        <f>IF([2]species_comp_Region1_forR!$D164&gt;49,[2]species_comp_Region1_forR!$AR164,[2]species_comp_Region1_forR!$AT164)</f>
        <v>0.1</v>
      </c>
      <c r="P277">
        <f>IF([2]species_comp_Region1_forR!$D164&gt;49,[2]species_comp_Region1_forR!$AS164,[2]species_comp_Region1_forR!$AU164)</f>
        <v>4.7618999999999998E-4</v>
      </c>
      <c r="Q277" s="13">
        <f t="shared" si="121"/>
        <v>382.98036986731717</v>
      </c>
      <c r="R277" s="14">
        <f t="shared" si="68"/>
        <v>19132.100375802951</v>
      </c>
      <c r="S277">
        <f t="shared" si="73"/>
        <v>138.31883594002284</v>
      </c>
      <c r="T277" s="6">
        <f t="shared" si="74"/>
        <v>271.10491844244473</v>
      </c>
      <c r="V277" s="13">
        <f t="shared" si="70"/>
        <v>593.87780509831714</v>
      </c>
      <c r="W277">
        <f t="shared" si="70"/>
        <v>20789.21444992895</v>
      </c>
      <c r="X277">
        <f t="shared" si="75"/>
        <v>144.18465400287559</v>
      </c>
      <c r="Y277" s="6">
        <f t="shared" si="76"/>
        <v>282.60192184563613</v>
      </c>
      <c r="Z277" s="14">
        <f t="shared" si="67"/>
        <v>0.24278505235434023</v>
      </c>
    </row>
    <row r="278" spans="1:26" x14ac:dyDescent="0.3">
      <c r="A278" t="str">
        <f>'rockfish harvests'!A286</f>
        <v>SE</v>
      </c>
      <c r="B278">
        <f>'rockfish harvests'!B286</f>
        <v>2007</v>
      </c>
      <c r="C278" t="str">
        <f>'rockfish harvests'!C286</f>
        <v>NSEI</v>
      </c>
      <c r="D278">
        <f>'rockfish harvests'!D286</f>
        <v>7499</v>
      </c>
      <c r="E278">
        <f>'YE harvest'!E287</f>
        <v>3335</v>
      </c>
      <c r="F278">
        <f>IF([2]species_comp_Region1_forR!$H143&gt;49,[2]species_comp_Region1_forR!$AV143,[2]species_comp_Region1_forR!$AX143)</f>
        <v>3.3333333E-2</v>
      </c>
      <c r="G278">
        <f>IF([2]species_comp_Region1_forR!$H143&gt;49,[2]species_comp_Region1_forR!$AW143,[2]species_comp_Region1_forR!$AY143)</f>
        <v>8.9755500000000005E-5</v>
      </c>
      <c r="H278" s="13">
        <f t="shared" si="66"/>
        <v>111.16666555499999</v>
      </c>
      <c r="I278">
        <f t="shared" si="69"/>
        <v>998.28086598750008</v>
      </c>
      <c r="J278">
        <f t="shared" si="71"/>
        <v>31.595583013888191</v>
      </c>
      <c r="K278" s="6">
        <f t="shared" si="72"/>
        <v>61.927342707220852</v>
      </c>
      <c r="M278" s="2">
        <f>'rockfish harvests'!O286</f>
        <v>4461.6588374009807</v>
      </c>
      <c r="N278">
        <f>'rockfish harvests'!P286</f>
        <v>1573721.8750711286</v>
      </c>
      <c r="O278">
        <f>IF([2]species_comp_Region1_forR!$D165&gt;49,[2]species_comp_Region1_forR!$AR165,[2]species_comp_Region1_forR!$AT165)</f>
        <v>0.20574162700000001</v>
      </c>
      <c r="P278">
        <f>IF([2]species_comp_Region1_forR!$D165&gt;49,[2]species_comp_Region1_forR!$AS165,[2]species_comp_Region1_forR!$AU165)</f>
        <v>7.8563500000000002E-4</v>
      </c>
      <c r="Q278" s="13">
        <f t="shared" si="121"/>
        <v>917.94894832580621</v>
      </c>
      <c r="R278" s="14">
        <f t="shared" si="68"/>
        <v>83490.579583557846</v>
      </c>
      <c r="S278">
        <f t="shared" si="73"/>
        <v>288.94736472852259</v>
      </c>
      <c r="T278" s="6">
        <f t="shared" si="74"/>
        <v>566.33683486790426</v>
      </c>
      <c r="V278" s="13">
        <f t="shared" si="70"/>
        <v>1029.1156138808062</v>
      </c>
      <c r="W278">
        <f t="shared" si="70"/>
        <v>84488.860449545347</v>
      </c>
      <c r="X278">
        <f t="shared" si="75"/>
        <v>290.66967583417664</v>
      </c>
      <c r="Y278" s="6">
        <f t="shared" si="76"/>
        <v>569.71256463498617</v>
      </c>
      <c r="Z278" s="14">
        <f t="shared" si="67"/>
        <v>0.28244608469019156</v>
      </c>
    </row>
    <row r="279" spans="1:26" x14ac:dyDescent="0.3">
      <c r="A279" t="str">
        <f>'rockfish harvests'!A287</f>
        <v>SE</v>
      </c>
      <c r="B279">
        <f>'rockfish harvests'!B287</f>
        <v>2008</v>
      </c>
      <c r="C279" t="str">
        <f>'rockfish harvests'!C287</f>
        <v>NSEI</v>
      </c>
      <c r="D279">
        <f>'rockfish harvests'!D287</f>
        <v>10923</v>
      </c>
      <c r="E279">
        <f>'YE harvest'!E288</f>
        <v>4095</v>
      </c>
      <c r="F279">
        <f>IF([2]species_comp_Region1_forR!$H144&gt;49,[2]species_comp_Region1_forR!$AV144,[2]species_comp_Region1_forR!$AX144)</f>
        <v>5.2734375E-2</v>
      </c>
      <c r="G279">
        <f>IF([2]species_comp_Region1_forR!$H144&gt;49,[2]species_comp_Region1_forR!$AW144,[2]species_comp_Region1_forR!$AY144)</f>
        <v>9.7756299999999998E-5</v>
      </c>
      <c r="H279" s="13">
        <f t="shared" si="66"/>
        <v>215.947265625</v>
      </c>
      <c r="I279">
        <f t="shared" si="69"/>
        <v>1639.2778386074999</v>
      </c>
      <c r="J279">
        <f t="shared" si="71"/>
        <v>40.487996228604594</v>
      </c>
      <c r="K279" s="6">
        <f t="shared" si="72"/>
        <v>79.356472608065005</v>
      </c>
      <c r="M279" s="2">
        <f>'rockfish harvests'!O287</f>
        <v>6498.8264409829208</v>
      </c>
      <c r="N279">
        <f>'rockfish harvests'!P287</f>
        <v>3338913.2975072474</v>
      </c>
      <c r="O279">
        <f>IF([2]species_comp_Region1_forR!$D166&gt;49,[2]species_comp_Region1_forR!$AR166,[2]species_comp_Region1_forR!$AT166)</f>
        <v>9.8837208999999995E-2</v>
      </c>
      <c r="P279">
        <f>IF([2]species_comp_Region1_forR!$D166&gt;49,[2]species_comp_Region1_forR!$AS166,[2]species_comp_Region1_forR!$AU166)</f>
        <v>5.2086799999999996E-4</v>
      </c>
      <c r="Q279" s="13">
        <f t="shared" si="121"/>
        <v>642.32586720215511</v>
      </c>
      <c r="R279" s="14">
        <f t="shared" si="68"/>
        <v>56355.016103665832</v>
      </c>
      <c r="S279">
        <f t="shared" si="73"/>
        <v>237.39211466193612</v>
      </c>
      <c r="T279" s="6">
        <f t="shared" si="74"/>
        <v>465.28854473739477</v>
      </c>
      <c r="V279" s="13">
        <f t="shared" si="70"/>
        <v>858.27313282715511</v>
      </c>
      <c r="W279">
        <f t="shared" si="70"/>
        <v>57994.293942273333</v>
      </c>
      <c r="X279">
        <f t="shared" si="75"/>
        <v>240.82004472691497</v>
      </c>
      <c r="Y279" s="6">
        <f t="shared" si="76"/>
        <v>472.00728766475333</v>
      </c>
      <c r="Z279" s="14">
        <f t="shared" si="67"/>
        <v>0.28058672177428273</v>
      </c>
    </row>
    <row r="280" spans="1:26" x14ac:dyDescent="0.3">
      <c r="A280" t="str">
        <f>'rockfish harvests'!A288</f>
        <v>SE</v>
      </c>
      <c r="B280">
        <f>'rockfish harvests'!B288</f>
        <v>2009</v>
      </c>
      <c r="C280" t="str">
        <f>'rockfish harvests'!C288</f>
        <v>NSEI</v>
      </c>
      <c r="D280">
        <f>'rockfish harvests'!D288</f>
        <v>9325</v>
      </c>
      <c r="E280">
        <f>'YE harvest'!E289</f>
        <v>3331</v>
      </c>
      <c r="F280">
        <f>IF([2]species_comp_Region1_forR!$H145&gt;49,[2]species_comp_Region1_forR!$AV145,[2]species_comp_Region1_forR!$AX145)</f>
        <v>0.124579125</v>
      </c>
      <c r="G280">
        <f>IF([2]species_comp_Region1_forR!$H145&gt;49,[2]species_comp_Region1_forR!$AW145,[2]species_comp_Region1_forR!$AY145)</f>
        <v>3.6844299999999998E-4</v>
      </c>
      <c r="H280" s="13">
        <f t="shared" si="66"/>
        <v>414.97306537499998</v>
      </c>
      <c r="I280">
        <f t="shared" si="69"/>
        <v>4088.0817815229998</v>
      </c>
      <c r="J280">
        <f t="shared" si="71"/>
        <v>63.93810899239201</v>
      </c>
      <c r="K280" s="6">
        <f t="shared" si="72"/>
        <v>125.31869362508834</v>
      </c>
      <c r="M280" s="2">
        <f>'rockfish harvests'!O288</f>
        <v>5548.0688970214906</v>
      </c>
      <c r="N280">
        <f>'rockfish harvests'!P288</f>
        <v>2433430.5466266801</v>
      </c>
      <c r="O280">
        <f>IF([2]species_comp_Region1_forR!$D167&gt;49,[2]species_comp_Region1_forR!$AR167,[2]species_comp_Region1_forR!$AT167)</f>
        <v>0.13574660599999999</v>
      </c>
      <c r="P280">
        <f>IF([2]species_comp_Region1_forR!$D167&gt;49,[2]species_comp_Region1_forR!$AS167,[2]species_comp_Region1_forR!$AU167)</f>
        <v>5.3326999999999997E-4</v>
      </c>
      <c r="Q280" s="13">
        <f t="shared" si="121"/>
        <v>753.13152262483084</v>
      </c>
      <c r="R280" s="14">
        <f t="shared" si="68"/>
        <v>62553.463794178344</v>
      </c>
      <c r="S280">
        <f t="shared" si="73"/>
        <v>250.10690473111362</v>
      </c>
      <c r="T280" s="6">
        <f t="shared" si="74"/>
        <v>490.2095332729827</v>
      </c>
      <c r="V280" s="13">
        <f t="shared" si="70"/>
        <v>1168.1045879998308</v>
      </c>
      <c r="W280">
        <f t="shared" si="70"/>
        <v>66641.545575701341</v>
      </c>
      <c r="X280">
        <f t="shared" si="75"/>
        <v>258.15023838009785</v>
      </c>
      <c r="Y280" s="6">
        <f t="shared" si="76"/>
        <v>505.97446722499177</v>
      </c>
      <c r="Z280" s="14">
        <f t="shared" si="67"/>
        <v>0.22099925043709806</v>
      </c>
    </row>
    <row r="281" spans="1:26" x14ac:dyDescent="0.3">
      <c r="A281" t="str">
        <f>'rockfish harvests'!A289</f>
        <v>SE</v>
      </c>
      <c r="B281">
        <f>'rockfish harvests'!B289</f>
        <v>2010</v>
      </c>
      <c r="C281" t="str">
        <f>'rockfish harvests'!C289</f>
        <v>NSEI</v>
      </c>
      <c r="D281">
        <f>'rockfish harvests'!D289</f>
        <v>11942</v>
      </c>
      <c r="E281">
        <f>'YE harvest'!E290</f>
        <v>4469</v>
      </c>
      <c r="F281">
        <f>IF([2]species_comp_Region1_forR!$H146&gt;49,[2]species_comp_Region1_forR!$AV146,[2]species_comp_Region1_forR!$AX146)</f>
        <v>8.7855296999999999E-2</v>
      </c>
      <c r="G281">
        <f>IF([2]species_comp_Region1_forR!$H146&gt;49,[2]species_comp_Region1_forR!$AW146,[2]species_comp_Region1_forR!$AY146)</f>
        <v>2.07608E-4</v>
      </c>
      <c r="H281" s="13">
        <f t="shared" si="66"/>
        <v>392.62532229300001</v>
      </c>
      <c r="I281">
        <f t="shared" si="69"/>
        <v>4146.3388792879996</v>
      </c>
      <c r="J281">
        <f t="shared" si="71"/>
        <v>64.392071556116278</v>
      </c>
      <c r="K281" s="6">
        <f t="shared" si="72"/>
        <v>126.20846024998791</v>
      </c>
      <c r="M281" s="2">
        <f>'rockfish harvests'!O289</f>
        <v>7105.0979912311668</v>
      </c>
      <c r="N281">
        <f>'rockfish harvests'!P289</f>
        <v>3990941.9253061144</v>
      </c>
      <c r="O281">
        <f>IF([2]species_comp_Region1_forR!$D168&gt;49,[2]species_comp_Region1_forR!$AR168,[2]species_comp_Region1_forR!$AT168)</f>
        <v>0.11002445</v>
      </c>
      <c r="P281">
        <f>IF([2]species_comp_Region1_forR!$D168&gt;49,[2]species_comp_Region1_forR!$AS168,[2]species_comp_Region1_forR!$AU168)</f>
        <v>2.39998E-4</v>
      </c>
      <c r="Q281" s="13">
        <f t="shared" si="121"/>
        <v>781.73449868131388</v>
      </c>
      <c r="R281" s="14">
        <f t="shared" si="68"/>
        <v>61385.364265569267</v>
      </c>
      <c r="S281">
        <f t="shared" si="73"/>
        <v>247.76069959856278</v>
      </c>
      <c r="T281" s="6">
        <f t="shared" si="74"/>
        <v>485.61097121318306</v>
      </c>
      <c r="V281" s="13">
        <f t="shared" si="70"/>
        <v>1174.3598209743138</v>
      </c>
      <c r="W281">
        <f t="shared" si="70"/>
        <v>65531.703144857267</v>
      </c>
      <c r="X281">
        <f t="shared" si="75"/>
        <v>255.99160756723504</v>
      </c>
      <c r="Y281" s="6">
        <f t="shared" si="76"/>
        <v>501.74355083178068</v>
      </c>
      <c r="Z281" s="14">
        <f t="shared" si="67"/>
        <v>0.2179839628324905</v>
      </c>
    </row>
    <row r="282" spans="1:26" x14ac:dyDescent="0.3">
      <c r="A282" t="str">
        <f>'rockfish harvests'!A290</f>
        <v>SE</v>
      </c>
      <c r="B282">
        <f>'rockfish harvests'!B290</f>
        <v>2011</v>
      </c>
      <c r="C282" t="str">
        <f>'rockfish harvests'!C290</f>
        <v>NSEI</v>
      </c>
      <c r="D282">
        <f>'rockfish harvests'!D290</f>
        <v>13281</v>
      </c>
      <c r="E282">
        <f>'YE harvest'!E291</f>
        <v>4956</v>
      </c>
      <c r="F282">
        <f>IF([2]species_comp_Region1_forR!$H147&gt;49,[2]species_comp_Region1_forR!$AV147,[2]species_comp_Region1_forR!$AX147)</f>
        <v>0.133333333</v>
      </c>
      <c r="G282">
        <f>IF([2]species_comp_Region1_forR!$H147&gt;49,[2]species_comp_Region1_forR!$AW147,[2]species_comp_Region1_forR!$AY147)</f>
        <v>4.5494300000000002E-4</v>
      </c>
      <c r="H282" s="13">
        <f t="shared" si="66"/>
        <v>660.79999834800003</v>
      </c>
      <c r="I282">
        <f t="shared" si="69"/>
        <v>11174.280849648001</v>
      </c>
      <c r="J282">
        <f t="shared" si="71"/>
        <v>105.70847104015837</v>
      </c>
      <c r="K282" s="6">
        <f t="shared" si="72"/>
        <v>207.18860323871041</v>
      </c>
      <c r="M282" s="2">
        <f>'rockfish harvests'!O290</f>
        <v>7853.144125958821</v>
      </c>
      <c r="N282">
        <f>'rockfish harvests'!P290</f>
        <v>2883554.5471730651</v>
      </c>
      <c r="O282">
        <f>IF([2]species_comp_Region1_forR!$D169&gt;49,[2]species_comp_Region1_forR!$AR169,[2]species_comp_Region1_forR!$AT169)</f>
        <v>0.18390804599999999</v>
      </c>
      <c r="P282">
        <f>IF([2]species_comp_Region1_forR!$D169&gt;49,[2]species_comp_Region1_forR!$AS169,[2]species_comp_Region1_forR!$AU169)</f>
        <v>4.3252399999999999E-4</v>
      </c>
      <c r="Q282" s="13">
        <f t="shared" si="121"/>
        <v>1444.2563911614645</v>
      </c>
      <c r="R282" s="14">
        <f t="shared" si="68"/>
        <v>125449.84191984711</v>
      </c>
      <c r="S282">
        <f t="shared" si="73"/>
        <v>354.18899181065342</v>
      </c>
      <c r="T282" s="6">
        <f t="shared" si="74"/>
        <v>694.2104239488807</v>
      </c>
      <c r="V282" s="13">
        <f t="shared" si="70"/>
        <v>2105.0563895094647</v>
      </c>
      <c r="W282">
        <f t="shared" si="70"/>
        <v>136624.12276949512</v>
      </c>
      <c r="X282">
        <f t="shared" si="75"/>
        <v>369.62700492455247</v>
      </c>
      <c r="Y282" s="6">
        <f t="shared" si="76"/>
        <v>724.46892965212282</v>
      </c>
      <c r="Z282" s="14">
        <f t="shared" si="67"/>
        <v>0.17559007291518949</v>
      </c>
    </row>
    <row r="283" spans="1:26" x14ac:dyDescent="0.3">
      <c r="A283" t="str">
        <f>'rockfish harvests'!A291</f>
        <v>SE</v>
      </c>
      <c r="B283">
        <f>'rockfish harvests'!B291</f>
        <v>2012</v>
      </c>
      <c r="C283" t="str">
        <f>'rockfish harvests'!C291</f>
        <v>NSEI</v>
      </c>
      <c r="D283">
        <f>'rockfish harvests'!D291</f>
        <v>15243</v>
      </c>
      <c r="E283">
        <f>'YE harvest'!E292</f>
        <v>6060</v>
      </c>
      <c r="F283">
        <f>IF([2]species_comp_Region1_forR!$H148&gt;49,[2]species_comp_Region1_forR!$AV148,[2]species_comp_Region1_forR!$AX148)</f>
        <v>0.123076923</v>
      </c>
      <c r="G283">
        <f>IF([2]species_comp_Region1_forR!$H148&gt;49,[2]species_comp_Region1_forR!$AW148,[2]species_comp_Region1_forR!$AY148)</f>
        <v>3.3311400000000002E-4</v>
      </c>
      <c r="H283" s="13">
        <f t="shared" si="66"/>
        <v>745.84615338000003</v>
      </c>
      <c r="I283">
        <f t="shared" si="69"/>
        <v>12233.145290400002</v>
      </c>
      <c r="J283">
        <f t="shared" si="71"/>
        <v>110.60355008045629</v>
      </c>
      <c r="K283" s="6">
        <f t="shared" si="72"/>
        <v>216.78295815769431</v>
      </c>
      <c r="M283" s="2">
        <f>'rockfish harvests'!O291</f>
        <v>15088.837840909095</v>
      </c>
      <c r="N283">
        <f>'rockfish harvests'!P291</f>
        <v>11116596.990618348</v>
      </c>
      <c r="O283">
        <f>IF([2]species_comp_Region1_forR!$D170&gt;49,[2]species_comp_Region1_forR!$AR170,[2]species_comp_Region1_forR!$AT170)</f>
        <v>0.130350195</v>
      </c>
      <c r="P283">
        <f>IF([2]species_comp_Region1_forR!$D170&gt;49,[2]species_comp_Region1_forR!$AS170,[2]species_comp_Region1_forR!$AU170)</f>
        <v>2.2097299999999999E-4</v>
      </c>
      <c r="Q283" s="13">
        <f t="shared" si="121"/>
        <v>1966.8329548858794</v>
      </c>
      <c r="R283" s="14">
        <f t="shared" si="68"/>
        <v>241650.08604812602</v>
      </c>
      <c r="S283">
        <f t="shared" si="73"/>
        <v>491.57917576736918</v>
      </c>
      <c r="T283" s="6">
        <f t="shared" si="74"/>
        <v>963.49518450404355</v>
      </c>
      <c r="V283" s="13">
        <f t="shared" si="70"/>
        <v>2712.6791082658792</v>
      </c>
      <c r="W283">
        <f t="shared" si="70"/>
        <v>253883.23133852601</v>
      </c>
      <c r="X283">
        <f t="shared" si="75"/>
        <v>503.86826784242527</v>
      </c>
      <c r="Y283" s="6">
        <f t="shared" si="76"/>
        <v>987.58180497115347</v>
      </c>
      <c r="Z283" s="14">
        <f t="shared" si="67"/>
        <v>0.18574562184929075</v>
      </c>
    </row>
    <row r="284" spans="1:26" x14ac:dyDescent="0.3">
      <c r="A284" t="str">
        <f>'rockfish harvests'!A292</f>
        <v>SE</v>
      </c>
      <c r="B284">
        <f>'rockfish harvests'!B292</f>
        <v>2013</v>
      </c>
      <c r="C284" t="str">
        <f>'rockfish harvests'!C292</f>
        <v>NSEI</v>
      </c>
      <c r="D284">
        <f>'rockfish harvests'!D292</f>
        <v>14770</v>
      </c>
      <c r="E284">
        <f>'YE harvest'!E293</f>
        <v>5187</v>
      </c>
      <c r="F284">
        <f>IF([2]species_comp_Region1_forR!$H149&gt;49,[2]species_comp_Region1_forR!$AV149,[2]species_comp_Region1_forR!$AX149)</f>
        <v>0.30283911699999999</v>
      </c>
      <c r="G284">
        <f>IF([2]species_comp_Region1_forR!$H149&gt;49,[2]species_comp_Region1_forR!$AW149,[2]species_comp_Region1_forR!$AY149)</f>
        <v>6.6812499999999999E-4</v>
      </c>
      <c r="H284" s="13">
        <f t="shared" si="66"/>
        <v>1570.826499879</v>
      </c>
      <c r="I284">
        <f t="shared" si="69"/>
        <v>17975.882413125</v>
      </c>
      <c r="J284">
        <f t="shared" si="71"/>
        <v>134.07416758318882</v>
      </c>
      <c r="K284" s="6">
        <f t="shared" si="72"/>
        <v>262.78536846305008</v>
      </c>
      <c r="M284" s="2">
        <f>'rockfish harvests'!O292</f>
        <v>8172.238805970148</v>
      </c>
      <c r="N284">
        <f>'rockfish harvests'!P292</f>
        <v>2814788.8573717903</v>
      </c>
      <c r="O284">
        <f>IF([2]species_comp_Region1_forR!$D171&gt;49,[2]species_comp_Region1_forR!$AR171,[2]species_comp_Region1_forR!$AT171)</f>
        <v>0.13224822</v>
      </c>
      <c r="P284">
        <f>IF([2]species_comp_Region1_forR!$D171&gt;49,[2]species_comp_Region1_forR!$AS171,[2]species_comp_Region1_forR!$AU171)</f>
        <v>1.1686199999999999E-4</v>
      </c>
      <c r="Q284" s="13">
        <f t="shared" si="121"/>
        <v>1080.7640355044775</v>
      </c>
      <c r="R284" s="14">
        <f t="shared" ref="R284:R347" si="122">(M284^2)*P284+(O284^2)*N284+(P284*N284)</f>
        <v>57363.135267053884</v>
      </c>
      <c r="S284">
        <f t="shared" si="73"/>
        <v>239.50602344628805</v>
      </c>
      <c r="T284" s="6">
        <f t="shared" si="74"/>
        <v>469.43180595472455</v>
      </c>
      <c r="V284" s="13">
        <f t="shared" si="70"/>
        <v>2651.5905353834778</v>
      </c>
      <c r="W284">
        <f t="shared" si="70"/>
        <v>75339.017680178891</v>
      </c>
      <c r="X284">
        <f t="shared" si="75"/>
        <v>274.47953963852916</v>
      </c>
      <c r="Y284" s="6">
        <f t="shared" si="76"/>
        <v>537.97989769151718</v>
      </c>
      <c r="Z284" s="14">
        <f t="shared" si="67"/>
        <v>0.10351505482306055</v>
      </c>
    </row>
    <row r="285" spans="1:26" x14ac:dyDescent="0.3">
      <c r="A285" t="str">
        <f>'rockfish harvests'!A293</f>
        <v>SE</v>
      </c>
      <c r="B285">
        <f>'rockfish harvests'!B293</f>
        <v>2014</v>
      </c>
      <c r="C285" t="str">
        <f>'rockfish harvests'!C293</f>
        <v>NSEI</v>
      </c>
      <c r="D285">
        <f>'rockfish harvests'!D293</f>
        <v>19857</v>
      </c>
      <c r="E285">
        <f>'YE harvest'!E294</f>
        <v>6286</v>
      </c>
      <c r="F285">
        <f>IF([2]species_comp_Region1_forR!$H150&gt;49,[2]species_comp_Region1_forR!$AV150,[2]species_comp_Region1_forR!$AX150)</f>
        <v>0.230529595</v>
      </c>
      <c r="G285">
        <f>IF([2]species_comp_Region1_forR!$H150&gt;49,[2]species_comp_Region1_forR!$AW150,[2]species_comp_Region1_forR!$AY150)</f>
        <v>5.5433000000000001E-4</v>
      </c>
      <c r="H285" s="13">
        <f t="shared" si="66"/>
        <v>1449.1090341700001</v>
      </c>
      <c r="I285">
        <f t="shared" si="69"/>
        <v>21903.68253668</v>
      </c>
      <c r="J285">
        <f t="shared" si="71"/>
        <v>147.99892748489768</v>
      </c>
      <c r="K285" s="6">
        <f t="shared" si="72"/>
        <v>290.07789787039945</v>
      </c>
      <c r="M285" s="2">
        <f>'rockfish harvests'!O293</f>
        <v>12419.119924151324</v>
      </c>
      <c r="N285">
        <f>'rockfish harvests'!P293</f>
        <v>9528568.3691134229</v>
      </c>
      <c r="O285">
        <f>IF([2]species_comp_Region1_forR!$D172&gt;49,[2]species_comp_Region1_forR!$AR172,[2]species_comp_Region1_forR!$AT172)</f>
        <v>0.16117542300000001</v>
      </c>
      <c r="P285">
        <f>IF([2]species_comp_Region1_forR!$D172&gt;49,[2]species_comp_Region1_forR!$AS172,[2]species_comp_Region1_forR!$AU172)</f>
        <v>1.20497E-4</v>
      </c>
      <c r="Q285" s="13">
        <f t="shared" si="121"/>
        <v>2001.6569070628177</v>
      </c>
      <c r="R285" s="14">
        <f t="shared" si="122"/>
        <v>267261.50982824119</v>
      </c>
      <c r="S285">
        <f t="shared" si="73"/>
        <v>516.97341307676663</v>
      </c>
      <c r="T285" s="6">
        <f t="shared" si="74"/>
        <v>1013.2678896304626</v>
      </c>
      <c r="V285" s="13">
        <f t="shared" si="70"/>
        <v>3450.7659412328176</v>
      </c>
      <c r="W285">
        <f t="shared" si="70"/>
        <v>289165.19236492121</v>
      </c>
      <c r="X285">
        <f t="shared" si="75"/>
        <v>537.74082266917515</v>
      </c>
      <c r="Y285" s="6">
        <f t="shared" si="76"/>
        <v>1053.9720124315832</v>
      </c>
      <c r="Z285" s="14">
        <f t="shared" si="67"/>
        <v>0.15583230848657975</v>
      </c>
    </row>
    <row r="286" spans="1:26" x14ac:dyDescent="0.3">
      <c r="A286" t="str">
        <f>'rockfish harvests'!A294</f>
        <v>SE</v>
      </c>
      <c r="B286">
        <f>'rockfish harvests'!B294</f>
        <v>2015</v>
      </c>
      <c r="C286" t="str">
        <f>'rockfish harvests'!C294</f>
        <v>NSEI</v>
      </c>
      <c r="D286">
        <f>'rockfish harvests'!D294</f>
        <v>22095</v>
      </c>
      <c r="E286">
        <f>'YE harvest'!E295</f>
        <v>8119</v>
      </c>
      <c r="F286">
        <f>IF([2]species_comp_Region1_forR!$H151&gt;49,[2]species_comp_Region1_forR!$AV151,[2]species_comp_Region1_forR!$AX151)</f>
        <v>0.12808988800000001</v>
      </c>
      <c r="G286">
        <f>IF([2]species_comp_Region1_forR!$H151&gt;49,[2]species_comp_Region1_forR!$AW151,[2]species_comp_Region1_forR!$AY151)</f>
        <v>2.5153799999999999E-4</v>
      </c>
      <c r="H286" s="13">
        <f t="shared" si="66"/>
        <v>1039.9618006720002</v>
      </c>
      <c r="I286">
        <f t="shared" si="69"/>
        <v>16580.922381617998</v>
      </c>
      <c r="J286">
        <f t="shared" si="71"/>
        <v>128.76693046593135</v>
      </c>
      <c r="K286" s="6">
        <f t="shared" si="72"/>
        <v>252.38318371322543</v>
      </c>
      <c r="M286" s="2">
        <f>'rockfish harvests'!O294</f>
        <v>9668.8857001484394</v>
      </c>
      <c r="N286">
        <f>'rockfish harvests'!P294</f>
        <v>4304414.6066964231</v>
      </c>
      <c r="O286">
        <f>IF([2]species_comp_Region1_forR!$D173&gt;49,[2]species_comp_Region1_forR!$AR173,[2]species_comp_Region1_forR!$AT173)</f>
        <v>0.19490131599999999</v>
      </c>
      <c r="P286">
        <f>IF([2]species_comp_Region1_forR!$D173&gt;49,[2]species_comp_Region1_forR!$AS173,[2]species_comp_Region1_forR!$AU173)</f>
        <v>1.2914799999999999E-4</v>
      </c>
      <c r="Q286" s="13">
        <f t="shared" si="121"/>
        <v>1884.4785472125122</v>
      </c>
      <c r="R286" s="14">
        <f t="shared" si="122"/>
        <v>176139.35526997547</v>
      </c>
      <c r="S286">
        <f t="shared" si="73"/>
        <v>419.68959395007101</v>
      </c>
      <c r="T286" s="6">
        <f t="shared" si="74"/>
        <v>822.5916041421392</v>
      </c>
      <c r="V286" s="13">
        <f t="shared" si="70"/>
        <v>2924.4403478845124</v>
      </c>
      <c r="W286">
        <f t="shared" si="70"/>
        <v>192720.27765159347</v>
      </c>
      <c r="X286">
        <f t="shared" si="75"/>
        <v>438.99917727894831</v>
      </c>
      <c r="Y286" s="6">
        <f t="shared" si="76"/>
        <v>860.43838746673862</v>
      </c>
      <c r="Z286" s="14">
        <f t="shared" si="67"/>
        <v>0.15011391071680175</v>
      </c>
    </row>
    <row r="287" spans="1:26" x14ac:dyDescent="0.3">
      <c r="A287" t="str">
        <f>'rockfish harvests'!A295</f>
        <v>SE</v>
      </c>
      <c r="B287">
        <f>'rockfish harvests'!B295</f>
        <v>2016</v>
      </c>
      <c r="C287" t="str">
        <f>'rockfish harvests'!C295</f>
        <v>NSEI</v>
      </c>
      <c r="D287">
        <f>'rockfish harvests'!D295</f>
        <v>25877</v>
      </c>
      <c r="E287">
        <f>'YE harvest'!E296</f>
        <v>9231</v>
      </c>
      <c r="F287">
        <f>IF([2]species_comp_Region1_forR!$H152&gt;49,[2]species_comp_Region1_forR!$AV152,[2]species_comp_Region1_forR!$AX152)</f>
        <v>0.38477366299999999</v>
      </c>
      <c r="G287">
        <f>IF([2]species_comp_Region1_forR!$H152&gt;49,[2]species_comp_Region1_forR!$AW152,[2]species_comp_Region1_forR!$AY152)</f>
        <v>4.8808800000000002E-4</v>
      </c>
      <c r="H287" s="13">
        <f t="shared" si="66"/>
        <v>3551.8456831529998</v>
      </c>
      <c r="I287">
        <f t="shared" si="69"/>
        <v>41590.642767768004</v>
      </c>
      <c r="J287">
        <f t="shared" si="71"/>
        <v>203.93784045087858</v>
      </c>
      <c r="K287" s="6">
        <f t="shared" si="72"/>
        <v>399.71816728372204</v>
      </c>
      <c r="M287" s="2">
        <f>'rockfish harvests'!O295</f>
        <v>14189.291818701371</v>
      </c>
      <c r="N287">
        <f>'rockfish harvests'!P295</f>
        <v>6762576.6255513411</v>
      </c>
      <c r="O287">
        <f>IF([2]species_comp_Region1_forR!$D174&gt;49,[2]species_comp_Region1_forR!$AR174,[2]species_comp_Region1_forR!$AT174)</f>
        <v>0.25019069399999999</v>
      </c>
      <c r="P287">
        <f>IF([2]species_comp_Region1_forR!$D174&gt;49,[2]species_comp_Region1_forR!$AS174,[2]species_comp_Region1_forR!$AU174)</f>
        <v>1.43203E-4</v>
      </c>
      <c r="Q287" s="13">
        <f t="shared" si="121"/>
        <v>3550.028767489418</v>
      </c>
      <c r="R287" s="14">
        <f t="shared" si="122"/>
        <v>453106.41720638023</v>
      </c>
      <c r="S287">
        <f t="shared" si="73"/>
        <v>673.13179779771224</v>
      </c>
      <c r="T287" s="6">
        <f t="shared" si="74"/>
        <v>1319.3383236835159</v>
      </c>
      <c r="V287" s="13">
        <f t="shared" si="70"/>
        <v>7101.8744506424173</v>
      </c>
      <c r="W287">
        <f t="shared" si="70"/>
        <v>494697.05997414823</v>
      </c>
      <c r="X287">
        <f t="shared" si="75"/>
        <v>703.34704092229481</v>
      </c>
      <c r="Y287" s="6">
        <f t="shared" si="76"/>
        <v>1378.5602002076978</v>
      </c>
      <c r="Z287" s="14">
        <f t="shared" si="67"/>
        <v>9.9036817084068821E-2</v>
      </c>
    </row>
    <row r="288" spans="1:26" x14ac:dyDescent="0.3">
      <c r="A288" t="str">
        <f>'rockfish harvests'!A296</f>
        <v>SE</v>
      </c>
      <c r="B288">
        <f>'rockfish harvests'!B296</f>
        <v>2017</v>
      </c>
      <c r="C288" t="str">
        <f>'rockfish harvests'!C296</f>
        <v>NSEI</v>
      </c>
      <c r="D288">
        <f>'rockfish harvests'!D296</f>
        <v>24305</v>
      </c>
      <c r="E288">
        <f>'YE harvest'!E297</f>
        <v>5102</v>
      </c>
      <c r="F288">
        <f>IF([2]species_comp_Region1_forR!$H153&gt;49,[2]species_comp_Region1_forR!$AV153,[2]species_comp_Region1_forR!$AX153)</f>
        <v>0.29181494699999999</v>
      </c>
      <c r="G288">
        <f>IF([2]species_comp_Region1_forR!$H153&gt;49,[2]species_comp_Region1_forR!$AW153,[2]species_comp_Region1_forR!$AY153)</f>
        <v>7.3806800000000004E-4</v>
      </c>
      <c r="H288" s="13">
        <f t="shared" si="66"/>
        <v>1488.839859594</v>
      </c>
      <c r="I288">
        <f t="shared" si="69"/>
        <v>19212.208219472002</v>
      </c>
      <c r="J288">
        <f t="shared" si="71"/>
        <v>138.60811022256959</v>
      </c>
      <c r="K288" s="6">
        <f t="shared" si="72"/>
        <v>271.67189603623638</v>
      </c>
      <c r="M288" s="2">
        <f>'rockfish harvests'!O296</f>
        <v>16806.228360636691</v>
      </c>
      <c r="N288">
        <f>'rockfish harvests'!P296</f>
        <v>14540377.874931889</v>
      </c>
      <c r="O288">
        <f>IF([2]species_comp_Region1_forR!$D175&gt;49,[2]species_comp_Region1_forR!$AR175,[2]species_comp_Region1_forR!$AT175)</f>
        <v>7.3748903000000005E-2</v>
      </c>
      <c r="P288">
        <f>IF([2]species_comp_Region1_forR!$D175&gt;49,[2]species_comp_Region1_forR!$AS175,[2]species_comp_Region1_forR!$AU175)</f>
        <v>6.0026399999999998E-5</v>
      </c>
      <c r="Q288" s="13">
        <f t="shared" si="121"/>
        <v>1239.4409051644443</v>
      </c>
      <c r="R288" s="14">
        <f t="shared" si="122"/>
        <v>96910.893213569841</v>
      </c>
      <c r="S288">
        <f t="shared" si="73"/>
        <v>311.30514485560599</v>
      </c>
      <c r="T288" s="6">
        <f t="shared" si="74"/>
        <v>610.15808391698772</v>
      </c>
      <c r="V288" s="13">
        <f t="shared" si="70"/>
        <v>2728.2807647584441</v>
      </c>
      <c r="W288">
        <f t="shared" si="70"/>
        <v>116123.10143304184</v>
      </c>
      <c r="X288">
        <f t="shared" si="75"/>
        <v>340.76839852463115</v>
      </c>
      <c r="Y288" s="6">
        <f t="shared" si="76"/>
        <v>667.90606110827707</v>
      </c>
      <c r="Z288" s="14">
        <f t="shared" si="67"/>
        <v>0.124902247205046</v>
      </c>
    </row>
    <row r="289" spans="1:26" x14ac:dyDescent="0.3">
      <c r="A289" t="str">
        <f>'rockfish harvests'!A297</f>
        <v>SE</v>
      </c>
      <c r="B289">
        <f>'rockfish harvests'!B297</f>
        <v>2018</v>
      </c>
      <c r="C289" t="str">
        <f>'rockfish harvests'!C297</f>
        <v>NSEI</v>
      </c>
      <c r="D289">
        <f>'rockfish harvests'!D297</f>
        <v>34673</v>
      </c>
      <c r="E289">
        <f>'YE harvest'!E298</f>
        <v>6405</v>
      </c>
      <c r="F289">
        <f>IF([2]species_comp_Region1_forR!$H154&gt;49,[2]species_comp_Region1_forR!$AV154,[2]species_comp_Region1_forR!$AX154)</f>
        <v>0.34848484800000001</v>
      </c>
      <c r="G289">
        <f>IF([2]species_comp_Region1_forR!$H154&gt;49,[2]species_comp_Region1_forR!$AW154,[2]species_comp_Region1_forR!$AY154)</f>
        <v>4.3082199999999998E-4</v>
      </c>
      <c r="H289" s="13">
        <f t="shared" si="66"/>
        <v>2232.0454514400003</v>
      </c>
      <c r="I289">
        <f t="shared" si="69"/>
        <v>17674.052498549998</v>
      </c>
      <c r="J289">
        <f t="shared" si="71"/>
        <v>132.94379450937151</v>
      </c>
      <c r="K289" s="6">
        <f t="shared" si="72"/>
        <v>260.56983723836817</v>
      </c>
      <c r="M289" s="2">
        <f>'rockfish harvests'!O297</f>
        <v>15349.26901059274</v>
      </c>
      <c r="N289">
        <f>'rockfish harvests'!P297</f>
        <v>8197994.4604236083</v>
      </c>
      <c r="O289">
        <f>IF([2]species_comp_Region1_forR!$D176&gt;49,[2]species_comp_Region1_forR!$AR176,[2]species_comp_Region1_forR!$AT176)</f>
        <v>0.107398568</v>
      </c>
      <c r="P289">
        <f>IF([2]species_comp_Region1_forR!$D176&gt;49,[2]species_comp_Region1_forR!$AS176,[2]species_comp_Region1_forR!$AU176)</f>
        <v>7.6324900000000005E-5</v>
      </c>
      <c r="Q289" s="13">
        <f t="shared" si="121"/>
        <v>1648.489511584437</v>
      </c>
      <c r="R289" s="14">
        <f t="shared" si="122"/>
        <v>113167.23901123654</v>
      </c>
      <c r="S289">
        <f t="shared" si="73"/>
        <v>336.40338733615113</v>
      </c>
      <c r="T289" s="6">
        <f t="shared" si="74"/>
        <v>659.35063917885623</v>
      </c>
      <c r="V289" s="13">
        <f t="shared" si="70"/>
        <v>3880.5349630244373</v>
      </c>
      <c r="W289">
        <f t="shared" si="70"/>
        <v>130841.29150978653</v>
      </c>
      <c r="X289">
        <f t="shared" si="75"/>
        <v>361.71990753867351</v>
      </c>
      <c r="Y289" s="6">
        <f t="shared" si="76"/>
        <v>708.97101877580008</v>
      </c>
      <c r="Z289" s="14">
        <f t="shared" ref="Z289:Z361" si="123">X289/V289</f>
        <v>9.3213928230337043E-2</v>
      </c>
    </row>
    <row r="290" spans="1:26" x14ac:dyDescent="0.3">
      <c r="A290" t="str">
        <f>'rockfish harvests'!A298</f>
        <v>SE</v>
      </c>
      <c r="B290">
        <f>'rockfish harvests'!B298</f>
        <v>2019</v>
      </c>
      <c r="C290" t="str">
        <f>'rockfish harvests'!C298</f>
        <v>NSEI</v>
      </c>
      <c r="D290">
        <f>'rockfish harvests'!D298</f>
        <v>36293</v>
      </c>
      <c r="E290">
        <f>'YE harvest'!E299</f>
        <v>6197</v>
      </c>
      <c r="F290">
        <v>0.47670807453416147</v>
      </c>
      <c r="G290">
        <v>3.8795876548692665E-4</v>
      </c>
      <c r="H290" s="13">
        <f>E290*F290</f>
        <v>2954.1599378881988</v>
      </c>
      <c r="I290">
        <f>(E290^2)*G290</f>
        <v>14898.706370870237</v>
      </c>
      <c r="K290" s="6"/>
      <c r="M290" s="2">
        <f>'rockfish harvests'!O298</f>
        <v>23183.361216730038</v>
      </c>
      <c r="N290">
        <f>'rockfish harvests'!P298</f>
        <v>24125308.819017805</v>
      </c>
      <c r="O290">
        <v>0.10774946921443737</v>
      </c>
      <c r="P290">
        <v>5.1056569887649699E-5</v>
      </c>
      <c r="Q290" s="13">
        <f>M290*O290</f>
        <v>2497.9948657092345</v>
      </c>
      <c r="R290" s="14">
        <f t="shared" si="122"/>
        <v>308766.62380725821</v>
      </c>
      <c r="S290">
        <f>SQRT(R290)</f>
        <v>555.66772787994284</v>
      </c>
      <c r="T290" s="6">
        <f>(1.96*S290)</f>
        <v>1089.1087466446879</v>
      </c>
      <c r="V290" s="13">
        <f>Q290+H290</f>
        <v>5452.1548035974338</v>
      </c>
      <c r="W290">
        <f>R290+I290</f>
        <v>323665.33017812844</v>
      </c>
      <c r="X290">
        <f>SQRT(W290)</f>
        <v>568.9159254038583</v>
      </c>
      <c r="Y290" s="6">
        <f>(1.96*X290)</f>
        <v>1115.0752137915622</v>
      </c>
      <c r="Z290" s="14">
        <f t="shared" si="123"/>
        <v>0.10434698681491525</v>
      </c>
    </row>
    <row r="291" spans="1:26" x14ac:dyDescent="0.3">
      <c r="A291" t="str">
        <f>'rockfish harvests'!A299</f>
        <v>SE</v>
      </c>
      <c r="B291">
        <f>'rockfish harvests'!B299</f>
        <v>2020</v>
      </c>
      <c r="C291" t="str">
        <f>'rockfish harvests'!C299</f>
        <v>NSEI</v>
      </c>
      <c r="D291">
        <f>'rockfish harvests'!D299</f>
        <v>17585</v>
      </c>
      <c r="E291">
        <f>'YE harvest'!E300</f>
        <v>283</v>
      </c>
      <c r="F291" t="s">
        <v>254</v>
      </c>
      <c r="G291" t="s">
        <v>227</v>
      </c>
      <c r="H291" s="13">
        <f t="shared" ref="H291:H292" si="124">E291*F291</f>
        <v>180.09090909090898</v>
      </c>
      <c r="I291">
        <f t="shared" ref="I291:I292" si="125">(E291^2)*G291</f>
        <v>28.251511791977382</v>
      </c>
      <c r="J291">
        <f t="shared" ref="J291" si="126">SQRT(I291)</f>
        <v>5.315215121890871</v>
      </c>
      <c r="K291" s="6">
        <f t="shared" ref="K291" si="127">(1.96*J291)</f>
        <v>10.417821638906107</v>
      </c>
      <c r="M291" s="2">
        <f>'rockfish harvests'!O299</f>
        <v>4858.3978904449577</v>
      </c>
      <c r="N291">
        <f>'rockfish harvests'!P299</f>
        <v>1472700.4379098967</v>
      </c>
      <c r="O291" t="s">
        <v>258</v>
      </c>
      <c r="P291" t="s">
        <v>259</v>
      </c>
      <c r="Q291" s="13">
        <f t="shared" ref="Q291:Q292" si="128">M291*O291</f>
        <v>1113.1100288081436</v>
      </c>
      <c r="R291" s="14">
        <f t="shared" si="122"/>
        <v>89274.777375073521</v>
      </c>
      <c r="S291">
        <f t="shared" ref="S291:S292" si="129">SQRT(R291)</f>
        <v>298.78885082123384</v>
      </c>
      <c r="T291" s="6">
        <f t="shared" ref="T291:T292" si="130">(1.96*S291)</f>
        <v>585.62614760961833</v>
      </c>
      <c r="V291" s="13">
        <f t="shared" ref="V291:V292" si="131">Q291+H291</f>
        <v>1293.2009378990526</v>
      </c>
      <c r="W291">
        <f t="shared" ref="W291:W292" si="132">R291+I291</f>
        <v>89303.028886865504</v>
      </c>
      <c r="X291">
        <f t="shared" ref="X291:X292" si="133">SQRT(W291)</f>
        <v>298.83612379842151</v>
      </c>
      <c r="Y291" s="6">
        <f t="shared" ref="Y291:Y292" si="134">(1.96*X291)</f>
        <v>585.71880264490619</v>
      </c>
      <c r="Z291" s="14">
        <f t="shared" si="123"/>
        <v>0.23108251397026799</v>
      </c>
    </row>
    <row r="292" spans="1:26" x14ac:dyDescent="0.3">
      <c r="A292" t="str">
        <f>'rockfish harvests'!A300</f>
        <v>SE</v>
      </c>
      <c r="B292">
        <f>'rockfish harvests'!B300</f>
        <v>2021</v>
      </c>
      <c r="C292" t="str">
        <f>'rockfish harvests'!C300</f>
        <v>NSEI</v>
      </c>
      <c r="D292">
        <f>'rockfish harvests'!D300</f>
        <v>33151</v>
      </c>
      <c r="E292">
        <f>'YE harvest'!E301</f>
        <v>1940</v>
      </c>
      <c r="F292" t="s">
        <v>255</v>
      </c>
      <c r="G292" t="s">
        <v>256</v>
      </c>
      <c r="H292" s="13">
        <f t="shared" si="124"/>
        <v>1907.1186440677966</v>
      </c>
      <c r="I292">
        <f t="shared" si="125"/>
        <v>34.417479111160347</v>
      </c>
      <c r="K292" s="6"/>
      <c r="M292" s="2">
        <f>'rockfish harvests'!O300</f>
        <v>7926.4899805809182</v>
      </c>
      <c r="N292">
        <f>'rockfish harvests'!P300</f>
        <v>3864104.3574178377</v>
      </c>
      <c r="O292" t="s">
        <v>260</v>
      </c>
      <c r="P292" t="s">
        <v>261</v>
      </c>
      <c r="Q292" s="13">
        <f t="shared" si="128"/>
        <v>1453.1898297731657</v>
      </c>
      <c r="R292" s="14">
        <f t="shared" si="122"/>
        <v>153708.52642838575</v>
      </c>
      <c r="S292">
        <f t="shared" si="129"/>
        <v>392.05678980013312</v>
      </c>
      <c r="T292" s="6">
        <f t="shared" si="130"/>
        <v>768.43130800826088</v>
      </c>
      <c r="V292" s="13">
        <f t="shared" si="131"/>
        <v>3360.3084738409625</v>
      </c>
      <c r="W292">
        <f t="shared" si="132"/>
        <v>153742.94390749693</v>
      </c>
      <c r="X292">
        <f t="shared" si="133"/>
        <v>392.10068083018797</v>
      </c>
      <c r="Y292" s="6">
        <f t="shared" si="134"/>
        <v>768.51733442716841</v>
      </c>
      <c r="Z292" s="14">
        <f t="shared" si="123"/>
        <v>0.11668591853473551</v>
      </c>
    </row>
    <row r="293" spans="1:26" x14ac:dyDescent="0.3">
      <c r="A293" t="str">
        <f>'rockfish harvests'!A301</f>
        <v>SE</v>
      </c>
      <c r="B293">
        <f>'rockfish harvests'!B301</f>
        <v>2022</v>
      </c>
      <c r="C293" t="str">
        <f>'rockfish harvests'!C301</f>
        <v>NSEI</v>
      </c>
      <c r="D293">
        <f>'rockfish harvests'!D301</f>
        <v>34168</v>
      </c>
      <c r="E293">
        <f>'YE harvest'!E302</f>
        <v>2848</v>
      </c>
      <c r="F293" t="s">
        <v>257</v>
      </c>
      <c r="G293" t="s">
        <v>231</v>
      </c>
      <c r="H293" s="13">
        <f t="shared" ref="H293" si="135">E293*F293</f>
        <v>2494.7596899224804</v>
      </c>
      <c r="I293">
        <f t="shared" ref="I293" si="136">(E293^2)*G293</f>
        <v>304.19388554957328</v>
      </c>
      <c r="K293" s="6"/>
      <c r="M293" s="2">
        <f>'rockfish harvests'!O301</f>
        <v>23959.726273535314</v>
      </c>
      <c r="N293">
        <f>'rockfish harvests'!P301</f>
        <v>56312393.20575878</v>
      </c>
      <c r="O293" t="s">
        <v>262</v>
      </c>
      <c r="P293" t="s">
        <v>263</v>
      </c>
      <c r="Q293" s="13">
        <f t="shared" ref="Q293" si="137">M293*O293</f>
        <v>1719.9234922722569</v>
      </c>
      <c r="R293" s="14">
        <f t="shared" si="122"/>
        <v>320048.07469530776</v>
      </c>
      <c r="S293">
        <f t="shared" ref="S293" si="138">SQRT(R293)</f>
        <v>565.72791578223166</v>
      </c>
      <c r="T293" s="6"/>
      <c r="V293" s="13">
        <f t="shared" ref="V293" si="139">Q293+H293</f>
        <v>4214.6831821947371</v>
      </c>
      <c r="W293">
        <f t="shared" ref="W293" si="140">R293+I293</f>
        <v>320352.26858085732</v>
      </c>
      <c r="X293">
        <f t="shared" ref="X293" si="141">SQRT(W293)</f>
        <v>565.99670368373813</v>
      </c>
      <c r="Y293" s="6">
        <f t="shared" ref="Y293" si="142">(1.96*X293)</f>
        <v>1109.3535392201268</v>
      </c>
      <c r="Z293" s="14">
        <f t="shared" ref="Z293" si="143">X293/V293</f>
        <v>0.13429163693129675</v>
      </c>
    </row>
    <row r="294" spans="1:26" x14ac:dyDescent="0.3">
      <c r="A294" t="str">
        <f>'rockfish harvests'!A302</f>
        <v>SE</v>
      </c>
      <c r="B294">
        <f>'rockfish harvests'!B302</f>
        <v>1998</v>
      </c>
      <c r="C294" t="str">
        <f>'rockfish harvests'!C302</f>
        <v>NSEO</v>
      </c>
      <c r="D294">
        <f>'rockfish harvests'!D302</f>
        <v>1123</v>
      </c>
      <c r="E294">
        <f>'YE harvest'!E303</f>
        <v>522</v>
      </c>
      <c r="F294" s="32">
        <v>8.4507094000000005E-2</v>
      </c>
      <c r="G294" s="32">
        <v>3.0997300000000002E-3</v>
      </c>
      <c r="H294" s="13">
        <f t="shared" si="66"/>
        <v>44.112703068000002</v>
      </c>
      <c r="I294">
        <f t="shared" si="69"/>
        <v>844.62682932000007</v>
      </c>
      <c r="J294">
        <f t="shared" si="71"/>
        <v>29.062464267849002</v>
      </c>
      <c r="K294" s="6">
        <f t="shared" si="72"/>
        <v>56.96242996498404</v>
      </c>
      <c r="M294" s="2">
        <f>'rockfish harvests'!O302</f>
        <v>595.65533897155365</v>
      </c>
      <c r="N294">
        <f>'rockfish harvests'!P302</f>
        <v>93360.34279041113</v>
      </c>
      <c r="O294" s="32">
        <v>2.6213604000000001E-2</v>
      </c>
      <c r="P294" s="32">
        <v>5.4350899999999996E-4</v>
      </c>
      <c r="Q294" s="13">
        <f t="shared" si="121"/>
        <v>15.614273176286076</v>
      </c>
      <c r="R294" s="14">
        <f t="shared" si="122"/>
        <v>307.73489388980056</v>
      </c>
      <c r="S294">
        <f t="shared" si="73"/>
        <v>17.542374237536965</v>
      </c>
      <c r="T294" s="6">
        <f t="shared" si="74"/>
        <v>34.383053505572448</v>
      </c>
      <c r="V294" s="13">
        <f t="shared" si="70"/>
        <v>59.726976244286078</v>
      </c>
      <c r="W294">
        <f t="shared" si="70"/>
        <v>1152.3617232098006</v>
      </c>
      <c r="X294">
        <f t="shared" si="75"/>
        <v>33.946453764860337</v>
      </c>
      <c r="Y294" s="6">
        <f t="shared" si="76"/>
        <v>66.535049379126264</v>
      </c>
      <c r="Z294" s="14">
        <f t="shared" si="123"/>
        <v>0.5683604946953581</v>
      </c>
    </row>
    <row r="295" spans="1:26" x14ac:dyDescent="0.3">
      <c r="A295" t="str">
        <f>'rockfish harvests'!A303</f>
        <v>SE</v>
      </c>
      <c r="B295">
        <f>'rockfish harvests'!B303</f>
        <v>1999</v>
      </c>
      <c r="C295" t="str">
        <f>'rockfish harvests'!C303</f>
        <v>NSEO</v>
      </c>
      <c r="D295">
        <f>'rockfish harvests'!D303</f>
        <v>1071</v>
      </c>
      <c r="E295">
        <f>'YE harvest'!E304</f>
        <v>587</v>
      </c>
      <c r="F295" s="32">
        <v>8.4507094000000005E-2</v>
      </c>
      <c r="G295" s="32">
        <v>3.0997300000000002E-3</v>
      </c>
      <c r="H295" s="13">
        <f t="shared" ref="H295:H364" si="144">E295*F295</f>
        <v>49.605664178000005</v>
      </c>
      <c r="I295">
        <f t="shared" si="69"/>
        <v>1068.07086637</v>
      </c>
      <c r="J295">
        <f t="shared" si="71"/>
        <v>32.681353496604146</v>
      </c>
      <c r="K295" s="6">
        <f t="shared" si="72"/>
        <v>64.055452853344121</v>
      </c>
      <c r="M295" s="2">
        <f>'rockfish harvests'!O303</f>
        <v>568.07379166387705</v>
      </c>
      <c r="N295">
        <f>'rockfish harvests'!P303</f>
        <v>84914.501969787365</v>
      </c>
      <c r="O295" s="32">
        <v>2.6213604000000001E-2</v>
      </c>
      <c r="P295" s="32">
        <v>5.4350899999999996E-4</v>
      </c>
      <c r="Q295" s="13">
        <f t="shared" si="121"/>
        <v>14.891261417455375</v>
      </c>
      <c r="R295" s="14">
        <f t="shared" si="122"/>
        <v>279.89566525093841</v>
      </c>
      <c r="S295">
        <f t="shared" si="73"/>
        <v>16.730082643278795</v>
      </c>
      <c r="T295" s="6">
        <f t="shared" si="74"/>
        <v>32.790961980826438</v>
      </c>
      <c r="V295" s="13">
        <f t="shared" si="70"/>
        <v>64.49692559545538</v>
      </c>
      <c r="W295">
        <f t="shared" si="70"/>
        <v>1347.9665316209384</v>
      </c>
      <c r="X295">
        <f t="shared" si="75"/>
        <v>36.714663713847884</v>
      </c>
      <c r="Y295" s="6">
        <f t="shared" si="76"/>
        <v>71.960740879141852</v>
      </c>
      <c r="Z295" s="14">
        <f t="shared" si="123"/>
        <v>0.56924672571423918</v>
      </c>
    </row>
    <row r="296" spans="1:26" x14ac:dyDescent="0.3">
      <c r="A296" t="str">
        <f>'rockfish harvests'!A304</f>
        <v>SE</v>
      </c>
      <c r="B296">
        <f>'rockfish harvests'!B304</f>
        <v>2000</v>
      </c>
      <c r="C296" t="str">
        <f>'rockfish harvests'!C304</f>
        <v>NSEO</v>
      </c>
      <c r="D296">
        <f>'rockfish harvests'!D304</f>
        <v>2883</v>
      </c>
      <c r="E296">
        <f>'YE harvest'!E305</f>
        <v>1426</v>
      </c>
      <c r="F296" s="32">
        <v>8.4507094000000005E-2</v>
      </c>
      <c r="G296" s="32">
        <v>3.0997300000000002E-3</v>
      </c>
      <c r="H296" s="13">
        <f t="shared" si="144"/>
        <v>120.507116044</v>
      </c>
      <c r="I296">
        <f t="shared" si="69"/>
        <v>6303.2265614800008</v>
      </c>
      <c r="J296">
        <f t="shared" si="71"/>
        <v>79.392862156997467</v>
      </c>
      <c r="K296" s="6">
        <f t="shared" si="72"/>
        <v>155.61000982771503</v>
      </c>
      <c r="M296" s="2">
        <f>'rockfish harvests'!O304</f>
        <v>1529.1846324621447</v>
      </c>
      <c r="N296">
        <f>'rockfish harvests'!P304</f>
        <v>615307.50161743129</v>
      </c>
      <c r="O296" s="32">
        <v>2.6213604000000001E-2</v>
      </c>
      <c r="P296" s="32">
        <v>5.4350899999999996E-4</v>
      </c>
      <c r="Q296" s="13">
        <f t="shared" si="121"/>
        <v>40.08544039824821</v>
      </c>
      <c r="R296" s="14">
        <f t="shared" si="122"/>
        <v>2028.1800929643373</v>
      </c>
      <c r="S296">
        <f t="shared" si="73"/>
        <v>45.035320504736468</v>
      </c>
      <c r="T296" s="6">
        <f t="shared" si="74"/>
        <v>88.269228189283481</v>
      </c>
      <c r="V296" s="13">
        <f t="shared" si="70"/>
        <v>160.59255644224822</v>
      </c>
      <c r="W296">
        <f t="shared" si="70"/>
        <v>8331.4066544443376</v>
      </c>
      <c r="X296">
        <f t="shared" si="75"/>
        <v>91.276539452612568</v>
      </c>
      <c r="Y296" s="6">
        <f t="shared" si="76"/>
        <v>178.90201732712063</v>
      </c>
      <c r="Z296" s="14">
        <f t="shared" si="123"/>
        <v>0.56837341328106417</v>
      </c>
    </row>
    <row r="297" spans="1:26" x14ac:dyDescent="0.3">
      <c r="A297" t="str">
        <f>'rockfish harvests'!A305</f>
        <v>SE</v>
      </c>
      <c r="B297">
        <f>'rockfish harvests'!B305</f>
        <v>2001</v>
      </c>
      <c r="C297" t="str">
        <f>'rockfish harvests'!C305</f>
        <v>NSEO</v>
      </c>
      <c r="D297">
        <f>'rockfish harvests'!D305</f>
        <v>2839</v>
      </c>
      <c r="E297">
        <f>'YE harvest'!E306</f>
        <v>1604</v>
      </c>
      <c r="F297" s="32">
        <v>8.4507094000000005E-2</v>
      </c>
      <c r="G297" s="32">
        <v>3.0997300000000002E-3</v>
      </c>
      <c r="H297" s="13">
        <f t="shared" si="144"/>
        <v>135.549378776</v>
      </c>
      <c r="I297">
        <f t="shared" si="69"/>
        <v>7975.0349396800002</v>
      </c>
      <c r="J297">
        <f t="shared" si="71"/>
        <v>89.303051121896161</v>
      </c>
      <c r="K297" s="6">
        <f t="shared" si="72"/>
        <v>175.03398019891648</v>
      </c>
      <c r="M297" s="2">
        <f>'rockfish harvests'!O305</f>
        <v>1505.8464001248803</v>
      </c>
      <c r="N297">
        <f>'rockfish harvests'!P305</f>
        <v>596669.32361688081</v>
      </c>
      <c r="O297" s="32">
        <v>2.6213604000000001E-2</v>
      </c>
      <c r="P297" s="32">
        <v>5.4350899999999996E-4</v>
      </c>
      <c r="Q297" s="13">
        <f t="shared" si="121"/>
        <v>39.473661217699167</v>
      </c>
      <c r="R297" s="14">
        <f t="shared" si="122"/>
        <v>1966.7448244352286</v>
      </c>
      <c r="S297">
        <f t="shared" si="73"/>
        <v>44.347996848056489</v>
      </c>
      <c r="T297" s="6">
        <f t="shared" si="74"/>
        <v>86.922073822190711</v>
      </c>
      <c r="V297" s="13">
        <f t="shared" si="70"/>
        <v>175.02303999369917</v>
      </c>
      <c r="W297">
        <f t="shared" si="70"/>
        <v>9941.7797641152283</v>
      </c>
      <c r="X297">
        <f t="shared" si="75"/>
        <v>99.708473883192241</v>
      </c>
      <c r="Y297" s="6">
        <f t="shared" si="76"/>
        <v>195.42860881105679</v>
      </c>
      <c r="Z297" s="14">
        <f t="shared" si="123"/>
        <v>0.56968770446897588</v>
      </c>
    </row>
    <row r="298" spans="1:26" x14ac:dyDescent="0.3">
      <c r="A298" t="str">
        <f>'rockfish harvests'!A306</f>
        <v>SE</v>
      </c>
      <c r="B298">
        <f>'rockfish harvests'!B306</f>
        <v>2002</v>
      </c>
      <c r="C298" t="str">
        <f>'rockfish harvests'!C306</f>
        <v>NSEO</v>
      </c>
      <c r="D298">
        <f>'rockfish harvests'!D306</f>
        <v>2029</v>
      </c>
      <c r="E298">
        <f>'YE harvest'!E307</f>
        <v>1342</v>
      </c>
      <c r="F298" s="32">
        <v>8.4507094000000005E-2</v>
      </c>
      <c r="G298" s="32">
        <v>3.0997300000000002E-3</v>
      </c>
      <c r="H298" s="13">
        <f t="shared" si="144"/>
        <v>113.40852014800001</v>
      </c>
      <c r="I298">
        <f t="shared" ref="I298:I364" si="145">(E298^2)*G298</f>
        <v>5582.5021397200007</v>
      </c>
      <c r="J298">
        <f t="shared" si="71"/>
        <v>74.716143769067742</v>
      </c>
      <c r="K298" s="6">
        <f t="shared" si="72"/>
        <v>146.44364178737277</v>
      </c>
      <c r="M298" s="2">
        <f>'rockfish harvests'!O306</f>
        <v>1076.2107593706878</v>
      </c>
      <c r="N298">
        <f>'rockfish harvests'!P306</f>
        <v>304766.3537779394</v>
      </c>
      <c r="O298" s="32">
        <v>2.6213604000000001E-2</v>
      </c>
      <c r="P298" s="32">
        <v>5.4350899999999996E-4</v>
      </c>
      <c r="Q298" s="13">
        <f t="shared" si="121"/>
        <v>28.211362666682501</v>
      </c>
      <c r="R298" s="14">
        <f t="shared" si="122"/>
        <v>1004.5725919364161</v>
      </c>
      <c r="S298">
        <f t="shared" si="73"/>
        <v>31.694993168265807</v>
      </c>
      <c r="T298" s="6">
        <f t="shared" si="74"/>
        <v>62.122186609800977</v>
      </c>
      <c r="V298" s="13">
        <f t="shared" ref="V298:W364" si="146">Q298+H298</f>
        <v>141.61988281468251</v>
      </c>
      <c r="W298">
        <f t="shared" si="146"/>
        <v>6587.0747316564166</v>
      </c>
      <c r="X298">
        <f t="shared" si="75"/>
        <v>81.160795533659083</v>
      </c>
      <c r="Y298" s="6">
        <f t="shared" si="76"/>
        <v>159.0751592459718</v>
      </c>
      <c r="Z298" s="14">
        <f t="shared" si="123"/>
        <v>0.57308898948788489</v>
      </c>
    </row>
    <row r="299" spans="1:26" x14ac:dyDescent="0.3">
      <c r="A299" t="str">
        <f>'rockfish harvests'!A307</f>
        <v>SE</v>
      </c>
      <c r="B299">
        <f>'rockfish harvests'!B307</f>
        <v>2003</v>
      </c>
      <c r="C299" t="str">
        <f>'rockfish harvests'!C307</f>
        <v>NSEO</v>
      </c>
      <c r="D299">
        <f>'rockfish harvests'!D307</f>
        <v>3083</v>
      </c>
      <c r="E299">
        <f>'YE harvest'!E308</f>
        <v>1659</v>
      </c>
      <c r="F299" s="32">
        <v>8.4507094000000005E-2</v>
      </c>
      <c r="G299" s="32">
        <v>3.0997300000000002E-3</v>
      </c>
      <c r="H299" s="13">
        <f t="shared" si="144"/>
        <v>140.19726894600001</v>
      </c>
      <c r="I299">
        <f t="shared" si="145"/>
        <v>8531.3279841300009</v>
      </c>
      <c r="J299">
        <f t="shared" ref="J299:J364" si="147">SQRT(I299)</f>
        <v>92.365188161612068</v>
      </c>
      <c r="K299" s="6">
        <f t="shared" ref="K299:K364" si="148">(1.96*J299)</f>
        <v>181.03576879675964</v>
      </c>
      <c r="M299" s="2">
        <f>'rockfish harvests'!O307</f>
        <v>1635.26750672244</v>
      </c>
      <c r="N299">
        <f>'rockfish harvests'!P307</f>
        <v>703639.11639872531</v>
      </c>
      <c r="O299" s="32">
        <v>2.6213604000000001E-2</v>
      </c>
      <c r="P299" s="32">
        <v>5.4350899999999996E-4</v>
      </c>
      <c r="Q299" s="13">
        <f t="shared" si="121"/>
        <v>42.866254855289384</v>
      </c>
      <c r="R299" s="14">
        <f t="shared" si="122"/>
        <v>2319.3392649358893</v>
      </c>
      <c r="S299">
        <f t="shared" ref="S299:S364" si="149">SQRT(R299)</f>
        <v>48.159518944190971</v>
      </c>
      <c r="T299" s="6">
        <f t="shared" ref="T299:T364" si="150">(1.96*S299)</f>
        <v>94.392657130614296</v>
      </c>
      <c r="V299" s="13">
        <f t="shared" si="146"/>
        <v>183.06352380128939</v>
      </c>
      <c r="W299">
        <f t="shared" si="146"/>
        <v>10850.667249065889</v>
      </c>
      <c r="X299">
        <f t="shared" ref="X299:X364" si="151">SQRT(W299)</f>
        <v>104.1665361287678</v>
      </c>
      <c r="Y299" s="6">
        <f t="shared" ref="Y299:Y364" si="152">(1.96*X299)</f>
        <v>204.1664108123849</v>
      </c>
      <c r="Z299" s="14">
        <f t="shared" si="123"/>
        <v>0.56901852409351528</v>
      </c>
    </row>
    <row r="300" spans="1:26" x14ac:dyDescent="0.3">
      <c r="A300" t="str">
        <f>'rockfish harvests'!A308</f>
        <v>SE</v>
      </c>
      <c r="B300">
        <f>'rockfish harvests'!B308</f>
        <v>2004</v>
      </c>
      <c r="C300" t="str">
        <f>'rockfish harvests'!C308</f>
        <v>NSEO</v>
      </c>
      <c r="D300">
        <f>'rockfish harvests'!D308</f>
        <v>2923</v>
      </c>
      <c r="E300">
        <f>'YE harvest'!E309</f>
        <v>1924</v>
      </c>
      <c r="F300" s="32">
        <v>8.4507094000000005E-2</v>
      </c>
      <c r="G300" s="32">
        <v>3.0997300000000002E-3</v>
      </c>
      <c r="H300" s="13">
        <f t="shared" si="144"/>
        <v>162.59164885600001</v>
      </c>
      <c r="I300">
        <f t="shared" si="145"/>
        <v>11474.50612048</v>
      </c>
      <c r="J300">
        <f t="shared" si="147"/>
        <v>107.11912117115226</v>
      </c>
      <c r="K300" s="6">
        <f t="shared" si="148"/>
        <v>209.95347749545843</v>
      </c>
      <c r="M300" s="2">
        <f>'rockfish harvests'!O308</f>
        <v>1550.4012073142039</v>
      </c>
      <c r="N300">
        <f>'rockfish harvests'!P308</f>
        <v>632500.03783668019</v>
      </c>
      <c r="O300" s="32">
        <v>2.6213604000000001E-2</v>
      </c>
      <c r="P300" s="32">
        <v>5.4350899999999996E-4</v>
      </c>
      <c r="Q300" s="13">
        <f t="shared" si="121"/>
        <v>40.641603289656445</v>
      </c>
      <c r="R300" s="14">
        <f t="shared" si="122"/>
        <v>2084.8502288163936</v>
      </c>
      <c r="S300">
        <f t="shared" si="149"/>
        <v>45.660160192627373</v>
      </c>
      <c r="T300" s="6">
        <f t="shared" si="150"/>
        <v>89.493913977549653</v>
      </c>
      <c r="V300" s="13">
        <f t="shared" si="146"/>
        <v>203.23325214565645</v>
      </c>
      <c r="W300">
        <f t="shared" si="146"/>
        <v>13559.356349296395</v>
      </c>
      <c r="X300">
        <f t="shared" si="151"/>
        <v>116.44464929440251</v>
      </c>
      <c r="Y300" s="6">
        <f t="shared" si="152"/>
        <v>228.23151261702893</v>
      </c>
      <c r="Z300" s="14">
        <f t="shared" si="123"/>
        <v>0.57296061577043067</v>
      </c>
    </row>
    <row r="301" spans="1:26" x14ac:dyDescent="0.3">
      <c r="A301" t="str">
        <f>'rockfish harvests'!A309</f>
        <v>SE</v>
      </c>
      <c r="B301">
        <f>'rockfish harvests'!B309</f>
        <v>2005</v>
      </c>
      <c r="C301" t="str">
        <f>'rockfish harvests'!C309</f>
        <v>NSEO</v>
      </c>
      <c r="D301">
        <f>'rockfish harvests'!D309</f>
        <v>2796</v>
      </c>
      <c r="E301">
        <f>'YE harvest'!E310</f>
        <v>1608</v>
      </c>
      <c r="F301" s="32">
        <v>8.4507094000000005E-2</v>
      </c>
      <c r="G301" s="32">
        <v>3.0997300000000002E-3</v>
      </c>
      <c r="H301" s="13">
        <f t="shared" si="144"/>
        <v>135.88740715200001</v>
      </c>
      <c r="I301">
        <f t="shared" si="145"/>
        <v>8014.8602707200007</v>
      </c>
      <c r="J301">
        <f t="shared" si="147"/>
        <v>89.525751997511875</v>
      </c>
      <c r="K301" s="6">
        <f t="shared" si="148"/>
        <v>175.47047391512328</v>
      </c>
      <c r="M301" s="2">
        <f>'rockfish harvests'!O309</f>
        <v>1483.0385821589171</v>
      </c>
      <c r="N301">
        <f>'rockfish harvests'!P309</f>
        <v>578731.68372450606</v>
      </c>
      <c r="O301" s="32">
        <v>2.6213604000000001E-2</v>
      </c>
      <c r="P301" s="32">
        <v>5.4350899999999996E-4</v>
      </c>
      <c r="Q301" s="13">
        <f t="shared" si="121"/>
        <v>38.875786109435317</v>
      </c>
      <c r="R301" s="14">
        <f t="shared" si="122"/>
        <v>1907.6186736100804</v>
      </c>
      <c r="S301">
        <f t="shared" si="149"/>
        <v>43.676294183573773</v>
      </c>
      <c r="T301" s="6">
        <f t="shared" si="150"/>
        <v>85.605536599804594</v>
      </c>
      <c r="V301" s="13">
        <f t="shared" si="146"/>
        <v>174.76319326143533</v>
      </c>
      <c r="W301">
        <f t="shared" si="146"/>
        <v>9922.4789443300815</v>
      </c>
      <c r="X301">
        <f t="shared" si="151"/>
        <v>99.611640606558041</v>
      </c>
      <c r="Y301" s="6">
        <f t="shared" si="152"/>
        <v>195.23881558885375</v>
      </c>
      <c r="Z301" s="14">
        <f t="shared" si="123"/>
        <v>0.56998066210397602</v>
      </c>
    </row>
    <row r="302" spans="1:26" x14ac:dyDescent="0.3">
      <c r="A302" t="str">
        <f>'rockfish harvests'!A310</f>
        <v>SE</v>
      </c>
      <c r="B302">
        <f>'rockfish harvests'!B310</f>
        <v>2006</v>
      </c>
      <c r="C302" t="str">
        <f>'rockfish harvests'!C310</f>
        <v>NSEO</v>
      </c>
      <c r="D302">
        <f>'rockfish harvests'!D310</f>
        <v>3058</v>
      </c>
      <c r="E302">
        <f>'YE harvest'!E311</f>
        <v>1651</v>
      </c>
      <c r="F302">
        <f>IF([2]species_comp_Region1_forR!$H186&gt;49,[2]species_comp_Region1_forR!$AV186,[2]species_comp_Region1_forR!$AX186)</f>
        <v>1.1904761999999999E-2</v>
      </c>
      <c r="G302">
        <f>IF([2]species_comp_Region1_forR!$H186&gt;49,[2]species_comp_Region1_forR!$AW186,[2]species_comp_Region1_forR!$AY186)</f>
        <v>2.8074099999999999E-5</v>
      </c>
      <c r="H302" s="13">
        <f t="shared" si="144"/>
        <v>19.654762062</v>
      </c>
      <c r="I302">
        <f t="shared" si="145"/>
        <v>76.5244098541</v>
      </c>
      <c r="J302">
        <f t="shared" si="147"/>
        <v>8.7478231494526675</v>
      </c>
      <c r="K302" s="6">
        <f t="shared" si="148"/>
        <v>17.145733372927229</v>
      </c>
      <c r="M302" s="2">
        <f>'rockfish harvests'!O310</f>
        <v>1622.0071474399028</v>
      </c>
      <c r="N302">
        <f>'rockfish harvests'!P310</f>
        <v>692273.78689881065</v>
      </c>
      <c r="O302">
        <f>IF([2]species_comp_Region1_forR!$D208&gt;49,[2]species_comp_Region1_forR!$AR208,[2]species_comp_Region1_forR!$AT208)</f>
        <v>6.0606061000000003E-2</v>
      </c>
      <c r="P302">
        <f>IF([2]species_comp_Region1_forR!$D208&gt;49,[2]species_comp_Region1_forR!$AS208,[2]species_comp_Region1_forR!$AU208)</f>
        <v>8.7589199999999997E-4</v>
      </c>
      <c r="Q302" s="13">
        <f t="shared" si="121"/>
        <v>98.303464120178745</v>
      </c>
      <c r="R302" s="14">
        <f t="shared" si="122"/>
        <v>5453.5347581207461</v>
      </c>
      <c r="S302">
        <f t="shared" si="149"/>
        <v>73.848051823462114</v>
      </c>
      <c r="T302" s="6">
        <f t="shared" si="150"/>
        <v>144.74218157398573</v>
      </c>
      <c r="V302" s="13">
        <f t="shared" si="146"/>
        <v>117.95822618217875</v>
      </c>
      <c r="W302">
        <f t="shared" si="146"/>
        <v>5530.0591679748459</v>
      </c>
      <c r="X302">
        <f t="shared" si="151"/>
        <v>74.364367596146778</v>
      </c>
      <c r="Y302" s="6">
        <f t="shared" si="152"/>
        <v>145.7541604884477</v>
      </c>
      <c r="Z302" s="14">
        <f t="shared" si="123"/>
        <v>0.63042968687318068</v>
      </c>
    </row>
    <row r="303" spans="1:26" x14ac:dyDescent="0.3">
      <c r="A303" t="str">
        <f>'rockfish harvests'!A311</f>
        <v>SE</v>
      </c>
      <c r="B303">
        <f>'rockfish harvests'!B311</f>
        <v>2007</v>
      </c>
      <c r="C303" t="str">
        <f>'rockfish harvests'!C311</f>
        <v>NSEO</v>
      </c>
      <c r="D303">
        <f>'rockfish harvests'!D311</f>
        <v>4266</v>
      </c>
      <c r="E303">
        <f>'YE harvest'!E312</f>
        <v>1748</v>
      </c>
      <c r="F303">
        <f>IF([2]species_comp_Region1_forR!$H187&gt;49,[2]species_comp_Region1_forR!$AV187,[2]species_comp_Region1_forR!$AX187)</f>
        <v>1.3029316000000001E-2</v>
      </c>
      <c r="G303">
        <f>IF([2]species_comp_Region1_forR!$H187&gt;49,[2]species_comp_Region1_forR!$AW187,[2]species_comp_Region1_forR!$AY187)</f>
        <v>2.0978100000000002E-5</v>
      </c>
      <c r="H303" s="13">
        <f t="shared" si="144"/>
        <v>22.775244368000003</v>
      </c>
      <c r="I303">
        <f t="shared" si="145"/>
        <v>64.098668462399999</v>
      </c>
      <c r="J303">
        <f t="shared" si="147"/>
        <v>8.0061644039077784</v>
      </c>
      <c r="K303" s="6">
        <f t="shared" si="148"/>
        <v>15.692082231659246</v>
      </c>
      <c r="M303" s="2">
        <f>'rockfish harvests'!O311</f>
        <v>2262.7477079720811</v>
      </c>
      <c r="N303">
        <f>'rockfish harvests'!P311</f>
        <v>1347238.9410750614</v>
      </c>
      <c r="O303">
        <f>IF([2]species_comp_Region1_forR!$D209&gt;49,[2]species_comp_Region1_forR!$AR209,[2]species_comp_Region1_forR!$AT209)</f>
        <v>1.6393443000000001E-2</v>
      </c>
      <c r="P303">
        <f>IF([2]species_comp_Region1_forR!$D209&gt;49,[2]species_comp_Region1_forR!$AS209,[2]species_comp_Region1_forR!$AU209)</f>
        <v>2.6874499999999998E-4</v>
      </c>
      <c r="Q303" s="13">
        <f t="shared" si="121"/>
        <v>37.09422557402096</v>
      </c>
      <c r="R303" s="14">
        <f t="shared" si="122"/>
        <v>2100.1091297526496</v>
      </c>
      <c r="S303">
        <f t="shared" si="149"/>
        <v>45.826947637308876</v>
      </c>
      <c r="T303" s="6">
        <f t="shared" si="150"/>
        <v>89.820817369125393</v>
      </c>
      <c r="V303" s="13">
        <f t="shared" si="146"/>
        <v>59.869469942020963</v>
      </c>
      <c r="W303">
        <f t="shared" si="146"/>
        <v>2164.2077982150495</v>
      </c>
      <c r="X303">
        <f t="shared" si="151"/>
        <v>46.52104683060184</v>
      </c>
      <c r="Y303" s="6">
        <f t="shared" si="152"/>
        <v>91.181251787979605</v>
      </c>
      <c r="Z303" s="14">
        <f t="shared" si="123"/>
        <v>0.77704123446648088</v>
      </c>
    </row>
    <row r="304" spans="1:26" x14ac:dyDescent="0.3">
      <c r="A304" t="str">
        <f>'rockfish harvests'!A312</f>
        <v>SE</v>
      </c>
      <c r="B304">
        <f>'rockfish harvests'!B312</f>
        <v>2008</v>
      </c>
      <c r="C304" t="str">
        <f>'rockfish harvests'!C312</f>
        <v>NSEO</v>
      </c>
      <c r="D304">
        <f>'rockfish harvests'!D312</f>
        <v>5010</v>
      </c>
      <c r="E304">
        <f>'YE harvest'!E313</f>
        <v>1963</v>
      </c>
      <c r="F304">
        <f>IF([2]species_comp_Region1_forR!$H188&gt;49,[2]species_comp_Region1_forR!$AV188,[2]species_comp_Region1_forR!$AX188)</f>
        <v>5.3682896000000001E-2</v>
      </c>
      <c r="G304">
        <f>IF([2]species_comp_Region1_forR!$H188&gt;49,[2]species_comp_Region1_forR!$AW188,[2]species_comp_Region1_forR!$AY188)</f>
        <v>6.3501299999999995E-5</v>
      </c>
      <c r="H304" s="13">
        <f t="shared" si="144"/>
        <v>105.379524848</v>
      </c>
      <c r="I304">
        <f t="shared" si="145"/>
        <v>244.69394087969997</v>
      </c>
      <c r="J304">
        <f t="shared" si="147"/>
        <v>15.642696087302213</v>
      </c>
      <c r="K304" s="6">
        <f t="shared" si="148"/>
        <v>30.659684331112334</v>
      </c>
      <c r="M304" s="2">
        <f>'rockfish harvests'!O312</f>
        <v>2657.3760002203771</v>
      </c>
      <c r="N304">
        <f>'rockfish harvests'!P312</f>
        <v>1858139.7621286947</v>
      </c>
      <c r="O304">
        <f>IF([2]species_comp_Region1_forR!$D210&gt;49,[2]species_comp_Region1_forR!$AR210,[2]species_comp_Region1_forR!$AT210)</f>
        <v>7.9207921000000001E-2</v>
      </c>
      <c r="P304">
        <f>IF([2]species_comp_Region1_forR!$D210&gt;49,[2]species_comp_Region1_forR!$AS210,[2]species_comp_Region1_forR!$AU210)</f>
        <v>7.2933999999999998E-4</v>
      </c>
      <c r="Q304" s="13">
        <f t="shared" si="121"/>
        <v>210.48522829275163</v>
      </c>
      <c r="R304" s="14">
        <f t="shared" si="122"/>
        <v>18163.330724525746</v>
      </c>
      <c r="S304">
        <f t="shared" si="149"/>
        <v>134.77140173095233</v>
      </c>
      <c r="T304" s="6">
        <f t="shared" si="150"/>
        <v>264.15194739266656</v>
      </c>
      <c r="V304" s="13">
        <f t="shared" si="146"/>
        <v>315.86475314075165</v>
      </c>
      <c r="W304">
        <f t="shared" si="146"/>
        <v>18408.024665405446</v>
      </c>
      <c r="X304">
        <f t="shared" si="151"/>
        <v>135.67617574727498</v>
      </c>
      <c r="Y304" s="6">
        <f t="shared" si="152"/>
        <v>265.92530446465895</v>
      </c>
      <c r="Z304" s="14">
        <f t="shared" si="123"/>
        <v>0.42953882760960255</v>
      </c>
    </row>
    <row r="305" spans="1:26" x14ac:dyDescent="0.3">
      <c r="A305" t="str">
        <f>'rockfish harvests'!A313</f>
        <v>SE</v>
      </c>
      <c r="B305">
        <f>'rockfish harvests'!B313</f>
        <v>2009</v>
      </c>
      <c r="C305" t="str">
        <f>'rockfish harvests'!C313</f>
        <v>NSEO</v>
      </c>
      <c r="D305">
        <f>'rockfish harvests'!D313</f>
        <v>2818</v>
      </c>
      <c r="E305">
        <f>'YE harvest'!E314</f>
        <v>864</v>
      </c>
      <c r="F305">
        <f>IF([2]species_comp_Region1_forR!$H189&gt;49,[2]species_comp_Region1_forR!$AV189,[2]species_comp_Region1_forR!$AX189)</f>
        <v>2.9154519E-2</v>
      </c>
      <c r="G305">
        <f>IF([2]species_comp_Region1_forR!$H189&gt;49,[2]species_comp_Region1_forR!$AW189,[2]species_comp_Region1_forR!$AY189)</f>
        <v>8.2761800000000004E-5</v>
      </c>
      <c r="H305" s="13">
        <f t="shared" si="144"/>
        <v>25.189504416000002</v>
      </c>
      <c r="I305">
        <f t="shared" si="145"/>
        <v>61.781352652800003</v>
      </c>
      <c r="J305">
        <f t="shared" si="147"/>
        <v>7.8601114911176673</v>
      </c>
      <c r="K305" s="6">
        <f t="shared" si="148"/>
        <v>15.405818522590627</v>
      </c>
      <c r="M305" s="2">
        <f>'rockfish harvests'!O313</f>
        <v>1494.7076983275492</v>
      </c>
      <c r="N305">
        <f>'rockfish harvests'!P313</f>
        <v>587874.87939866644</v>
      </c>
      <c r="O305">
        <f>IF([2]species_comp_Region1_forR!$D211&gt;49,[2]species_comp_Region1_forR!$AR211,[2]species_comp_Region1_forR!$AT211)</f>
        <v>5.1282051000000002E-2</v>
      </c>
      <c r="P305">
        <f>IF([2]species_comp_Region1_forR!$D211&gt;49,[2]species_comp_Region1_forR!$AS211,[2]species_comp_Region1_forR!$AU211)</f>
        <v>6.3184700000000005E-4</v>
      </c>
      <c r="Q305" s="13">
        <f t="shared" si="121"/>
        <v>76.651676415726001</v>
      </c>
      <c r="R305" s="14">
        <f t="shared" si="122"/>
        <v>3329.110670723584</v>
      </c>
      <c r="S305">
        <f t="shared" si="149"/>
        <v>57.698445999208538</v>
      </c>
      <c r="T305" s="6">
        <f t="shared" si="150"/>
        <v>113.08895415844873</v>
      </c>
      <c r="V305" s="13">
        <f t="shared" si="146"/>
        <v>101.84118083172601</v>
      </c>
      <c r="W305">
        <f t="shared" si="146"/>
        <v>3390.8920233763838</v>
      </c>
      <c r="X305">
        <f t="shared" si="151"/>
        <v>58.231366318989835</v>
      </c>
      <c r="Y305" s="6">
        <f t="shared" si="152"/>
        <v>114.13347798522007</v>
      </c>
      <c r="Z305" s="14">
        <f t="shared" si="123"/>
        <v>0.57178604807427125</v>
      </c>
    </row>
    <row r="306" spans="1:26" x14ac:dyDescent="0.3">
      <c r="A306" t="str">
        <f>'rockfish harvests'!A314</f>
        <v>SE</v>
      </c>
      <c r="B306">
        <f>'rockfish harvests'!B314</f>
        <v>2010</v>
      </c>
      <c r="C306" t="str">
        <f>'rockfish harvests'!C314</f>
        <v>NSEO</v>
      </c>
      <c r="D306">
        <f>'rockfish harvests'!D314</f>
        <v>4613</v>
      </c>
      <c r="E306">
        <f>'YE harvest'!E315</f>
        <v>1642</v>
      </c>
      <c r="F306">
        <f>IF([2]species_comp_Region1_forR!$H190&gt;49,[2]species_comp_Region1_forR!$AV190,[2]species_comp_Region1_forR!$AX190)</f>
        <v>5.2830189E-2</v>
      </c>
      <c r="G306">
        <f>IF([2]species_comp_Region1_forR!$H190&gt;49,[2]species_comp_Region1_forR!$AW190,[2]species_comp_Region1_forR!$AY190)</f>
        <v>9.4592000000000005E-5</v>
      </c>
      <c r="H306" s="13">
        <f t="shared" si="144"/>
        <v>86.747170338000004</v>
      </c>
      <c r="I306">
        <f t="shared" si="145"/>
        <v>255.03554508800002</v>
      </c>
      <c r="J306">
        <f t="shared" si="147"/>
        <v>15.969832343766168</v>
      </c>
      <c r="K306" s="6">
        <f t="shared" si="148"/>
        <v>31.300871393781687</v>
      </c>
      <c r="M306" s="2">
        <f>'rockfish harvests'!O314</f>
        <v>2446.8014948136924</v>
      </c>
      <c r="N306">
        <f>'rockfish harvests'!P314</f>
        <v>1575323.7998180711</v>
      </c>
      <c r="O306">
        <f>IF([2]species_comp_Region1_forR!$D212&gt;49,[2]species_comp_Region1_forR!$AR212,[2]species_comp_Region1_forR!$AT212)</f>
        <v>0</v>
      </c>
      <c r="P306">
        <f>IF([2]species_comp_Region1_forR!$D212&gt;49,[2]species_comp_Region1_forR!$AS212,[2]species_comp_Region1_forR!$AU212)</f>
        <v>0</v>
      </c>
      <c r="Q306" s="13">
        <f t="shared" si="121"/>
        <v>0</v>
      </c>
      <c r="R306" s="14">
        <f t="shared" si="122"/>
        <v>0</v>
      </c>
      <c r="S306">
        <f t="shared" si="149"/>
        <v>0</v>
      </c>
      <c r="T306" s="6">
        <f t="shared" si="150"/>
        <v>0</v>
      </c>
      <c r="V306" s="13">
        <f t="shared" si="146"/>
        <v>86.747170338000004</v>
      </c>
      <c r="W306">
        <f t="shared" si="146"/>
        <v>255.03554508800002</v>
      </c>
      <c r="X306">
        <f t="shared" si="151"/>
        <v>15.969832343766168</v>
      </c>
      <c r="Y306" s="6">
        <f t="shared" si="152"/>
        <v>31.300871393781687</v>
      </c>
      <c r="Z306" s="14">
        <f t="shared" si="123"/>
        <v>0.18409629134347116</v>
      </c>
    </row>
    <row r="307" spans="1:26" x14ac:dyDescent="0.3">
      <c r="A307" t="str">
        <f>'rockfish harvests'!A315</f>
        <v>SE</v>
      </c>
      <c r="B307">
        <f>'rockfish harvests'!B315</f>
        <v>2011</v>
      </c>
      <c r="C307" t="str">
        <f>'rockfish harvests'!C315</f>
        <v>NSEO</v>
      </c>
      <c r="D307">
        <f>'rockfish harvests'!D315</f>
        <v>8950</v>
      </c>
      <c r="E307">
        <f>'YE harvest'!E316</f>
        <v>2118</v>
      </c>
      <c r="F307">
        <f>IF([2]species_comp_Region1_forR!$H191&gt;49,[2]species_comp_Region1_forR!$AV191,[2]species_comp_Region1_forR!$AX191)</f>
        <v>7.7697842000000003E-2</v>
      </c>
      <c r="G307">
        <f>IF([2]species_comp_Region1_forR!$H191&gt;49,[2]species_comp_Region1_forR!$AW191,[2]species_comp_Region1_forR!$AY191)</f>
        <v>1.0325800000000001E-4</v>
      </c>
      <c r="H307" s="13">
        <f t="shared" si="144"/>
        <v>164.56402935600002</v>
      </c>
      <c r="I307">
        <f t="shared" si="145"/>
        <v>463.20754039200006</v>
      </c>
      <c r="J307">
        <f t="shared" si="147"/>
        <v>21.522256861026449</v>
      </c>
      <c r="K307" s="6">
        <f t="shared" si="148"/>
        <v>42.183623447611836</v>
      </c>
      <c r="M307" s="2">
        <f>'rockfish harvests'!O315</f>
        <v>2109.8638720829731</v>
      </c>
      <c r="N307">
        <f>'rockfish harvests'!P315</f>
        <v>736850.51155388099</v>
      </c>
      <c r="O307">
        <f>IF([2]species_comp_Region1_forR!$D213&gt;49,[2]species_comp_Region1_forR!$AR213,[2]species_comp_Region1_forR!$AT213)</f>
        <v>3.6363635999999998E-2</v>
      </c>
      <c r="P307">
        <f>IF([2]species_comp_Region1_forR!$D213&gt;49,[2]species_comp_Region1_forR!$AS213,[2]species_comp_Region1_forR!$AU213)</f>
        <v>2.1366700000000001E-4</v>
      </c>
      <c r="Q307" s="13">
        <f t="shared" si="121"/>
        <v>76.722321853975785</v>
      </c>
      <c r="R307" s="14">
        <f t="shared" si="122"/>
        <v>2082.9325141933582</v>
      </c>
      <c r="S307">
        <f t="shared" si="149"/>
        <v>45.639155493866866</v>
      </c>
      <c r="T307" s="6">
        <f t="shared" si="150"/>
        <v>89.452744767979055</v>
      </c>
      <c r="V307" s="13">
        <f t="shared" si="146"/>
        <v>241.28635120997581</v>
      </c>
      <c r="W307">
        <f t="shared" si="146"/>
        <v>2546.1400545853585</v>
      </c>
      <c r="X307">
        <f t="shared" si="151"/>
        <v>50.45929106304763</v>
      </c>
      <c r="Y307" s="6">
        <f t="shared" si="152"/>
        <v>98.900210483573346</v>
      </c>
      <c r="Z307" s="14">
        <f t="shared" si="123"/>
        <v>0.20912617232599368</v>
      </c>
    </row>
    <row r="308" spans="1:26" x14ac:dyDescent="0.3">
      <c r="A308" t="str">
        <f>'rockfish harvests'!A316</f>
        <v>SE</v>
      </c>
      <c r="B308">
        <f>'rockfish harvests'!B316</f>
        <v>2012</v>
      </c>
      <c r="C308" t="str">
        <f>'rockfish harvests'!C316</f>
        <v>NSEO</v>
      </c>
      <c r="D308">
        <f>'rockfish harvests'!D316</f>
        <v>8600</v>
      </c>
      <c r="E308">
        <f>'YE harvest'!E317</f>
        <v>2133</v>
      </c>
      <c r="F308">
        <f>IF([2]species_comp_Region1_forR!$H192&gt;49,[2]species_comp_Region1_forR!$AV192,[2]species_comp_Region1_forR!$AX192)</f>
        <v>9.8944590999999998E-2</v>
      </c>
      <c r="G308">
        <f>IF([2]species_comp_Region1_forR!$H192&gt;49,[2]species_comp_Region1_forR!$AW192,[2]species_comp_Region1_forR!$AY192)</f>
        <v>1.17774E-4</v>
      </c>
      <c r="H308" s="13">
        <f t="shared" si="144"/>
        <v>211.04881260299999</v>
      </c>
      <c r="I308">
        <f t="shared" si="145"/>
        <v>535.83507228600001</v>
      </c>
      <c r="J308">
        <f t="shared" si="147"/>
        <v>23.148111635422879</v>
      </c>
      <c r="K308" s="6">
        <f t="shared" si="148"/>
        <v>45.370298805428838</v>
      </c>
      <c r="M308" s="2">
        <f>'rockfish harvests'!O316</f>
        <v>4056.1403508771928</v>
      </c>
      <c r="N308">
        <f>'rockfish harvests'!P316</f>
        <v>2425591.2838210762</v>
      </c>
      <c r="O308">
        <f>IF([2]species_comp_Region1_forR!$D214&gt;49,[2]species_comp_Region1_forR!$AR214,[2]species_comp_Region1_forR!$AT214)</f>
        <v>1.5564201999999999E-2</v>
      </c>
      <c r="P308">
        <f>IF([2]species_comp_Region1_forR!$D214&gt;49,[2]species_comp_Region1_forR!$AS214,[2]species_comp_Region1_forR!$AU214)</f>
        <v>5.9851400000000001E-5</v>
      </c>
      <c r="Q308" s="13">
        <f t="shared" si="121"/>
        <v>63.130587761403504</v>
      </c>
      <c r="R308" s="14">
        <f t="shared" si="122"/>
        <v>1717.4525650624948</v>
      </c>
      <c r="S308">
        <f t="shared" si="149"/>
        <v>41.442159271236036</v>
      </c>
      <c r="T308" s="6">
        <f t="shared" si="150"/>
        <v>81.226632171622626</v>
      </c>
      <c r="V308" s="13">
        <f t="shared" si="146"/>
        <v>274.17940036440348</v>
      </c>
      <c r="W308" s="14">
        <f>R308+I308</f>
        <v>2253.2876373484951</v>
      </c>
      <c r="X308">
        <f t="shared" si="151"/>
        <v>47.468806993103321</v>
      </c>
      <c r="Y308" s="6">
        <f t="shared" si="152"/>
        <v>93.038861706482507</v>
      </c>
      <c r="Z308" s="14">
        <f t="shared" si="123"/>
        <v>0.17313046468849949</v>
      </c>
    </row>
    <row r="309" spans="1:26" x14ac:dyDescent="0.3">
      <c r="A309" t="str">
        <f>'rockfish harvests'!A317</f>
        <v>SE</v>
      </c>
      <c r="B309">
        <f>'rockfish harvests'!B317</f>
        <v>2013</v>
      </c>
      <c r="C309" t="str">
        <f>'rockfish harvests'!C317</f>
        <v>NSEO</v>
      </c>
      <c r="D309">
        <f>'rockfish harvests'!D317</f>
        <v>6970</v>
      </c>
      <c r="E309">
        <f>'YE harvest'!E318</f>
        <v>1675</v>
      </c>
      <c r="F309">
        <f>IF([2]species_comp_Region1_forR!$H193&gt;49,[2]species_comp_Region1_forR!$AV193,[2]species_comp_Region1_forR!$AX193)</f>
        <v>0.131897712</v>
      </c>
      <c r="G309">
        <f>IF([2]species_comp_Region1_forR!$H193&gt;49,[2]species_comp_Region1_forR!$AW193,[2]species_comp_Region1_forR!$AY193)</f>
        <v>1.5431399999999999E-4</v>
      </c>
      <c r="H309" s="13">
        <f t="shared" si="144"/>
        <v>220.92866760000001</v>
      </c>
      <c r="I309">
        <f t="shared" si="145"/>
        <v>432.94721624999994</v>
      </c>
      <c r="J309">
        <f t="shared" si="147"/>
        <v>20.807383695457723</v>
      </c>
      <c r="K309" s="6">
        <f t="shared" si="148"/>
        <v>40.782472043097137</v>
      </c>
      <c r="M309" s="2">
        <f>'rockfish harvests'!O317</f>
        <v>3563.4638032559742</v>
      </c>
      <c r="N309">
        <f>'rockfish harvests'!P317</f>
        <v>1983952.159720307</v>
      </c>
      <c r="O309">
        <f>IF([2]species_comp_Region1_forR!$D215&gt;49,[2]species_comp_Region1_forR!$AR215,[2]species_comp_Region1_forR!$AT215)</f>
        <v>1.3071895E-2</v>
      </c>
      <c r="P309">
        <f>IF([2]species_comp_Region1_forR!$D215&gt;49,[2]species_comp_Region1_forR!$AS215,[2]species_comp_Region1_forR!$AU215)</f>
        <v>4.2298400000000001E-5</v>
      </c>
      <c r="Q309" s="13">
        <f t="shared" si="121"/>
        <v>46.581224672462753</v>
      </c>
      <c r="R309" s="14">
        <f t="shared" si="122"/>
        <v>960.04139879470176</v>
      </c>
      <c r="S309">
        <f t="shared" si="149"/>
        <v>30.984534832633873</v>
      </c>
      <c r="T309" s="6">
        <f t="shared" si="150"/>
        <v>60.729688271962388</v>
      </c>
      <c r="V309" s="13">
        <f t="shared" si="146"/>
        <v>267.50989227246276</v>
      </c>
      <c r="W309">
        <f t="shared" si="146"/>
        <v>1392.9886150447016</v>
      </c>
      <c r="X309">
        <f t="shared" si="151"/>
        <v>37.322762693089878</v>
      </c>
      <c r="Y309" s="6">
        <f t="shared" si="152"/>
        <v>73.152614878456163</v>
      </c>
      <c r="Z309" s="14">
        <f t="shared" si="123"/>
        <v>0.13951918703281482</v>
      </c>
    </row>
    <row r="310" spans="1:26" x14ac:dyDescent="0.3">
      <c r="A310" t="str">
        <f>'rockfish harvests'!A318</f>
        <v>SE</v>
      </c>
      <c r="B310">
        <f>'rockfish harvests'!B318</f>
        <v>2014</v>
      </c>
      <c r="C310" t="str">
        <f>'rockfish harvests'!C318</f>
        <v>NSEO</v>
      </c>
      <c r="D310">
        <f>'rockfish harvests'!D318</f>
        <v>8688</v>
      </c>
      <c r="E310">
        <f>'YE harvest'!E319</f>
        <v>2260</v>
      </c>
      <c r="F310">
        <f>IF([2]species_comp_Region1_forR!$H194&gt;49,[2]species_comp_Region1_forR!$AV194,[2]species_comp_Region1_forR!$AX194)</f>
        <v>0.125</v>
      </c>
      <c r="G310">
        <f>IF([2]species_comp_Region1_forR!$H194&gt;49,[2]species_comp_Region1_forR!$AW194,[2]species_comp_Region1_forR!$AY194)</f>
        <v>1.32898E-4</v>
      </c>
      <c r="H310" s="13">
        <f t="shared" si="144"/>
        <v>282.5</v>
      </c>
      <c r="I310">
        <f t="shared" si="145"/>
        <v>678.78982480000002</v>
      </c>
      <c r="J310">
        <f t="shared" si="147"/>
        <v>26.053595237509928</v>
      </c>
      <c r="K310" s="6">
        <f t="shared" si="148"/>
        <v>51.065046665519461</v>
      </c>
      <c r="M310" s="2">
        <f>'rockfish harvests'!O318</f>
        <v>9722.2508839872025</v>
      </c>
      <c r="N310">
        <f>'rockfish harvests'!P318</f>
        <v>9687106.4801495951</v>
      </c>
      <c r="O310">
        <f>IF([2]species_comp_Region1_forR!$D216&gt;49,[2]species_comp_Region1_forR!$AR216,[2]species_comp_Region1_forR!$AT216)</f>
        <v>1.4150942999999999E-2</v>
      </c>
      <c r="P310">
        <f>IF([2]species_comp_Region1_forR!$D216&gt;49,[2]species_comp_Region1_forR!$AS216,[2]species_comp_Region1_forR!$AU216)</f>
        <v>3.29804E-5</v>
      </c>
      <c r="Q310" s="13">
        <f t="shared" si="121"/>
        <v>137.5790180910025</v>
      </c>
      <c r="R310" s="14">
        <f t="shared" si="122"/>
        <v>5376.698571144997</v>
      </c>
      <c r="S310">
        <f t="shared" si="149"/>
        <v>73.325974737094342</v>
      </c>
      <c r="T310" s="6">
        <f t="shared" si="150"/>
        <v>143.71891048470491</v>
      </c>
      <c r="V310" s="13">
        <f t="shared" si="146"/>
        <v>420.07901809100247</v>
      </c>
      <c r="W310">
        <f t="shared" si="146"/>
        <v>6055.4883959449971</v>
      </c>
      <c r="X310">
        <f t="shared" si="151"/>
        <v>77.817018678082221</v>
      </c>
      <c r="Y310" s="6">
        <f t="shared" si="152"/>
        <v>152.52135660904116</v>
      </c>
      <c r="Z310" s="14">
        <f t="shared" si="123"/>
        <v>0.18524376445105997</v>
      </c>
    </row>
    <row r="311" spans="1:26" x14ac:dyDescent="0.3">
      <c r="A311" t="str">
        <f>'rockfish harvests'!A319</f>
        <v>SE</v>
      </c>
      <c r="B311">
        <f>'rockfish harvests'!B319</f>
        <v>2015</v>
      </c>
      <c r="C311" t="str">
        <f>'rockfish harvests'!C319</f>
        <v>NSEO</v>
      </c>
      <c r="D311">
        <f>'rockfish harvests'!D319</f>
        <v>9156</v>
      </c>
      <c r="E311">
        <f>'YE harvest'!E320</f>
        <v>2579</v>
      </c>
      <c r="F311">
        <f>IF([2]species_comp_Region1_forR!$H195&gt;49,[2]species_comp_Region1_forR!$AV195,[2]species_comp_Region1_forR!$AX195)</f>
        <v>9.6544715000000003E-2</v>
      </c>
      <c r="G311">
        <f>IF([2]species_comp_Region1_forR!$H195&gt;49,[2]species_comp_Region1_forR!$AW195,[2]species_comp_Region1_forR!$AY195)</f>
        <v>8.8732299999999997E-5</v>
      </c>
      <c r="H311" s="13">
        <f t="shared" si="144"/>
        <v>248.98881998500002</v>
      </c>
      <c r="I311">
        <f t="shared" si="145"/>
        <v>590.17991178429997</v>
      </c>
      <c r="J311">
        <f t="shared" si="147"/>
        <v>24.293618746170772</v>
      </c>
      <c r="K311" s="6">
        <f t="shared" si="148"/>
        <v>47.615492742494709</v>
      </c>
      <c r="M311" s="2">
        <f>'rockfish harvests'!O319</f>
        <v>4529.4803554223308</v>
      </c>
      <c r="N311">
        <f>'rockfish harvests'!P319</f>
        <v>3708908.4909766819</v>
      </c>
      <c r="O311">
        <f>IF([2]species_comp_Region1_forR!$D217&gt;49,[2]species_comp_Region1_forR!$AR217,[2]species_comp_Region1_forR!$AT217)</f>
        <v>1.2779553000000001E-2</v>
      </c>
      <c r="P311">
        <f>IF([2]species_comp_Region1_forR!$D217&gt;49,[2]species_comp_Region1_forR!$AS217,[2]species_comp_Region1_forR!$AU217)</f>
        <v>4.0436699999999999E-5</v>
      </c>
      <c r="Q311" s="52">
        <f>M311*O311</f>
        <v>57.884734264578519</v>
      </c>
      <c r="R311" s="14">
        <f t="shared" si="122"/>
        <v>1585.3108476088096</v>
      </c>
      <c r="S311">
        <f t="shared" si="149"/>
        <v>39.815962221310308</v>
      </c>
      <c r="T311" s="6">
        <f t="shared" si="150"/>
        <v>78.0392859537682</v>
      </c>
      <c r="V311" s="13">
        <f>Q311+H311</f>
        <v>306.87355424957855</v>
      </c>
      <c r="W311">
        <f t="shared" si="146"/>
        <v>2175.4907593931093</v>
      </c>
      <c r="X311">
        <f t="shared" si="151"/>
        <v>46.642156461650757</v>
      </c>
      <c r="Y311" s="6">
        <f t="shared" si="152"/>
        <v>91.418626664835486</v>
      </c>
      <c r="Z311" s="14">
        <f t="shared" si="123"/>
        <v>0.15199144994982836</v>
      </c>
    </row>
    <row r="312" spans="1:26" x14ac:dyDescent="0.3">
      <c r="A312" t="str">
        <f>'rockfish harvests'!A320</f>
        <v>SE</v>
      </c>
      <c r="B312">
        <f>'rockfish harvests'!B320</f>
        <v>2016</v>
      </c>
      <c r="C312" t="str">
        <f>'rockfish harvests'!C320</f>
        <v>NSEO</v>
      </c>
      <c r="D312">
        <f>'rockfish harvests'!D320</f>
        <v>5839</v>
      </c>
      <c r="E312">
        <f>'YE harvest'!E321</f>
        <v>1492</v>
      </c>
      <c r="F312">
        <f>IF([2]species_comp_Region1_forR!$H196&gt;49,[2]species_comp_Region1_forR!$AV196,[2]species_comp_Region1_forR!$AX196)</f>
        <v>6.9518716999999994E-2</v>
      </c>
      <c r="G312">
        <f>IF([2]species_comp_Region1_forR!$H196&gt;49,[2]species_comp_Region1_forR!$AW196,[2]species_comp_Region1_forR!$AY196)</f>
        <v>8.6594200000000005E-5</v>
      </c>
      <c r="H312" s="13">
        <f t="shared" si="144"/>
        <v>103.72192576399999</v>
      </c>
      <c r="I312">
        <f t="shared" si="145"/>
        <v>192.76423122880001</v>
      </c>
      <c r="J312">
        <f t="shared" si="147"/>
        <v>13.883955892640973</v>
      </c>
      <c r="K312" s="6">
        <f t="shared" si="148"/>
        <v>27.212553549576306</v>
      </c>
      <c r="M312" s="2">
        <f>'rockfish harvests'!O320</f>
        <v>1660.6278507924235</v>
      </c>
      <c r="N312">
        <f>'rockfish harvests'!P320</f>
        <v>405106.18509878113</v>
      </c>
      <c r="O312">
        <f>IF([2]species_comp_Region1_forR!$D218&gt;49,[2]species_comp_Region1_forR!$AR218,[2]species_comp_Region1_forR!$AT218)</f>
        <v>9.9601589999999997E-3</v>
      </c>
      <c r="P312">
        <f>IF([2]species_comp_Region1_forR!$D218&gt;49,[2]species_comp_Region1_forR!$AS218,[2]species_comp_Region1_forR!$AU218)</f>
        <v>1.96825E-5</v>
      </c>
      <c r="Q312" s="13">
        <f t="shared" si="121"/>
        <v>16.540117433720813</v>
      </c>
      <c r="R312" s="14">
        <f t="shared" si="122"/>
        <v>102.44009954873299</v>
      </c>
      <c r="S312">
        <f t="shared" si="149"/>
        <v>10.121269660903863</v>
      </c>
      <c r="T312" s="6">
        <f t="shared" si="150"/>
        <v>19.837688535371573</v>
      </c>
      <c r="V312" s="13">
        <f t="shared" si="146"/>
        <v>120.2620431977208</v>
      </c>
      <c r="W312">
        <f t="shared" si="146"/>
        <v>295.20433077753302</v>
      </c>
      <c r="X312">
        <f t="shared" si="151"/>
        <v>17.181511306562442</v>
      </c>
      <c r="Y312" s="6">
        <f t="shared" si="152"/>
        <v>33.675762160862384</v>
      </c>
      <c r="Z312" s="14">
        <f t="shared" si="123"/>
        <v>0.14286728255825995</v>
      </c>
    </row>
    <row r="313" spans="1:26" x14ac:dyDescent="0.3">
      <c r="A313" t="str">
        <f>'rockfish harvests'!A321</f>
        <v>SE</v>
      </c>
      <c r="B313">
        <f>'rockfish harvests'!B321</f>
        <v>2017</v>
      </c>
      <c r="C313" t="str">
        <f>'rockfish harvests'!C321</f>
        <v>NSEO</v>
      </c>
      <c r="D313">
        <f>'rockfish harvests'!D321</f>
        <v>9211</v>
      </c>
      <c r="E313">
        <f>'YE harvest'!E322</f>
        <v>1716</v>
      </c>
      <c r="F313">
        <f>IF([2]species_comp_Region1_forR!$H197&gt;49,[2]species_comp_Region1_forR!$AV197,[2]species_comp_Region1_forR!$AX197)</f>
        <v>8.1939798999999994E-2</v>
      </c>
      <c r="G313">
        <f>IF([2]species_comp_Region1_forR!$H197&gt;49,[2]species_comp_Region1_forR!$AW197,[2]species_comp_Region1_forR!$AY197)</f>
        <v>1.2600600000000001E-4</v>
      </c>
      <c r="H313" s="13">
        <f t="shared" si="144"/>
        <v>140.60869508399998</v>
      </c>
      <c r="I313">
        <f t="shared" si="145"/>
        <v>371.04432393600001</v>
      </c>
      <c r="J313">
        <f t="shared" si="147"/>
        <v>19.262510841943737</v>
      </c>
      <c r="K313" s="6">
        <f t="shared" si="148"/>
        <v>37.75452125020972</v>
      </c>
      <c r="M313" s="2">
        <f>'rockfish harvests'!O321</f>
        <v>6867.0171471927151</v>
      </c>
      <c r="N313">
        <f>'rockfish harvests'!P321</f>
        <v>4662505.6656814301</v>
      </c>
      <c r="O313">
        <f>IF([2]species_comp_Region1_forR!$D219&gt;49,[2]species_comp_Region1_forR!$AR219,[2]species_comp_Region1_forR!$AT219)</f>
        <v>9.7465889999999999E-3</v>
      </c>
      <c r="P313">
        <f>IF([2]species_comp_Region1_forR!$D219&gt;49,[2]species_comp_Region1_forR!$AS219,[2]species_comp_Region1_forR!$AU219)</f>
        <v>1.8850799999999999E-5</v>
      </c>
      <c r="Q313" s="13">
        <f t="shared" si="121"/>
        <v>66.929993789639894</v>
      </c>
      <c r="R313" s="14">
        <f t="shared" si="122"/>
        <v>1419.7382382228143</v>
      </c>
      <c r="S313">
        <f t="shared" si="149"/>
        <v>37.679413984599258</v>
      </c>
      <c r="T313" s="6">
        <f t="shared" si="150"/>
        <v>73.851651409814536</v>
      </c>
      <c r="V313" s="13">
        <f t="shared" si="146"/>
        <v>207.53868887363987</v>
      </c>
      <c r="W313">
        <f t="shared" si="146"/>
        <v>1790.7825621588142</v>
      </c>
      <c r="X313">
        <f t="shared" si="151"/>
        <v>42.317638901040006</v>
      </c>
      <c r="Y313" s="6">
        <f t="shared" si="152"/>
        <v>82.942572246038409</v>
      </c>
      <c r="Z313" s="14">
        <f t="shared" si="123"/>
        <v>0.20390241034434375</v>
      </c>
    </row>
    <row r="314" spans="1:26" x14ac:dyDescent="0.3">
      <c r="A314" t="str">
        <f>'rockfish harvests'!A322</f>
        <v>SE</v>
      </c>
      <c r="B314">
        <f>'rockfish harvests'!B322</f>
        <v>2018</v>
      </c>
      <c r="C314" t="str">
        <f>'rockfish harvests'!C322</f>
        <v>NSEO</v>
      </c>
      <c r="D314">
        <f>'rockfish harvests'!D322</f>
        <v>11024</v>
      </c>
      <c r="E314">
        <f>'YE harvest'!E323</f>
        <v>1835</v>
      </c>
      <c r="F314">
        <f>IF([2]species_comp_Region1_forR!$H198&gt;49,[2]species_comp_Region1_forR!$AV198,[2]species_comp_Region1_forR!$AX198)</f>
        <v>0.117957746</v>
      </c>
      <c r="G314">
        <f>IF([2]species_comp_Region1_forR!$H198&gt;49,[2]species_comp_Region1_forR!$AW198,[2]species_comp_Region1_forR!$AY198)</f>
        <v>1.83499E-4</v>
      </c>
      <c r="H314" s="13">
        <f t="shared" si="144"/>
        <v>216.45246391000001</v>
      </c>
      <c r="I314">
        <f t="shared" si="145"/>
        <v>617.88242027499996</v>
      </c>
      <c r="J314">
        <f t="shared" si="147"/>
        <v>24.857240801726164</v>
      </c>
      <c r="K314" s="6">
        <f t="shared" si="148"/>
        <v>48.720191971383279</v>
      </c>
      <c r="M314" s="2">
        <f>'rockfish harvests'!O322</f>
        <v>7836.8836407058479</v>
      </c>
      <c r="N314">
        <f>'rockfish harvests'!P322</f>
        <v>7422148.5356027149</v>
      </c>
      <c r="O314">
        <f>IF([2]species_comp_Region1_forR!$D220&gt;49,[2]species_comp_Region1_forR!$AR220,[2]species_comp_Region1_forR!$AT220)</f>
        <v>1.6985138E-2</v>
      </c>
      <c r="P314">
        <f>IF([2]species_comp_Region1_forR!$D220&gt;49,[2]species_comp_Region1_forR!$AS220,[2]species_comp_Region1_forR!$AU220)</f>
        <v>3.5524800000000002E-5</v>
      </c>
      <c r="Q314" s="13">
        <f t="shared" si="121"/>
        <v>133.11055012733124</v>
      </c>
      <c r="R314" s="14">
        <f t="shared" si="122"/>
        <v>4586.7400272602035</v>
      </c>
      <c r="S314">
        <f t="shared" si="149"/>
        <v>67.725475467213982</v>
      </c>
      <c r="T314" s="6">
        <f t="shared" si="150"/>
        <v>132.7419319157394</v>
      </c>
      <c r="V314" s="13">
        <f t="shared" si="146"/>
        <v>349.56301403733124</v>
      </c>
      <c r="W314">
        <f t="shared" si="146"/>
        <v>5204.6224475352037</v>
      </c>
      <c r="X314">
        <f t="shared" si="151"/>
        <v>72.143069296608132</v>
      </c>
      <c r="Y314" s="6">
        <f t="shared" si="152"/>
        <v>141.40041582135194</v>
      </c>
      <c r="Z314" s="14">
        <f t="shared" si="123"/>
        <v>0.20638072793623322</v>
      </c>
    </row>
    <row r="315" spans="1:26" x14ac:dyDescent="0.3">
      <c r="A315" t="str">
        <f>'rockfish harvests'!A323</f>
        <v>SE</v>
      </c>
      <c r="B315">
        <f>'rockfish harvests'!B323</f>
        <v>2019</v>
      </c>
      <c r="C315" t="str">
        <f>'rockfish harvests'!C323</f>
        <v>NSEO</v>
      </c>
      <c r="D315">
        <f>'rockfish harvests'!D323</f>
        <v>11553</v>
      </c>
      <c r="E315">
        <f>'YE harvest'!E324</f>
        <v>1628</v>
      </c>
      <c r="F315">
        <v>0.24874791318864775</v>
      </c>
      <c r="G315">
        <v>3.1249563356679048E-4</v>
      </c>
      <c r="H315" s="13">
        <f>E315*F315</f>
        <v>404.96160267111856</v>
      </c>
      <c r="I315">
        <f>(E315^2)*G315</f>
        <v>828.23342727528438</v>
      </c>
      <c r="K315" s="6"/>
      <c r="M315" s="2">
        <f>'rockfish harvests'!O323</f>
        <v>6640.6634516724807</v>
      </c>
      <c r="N315">
        <f>'rockfish harvests'!P323</f>
        <v>4892127.8553123055</v>
      </c>
      <c r="O315">
        <v>2.1346469622331693E-2</v>
      </c>
      <c r="P315">
        <v>3.4359864896372641E-5</v>
      </c>
      <c r="Q315" s="13">
        <f>M315*O315</f>
        <v>141.75472064325493</v>
      </c>
      <c r="R315" s="14">
        <f t="shared" si="122"/>
        <v>3912.5128350472105</v>
      </c>
      <c r="S315">
        <f>SQRT(R315)</f>
        <v>62.550082614231698</v>
      </c>
      <c r="T315" s="6">
        <f>(1.96*S315)</f>
        <v>122.59816192389412</v>
      </c>
      <c r="V315" s="13">
        <f>Q315+H315</f>
        <v>546.71632331437354</v>
      </c>
      <c r="W315">
        <f>R315+I315</f>
        <v>4740.7462623224947</v>
      </c>
      <c r="X315">
        <f>SQRT(W315)</f>
        <v>68.853077362762036</v>
      </c>
      <c r="Y315" s="6">
        <f>(1.96*X315)</f>
        <v>134.9520316310136</v>
      </c>
      <c r="Z315" s="14">
        <f t="shared" si="123"/>
        <v>0.12593931153427451</v>
      </c>
    </row>
    <row r="316" spans="1:26" x14ac:dyDescent="0.3">
      <c r="A316" t="str">
        <f>'rockfish harvests'!A324</f>
        <v>SE</v>
      </c>
      <c r="B316">
        <f>'rockfish harvests'!B324</f>
        <v>2020</v>
      </c>
      <c r="C316" t="str">
        <f>'rockfish harvests'!C324</f>
        <v>NSEO</v>
      </c>
      <c r="D316">
        <f>'rockfish harvests'!D324</f>
        <v>3314</v>
      </c>
      <c r="E316">
        <f>'YE harvest'!E325</f>
        <v>172</v>
      </c>
      <c r="F316" s="26" t="str">
        <f>F241</f>
        <v>0.992647058823529</v>
      </c>
      <c r="G316" s="26" t="str">
        <f>G241</f>
        <v>2.28446805399873e-06</v>
      </c>
      <c r="H316" s="13">
        <f t="shared" ref="H316:H317" si="153">E316*F316</f>
        <v>170.73529411764699</v>
      </c>
      <c r="I316">
        <f t="shared" ref="I316:I317" si="154">(E316^2)*G316</f>
        <v>6.758370290949843E-2</v>
      </c>
      <c r="J316">
        <f t="shared" ref="J316" si="155">SQRT(I316)</f>
        <v>0.25996865755221038</v>
      </c>
      <c r="K316" s="6">
        <f t="shared" ref="K316" si="156">(1.96*J316)</f>
        <v>0.50953856880233228</v>
      </c>
      <c r="M316" s="2">
        <f>'rockfish harvests'!O324</f>
        <v>1085.5719163465646</v>
      </c>
      <c r="N316">
        <f>'rockfish harvests'!P324</f>
        <v>110201.41937596143</v>
      </c>
      <c r="O316" s="26" t="str">
        <f>O241</f>
        <v>0.0513513513513513</v>
      </c>
      <c r="P316" s="26" t="str">
        <f>P241</f>
        <v>0.000132017317251332</v>
      </c>
      <c r="Q316" s="13">
        <f t="shared" ref="Q316:Q317" si="157">M316*O316</f>
        <v>55.745584893472184</v>
      </c>
      <c r="R316" s="14">
        <f t="shared" si="122"/>
        <v>460.72334294952913</v>
      </c>
      <c r="S316">
        <f t="shared" ref="S316:S317" si="158">SQRT(R316)</f>
        <v>21.464466984985421</v>
      </c>
      <c r="T316" s="6">
        <f t="shared" ref="T316:T317" si="159">(1.96*S316)</f>
        <v>42.070355290571428</v>
      </c>
      <c r="V316" s="13">
        <f t="shared" ref="V316:V317" si="160">Q316+H316</f>
        <v>226.48087901111916</v>
      </c>
      <c r="W316">
        <f t="shared" ref="W316:W317" si="161">R316+I316</f>
        <v>460.7909266524386</v>
      </c>
      <c r="X316">
        <f t="shared" ref="X316:X317" si="162">SQRT(W316)</f>
        <v>21.466041243145849</v>
      </c>
      <c r="Y316" s="6">
        <f t="shared" ref="Y316:Y317" si="163">(1.96*X316)</f>
        <v>42.073440836565865</v>
      </c>
      <c r="Z316" s="14">
        <f t="shared" ref="Z316:Z317" si="164">X316/V316</f>
        <v>9.4780810357469367E-2</v>
      </c>
    </row>
    <row r="317" spans="1:26" x14ac:dyDescent="0.3">
      <c r="A317" t="str">
        <f>'rockfish harvests'!A325</f>
        <v>SE</v>
      </c>
      <c r="B317">
        <f>'rockfish harvests'!B325</f>
        <v>2021</v>
      </c>
      <c r="C317" t="str">
        <f>'rockfish harvests'!C325</f>
        <v>NSEO</v>
      </c>
      <c r="D317">
        <f>'rockfish harvests'!D325</f>
        <v>9732</v>
      </c>
      <c r="E317">
        <f>'YE harvest'!E326</f>
        <v>638</v>
      </c>
      <c r="F317" s="26" t="str">
        <f t="shared" ref="F317:G317" si="165">F242</f>
        <v>0.984375</v>
      </c>
      <c r="G317" s="26" t="str">
        <f t="shared" si="165"/>
        <v>1.67456280620577e-06</v>
      </c>
      <c r="H317" s="13">
        <f t="shared" si="153"/>
        <v>628.03125</v>
      </c>
      <c r="I317">
        <f t="shared" si="154"/>
        <v>0.68162074288922136</v>
      </c>
      <c r="K317" s="6"/>
      <c r="M317" s="2">
        <f>'rockfish harvests'!O325</f>
        <v>6262.8946783553529</v>
      </c>
      <c r="N317">
        <f>'rockfish harvests'!P325</f>
        <v>3588518.0359388059</v>
      </c>
      <c r="O317" s="26" t="str">
        <f>O242</f>
        <v>0.0319148936170213</v>
      </c>
      <c r="P317" s="26" t="str">
        <f>P242</f>
        <v>6.58770430329115e-05</v>
      </c>
      <c r="Q317" s="13">
        <f t="shared" si="157"/>
        <v>199.87961739431992</v>
      </c>
      <c r="R317" s="14">
        <f t="shared" si="122"/>
        <v>6475.4746853229617</v>
      </c>
      <c r="S317">
        <f t="shared" si="158"/>
        <v>80.470334194179671</v>
      </c>
      <c r="T317" s="6">
        <f t="shared" si="159"/>
        <v>157.72185502059216</v>
      </c>
      <c r="V317" s="13">
        <f t="shared" si="160"/>
        <v>827.91086739431989</v>
      </c>
      <c r="W317">
        <f t="shared" si="161"/>
        <v>6476.1563060658509</v>
      </c>
      <c r="X317">
        <f t="shared" si="162"/>
        <v>80.474569312708041</v>
      </c>
      <c r="Y317" s="6">
        <f t="shared" si="163"/>
        <v>157.73015585290776</v>
      </c>
      <c r="Z317" s="14">
        <f t="shared" si="164"/>
        <v>9.7201972436942743E-2</v>
      </c>
    </row>
    <row r="318" spans="1:26" x14ac:dyDescent="0.3">
      <c r="A318" t="str">
        <f>'rockfish harvests'!A326</f>
        <v>SE</v>
      </c>
      <c r="B318">
        <f>'rockfish harvests'!B326</f>
        <v>2022</v>
      </c>
      <c r="C318" t="str">
        <f>'rockfish harvests'!C326</f>
        <v>NSEO</v>
      </c>
      <c r="D318">
        <f>'rockfish harvests'!D326</f>
        <v>10558</v>
      </c>
      <c r="E318">
        <f>'YE harvest'!E327</f>
        <v>884</v>
      </c>
      <c r="F318" t="s">
        <v>272</v>
      </c>
      <c r="G318" t="s">
        <v>273</v>
      </c>
      <c r="H318" s="13">
        <f t="shared" ref="H318" si="166">E318*F318</f>
        <v>884</v>
      </c>
      <c r="I318">
        <f t="shared" ref="I318" si="167">(E318^2)*G318</f>
        <v>0</v>
      </c>
      <c r="K318" s="6"/>
      <c r="M318" s="2">
        <f>'rockfish harvests'!O326</f>
        <v>4984.0158085410021</v>
      </c>
      <c r="N318">
        <f>'rockfish harvests'!P326</f>
        <v>3116937.6581412847</v>
      </c>
      <c r="O318" t="s">
        <v>220</v>
      </c>
      <c r="P318" t="s">
        <v>253</v>
      </c>
      <c r="Q318" s="13">
        <f t="shared" ref="Q318" si="168">M318*O318</f>
        <v>130.01780370106948</v>
      </c>
      <c r="R318" s="14">
        <f t="shared" si="122"/>
        <v>3668.6541353934376</v>
      </c>
      <c r="S318">
        <f t="shared" ref="S318" si="169">SQRT(R318)</f>
        <v>60.569415841606379</v>
      </c>
      <c r="T318" s="6"/>
      <c r="V318" s="13">
        <f t="shared" ref="V318" si="170">Q318+H318</f>
        <v>1014.0178037010695</v>
      </c>
      <c r="W318">
        <f t="shared" ref="W318" si="171">R318+I318</f>
        <v>3668.6541353934376</v>
      </c>
      <c r="X318">
        <f t="shared" ref="X318" si="172">SQRT(W318)</f>
        <v>60.569415841606379</v>
      </c>
      <c r="Y318" s="6">
        <f t="shared" ref="Y318" si="173">(1.96*X318)</f>
        <v>118.7160550495485</v>
      </c>
      <c r="Z318" s="14">
        <f t="shared" ref="Z318" si="174">X318/V318</f>
        <v>5.97321029478316E-2</v>
      </c>
    </row>
    <row r="319" spans="1:26" x14ac:dyDescent="0.3">
      <c r="A319" t="str">
        <f>'rockfish harvests'!A327</f>
        <v>SE</v>
      </c>
      <c r="B319">
        <f>'rockfish harvests'!B327</f>
        <v>1998</v>
      </c>
      <c r="C319" t="str">
        <f>'rockfish harvests'!C327</f>
        <v>SSEI</v>
      </c>
      <c r="D319">
        <f>'rockfish harvests'!D327</f>
        <v>6261</v>
      </c>
      <c r="E319">
        <f>'YE harvest'!E328</f>
        <v>3492</v>
      </c>
      <c r="F319" s="32">
        <v>0.17226786899999999</v>
      </c>
      <c r="G319" s="32">
        <v>1.0741590000000001E-3</v>
      </c>
      <c r="H319" s="13">
        <f t="shared" si="144"/>
        <v>601.55939854799999</v>
      </c>
      <c r="I319">
        <f t="shared" si="145"/>
        <v>13098.363592176001</v>
      </c>
      <c r="J319">
        <f t="shared" si="147"/>
        <v>114.44808251856385</v>
      </c>
      <c r="K319" s="6">
        <f t="shared" si="148"/>
        <v>224.31824173638515</v>
      </c>
      <c r="M319" s="2">
        <f>'rockfish harvests'!O327</f>
        <v>7422.4767633387146</v>
      </c>
      <c r="N319">
        <f>'rockfish harvests'!P327</f>
        <v>2528282.455604976</v>
      </c>
      <c r="O319" s="32">
        <v>0.112032852</v>
      </c>
      <c r="P319" s="32">
        <v>1.0560649999999999E-3</v>
      </c>
      <c r="Q319" s="13">
        <f t="shared" si="121"/>
        <v>831.56124070056524</v>
      </c>
      <c r="R319" s="14">
        <f t="shared" si="122"/>
        <v>92585.373100254626</v>
      </c>
      <c r="S319">
        <f t="shared" si="149"/>
        <v>304.27844665742367</v>
      </c>
      <c r="T319" s="6">
        <f t="shared" si="150"/>
        <v>596.38575544855041</v>
      </c>
      <c r="V319" s="13">
        <f t="shared" si="146"/>
        <v>1433.1206392485651</v>
      </c>
      <c r="W319">
        <f t="shared" si="146"/>
        <v>105683.73669243063</v>
      </c>
      <c r="X319">
        <f t="shared" si="151"/>
        <v>325.09035158311087</v>
      </c>
      <c r="Y319" s="6">
        <f t="shared" si="152"/>
        <v>637.1770891028973</v>
      </c>
      <c r="Z319" s="14">
        <f t="shared" si="123"/>
        <v>0.22684088323057508</v>
      </c>
    </row>
    <row r="320" spans="1:26" x14ac:dyDescent="0.3">
      <c r="A320" t="str">
        <f>'rockfish harvests'!A328</f>
        <v>SE</v>
      </c>
      <c r="B320">
        <f>'rockfish harvests'!B328</f>
        <v>1999</v>
      </c>
      <c r="C320" t="str">
        <f>'rockfish harvests'!C328</f>
        <v>SSEI</v>
      </c>
      <c r="D320">
        <f>'rockfish harvests'!D328</f>
        <v>7370</v>
      </c>
      <c r="E320">
        <f>'YE harvest'!E329</f>
        <v>3538</v>
      </c>
      <c r="F320" s="32">
        <v>0.17226786899999999</v>
      </c>
      <c r="G320" s="32">
        <v>1.0741590000000001E-3</v>
      </c>
      <c r="H320" s="13">
        <f t="shared" si="144"/>
        <v>609.483720522</v>
      </c>
      <c r="I320">
        <f t="shared" si="145"/>
        <v>13445.725129596001</v>
      </c>
      <c r="J320">
        <f t="shared" si="147"/>
        <v>115.95570330775456</v>
      </c>
      <c r="K320" s="6">
        <f t="shared" si="148"/>
        <v>227.27317848319893</v>
      </c>
      <c r="M320" s="2">
        <f>'rockfish harvests'!O328</f>
        <v>8737.2071148069517</v>
      </c>
      <c r="N320">
        <f>'rockfish harvests'!P328</f>
        <v>3503266.3626943887</v>
      </c>
      <c r="O320" s="32">
        <v>0.112032852</v>
      </c>
      <c r="P320" s="32">
        <v>1.0560649999999999E-3</v>
      </c>
      <c r="Q320" s="13">
        <f t="shared" si="121"/>
        <v>978.85423158651429</v>
      </c>
      <c r="R320" s="14">
        <f t="shared" si="122"/>
        <v>128289.15635615567</v>
      </c>
      <c r="S320">
        <f t="shared" si="149"/>
        <v>358.17475672659521</v>
      </c>
      <c r="T320" s="6">
        <f t="shared" si="150"/>
        <v>702.02252318412661</v>
      </c>
      <c r="V320" s="13">
        <f t="shared" si="146"/>
        <v>1588.3379521085144</v>
      </c>
      <c r="W320">
        <f t="shared" si="146"/>
        <v>141734.88148575166</v>
      </c>
      <c r="X320">
        <f t="shared" si="151"/>
        <v>376.47693353743688</v>
      </c>
      <c r="Y320" s="6">
        <f t="shared" si="152"/>
        <v>737.89478973337623</v>
      </c>
      <c r="Z320" s="14">
        <f t="shared" si="123"/>
        <v>0.23702571171183359</v>
      </c>
    </row>
    <row r="321" spans="1:26" x14ac:dyDescent="0.3">
      <c r="A321" t="str">
        <f>'rockfish harvests'!A329</f>
        <v>SE</v>
      </c>
      <c r="B321">
        <f>'rockfish harvests'!B329</f>
        <v>2000</v>
      </c>
      <c r="C321" t="str">
        <f>'rockfish harvests'!C329</f>
        <v>SSEI</v>
      </c>
      <c r="D321">
        <f>'rockfish harvests'!D329</f>
        <v>11989</v>
      </c>
      <c r="E321">
        <f>'YE harvest'!E330</f>
        <v>6877</v>
      </c>
      <c r="F321" s="32">
        <v>0.17226786899999999</v>
      </c>
      <c r="G321" s="32">
        <v>1.0741590000000001E-3</v>
      </c>
      <c r="H321" s="13">
        <f t="shared" si="144"/>
        <v>1184.6861351129999</v>
      </c>
      <c r="I321">
        <f t="shared" si="145"/>
        <v>50800.340153511002</v>
      </c>
      <c r="J321">
        <f t="shared" si="147"/>
        <v>225.3893079840102</v>
      </c>
      <c r="K321" s="6">
        <f t="shared" si="148"/>
        <v>441.76304364865996</v>
      </c>
      <c r="M321" s="2">
        <f>'rockfish harvests'!O329</f>
        <v>14213.076811318933</v>
      </c>
      <c r="N321">
        <f>'rockfish harvests'!P329</f>
        <v>9270520.1843895838</v>
      </c>
      <c r="O321" s="32">
        <v>0.112032852</v>
      </c>
      <c r="P321" s="32">
        <v>1.0560649999999999E-3</v>
      </c>
      <c r="Q321" s="13">
        <f t="shared" si="121"/>
        <v>1592.331530867126</v>
      </c>
      <c r="R321" s="14">
        <f t="shared" si="122"/>
        <v>339485.23757792346</v>
      </c>
      <c r="S321">
        <f t="shared" si="149"/>
        <v>582.65361714995254</v>
      </c>
      <c r="T321" s="6">
        <f t="shared" si="150"/>
        <v>1142.001089613907</v>
      </c>
      <c r="V321" s="13">
        <f t="shared" si="146"/>
        <v>2777.0176659801259</v>
      </c>
      <c r="W321">
        <f t="shared" si="146"/>
        <v>390285.57773143449</v>
      </c>
      <c r="X321">
        <f t="shared" si="151"/>
        <v>624.72840317327859</v>
      </c>
      <c r="Y321" s="6">
        <f t="shared" si="152"/>
        <v>1224.4676702196259</v>
      </c>
      <c r="Z321" s="14">
        <f t="shared" si="123"/>
        <v>0.22496378428791369</v>
      </c>
    </row>
    <row r="322" spans="1:26" x14ac:dyDescent="0.3">
      <c r="A322" t="str">
        <f>'rockfish harvests'!A330</f>
        <v>SE</v>
      </c>
      <c r="B322">
        <f>'rockfish harvests'!B330</f>
        <v>2001</v>
      </c>
      <c r="C322" t="str">
        <f>'rockfish harvests'!C330</f>
        <v>SSEI</v>
      </c>
      <c r="D322">
        <f>'rockfish harvests'!D330</f>
        <v>9348</v>
      </c>
      <c r="E322">
        <f>'YE harvest'!E331</f>
        <v>4834</v>
      </c>
      <c r="F322" s="32">
        <v>0.17226786899999999</v>
      </c>
      <c r="G322" s="32">
        <v>1.0741590000000001E-3</v>
      </c>
      <c r="H322" s="13">
        <f t="shared" si="144"/>
        <v>832.74287874599997</v>
      </c>
      <c r="I322">
        <f t="shared" si="145"/>
        <v>25100.470585404004</v>
      </c>
      <c r="J322">
        <f t="shared" si="147"/>
        <v>158.43128032495352</v>
      </c>
      <c r="K322" s="6">
        <f t="shared" si="148"/>
        <v>310.52530943690891</v>
      </c>
      <c r="M322" s="2">
        <f>'rockfish harvests'!O330</f>
        <v>11082.145469364368</v>
      </c>
      <c r="N322">
        <f>'rockfish harvests'!P330</f>
        <v>5636059.7796220118</v>
      </c>
      <c r="O322" s="32">
        <v>0.112032852</v>
      </c>
      <c r="P322" s="32">
        <v>1.0560649999999999E-3</v>
      </c>
      <c r="Q322" s="13">
        <f t="shared" si="121"/>
        <v>1241.5643632117688</v>
      </c>
      <c r="R322" s="14">
        <f t="shared" si="122"/>
        <v>206391.77254694075</v>
      </c>
      <c r="S322">
        <f t="shared" si="149"/>
        <v>454.30361273815635</v>
      </c>
      <c r="T322" s="6">
        <f t="shared" si="150"/>
        <v>890.43508096678647</v>
      </c>
      <c r="V322" s="13">
        <f t="shared" si="146"/>
        <v>2074.3072419577688</v>
      </c>
      <c r="W322">
        <f t="shared" si="146"/>
        <v>231492.24313234474</v>
      </c>
      <c r="X322">
        <f t="shared" si="151"/>
        <v>481.13640803034718</v>
      </c>
      <c r="Y322" s="6">
        <f t="shared" si="152"/>
        <v>943.02735973948052</v>
      </c>
      <c r="Z322" s="14">
        <f t="shared" si="123"/>
        <v>0.2319504065252368</v>
      </c>
    </row>
    <row r="323" spans="1:26" x14ac:dyDescent="0.3">
      <c r="A323" t="str">
        <f>'rockfish harvests'!A331</f>
        <v>SE</v>
      </c>
      <c r="B323">
        <f>'rockfish harvests'!B331</f>
        <v>2002</v>
      </c>
      <c r="C323" t="str">
        <f>'rockfish harvests'!C331</f>
        <v>SSEI</v>
      </c>
      <c r="D323">
        <f>'rockfish harvests'!D331</f>
        <v>8033</v>
      </c>
      <c r="E323">
        <f>'YE harvest'!E332</f>
        <v>4064</v>
      </c>
      <c r="F323" s="32">
        <v>0.17226786899999999</v>
      </c>
      <c r="G323" s="32">
        <v>1.0741590000000001E-3</v>
      </c>
      <c r="H323" s="13">
        <f t="shared" si="144"/>
        <v>700.096619616</v>
      </c>
      <c r="I323">
        <f t="shared" si="145"/>
        <v>17740.913163264002</v>
      </c>
      <c r="J323">
        <f t="shared" si="147"/>
        <v>133.19501928850042</v>
      </c>
      <c r="K323" s="6">
        <f t="shared" si="148"/>
        <v>261.06223780546082</v>
      </c>
      <c r="M323" s="2">
        <f>'rockfish harvests'!O331</f>
        <v>9523.200102204104</v>
      </c>
      <c r="N323">
        <f>'rockfish harvests'!P331</f>
        <v>4161919.8980246014</v>
      </c>
      <c r="O323" s="32">
        <v>0.112032852</v>
      </c>
      <c r="P323" s="32">
        <v>1.0560649999999999E-3</v>
      </c>
      <c r="Q323" s="13">
        <f t="shared" si="121"/>
        <v>1066.9112676166174</v>
      </c>
      <c r="R323" s="14">
        <f t="shared" si="122"/>
        <v>152408.96273979708</v>
      </c>
      <c r="S323">
        <f t="shared" si="149"/>
        <v>390.39590512683031</v>
      </c>
      <c r="T323" s="6">
        <f t="shared" si="150"/>
        <v>765.17597404858736</v>
      </c>
      <c r="V323" s="13">
        <f t="shared" si="146"/>
        <v>1767.0078872326173</v>
      </c>
      <c r="W323">
        <f t="shared" si="146"/>
        <v>170149.87590306107</v>
      </c>
      <c r="X323">
        <f t="shared" si="151"/>
        <v>412.49227374953472</v>
      </c>
      <c r="Y323" s="6">
        <f t="shared" si="152"/>
        <v>808.48485654908802</v>
      </c>
      <c r="Z323" s="14">
        <f t="shared" si="123"/>
        <v>0.23344110500579349</v>
      </c>
    </row>
    <row r="324" spans="1:26" x14ac:dyDescent="0.3">
      <c r="A324" t="str">
        <f>'rockfish harvests'!A332</f>
        <v>SE</v>
      </c>
      <c r="B324">
        <f>'rockfish harvests'!B332</f>
        <v>2003</v>
      </c>
      <c r="C324" t="str">
        <f>'rockfish harvests'!C332</f>
        <v>SSEI</v>
      </c>
      <c r="D324">
        <f>'rockfish harvests'!D332</f>
        <v>11263</v>
      </c>
      <c r="E324">
        <f>'YE harvest'!E333</f>
        <v>5615</v>
      </c>
      <c r="F324" s="32">
        <v>0.17226786899999999</v>
      </c>
      <c r="G324" s="32">
        <v>1.0741590000000001E-3</v>
      </c>
      <c r="H324" s="13">
        <f t="shared" si="144"/>
        <v>967.28408443499995</v>
      </c>
      <c r="I324">
        <f t="shared" si="145"/>
        <v>33866.326637775004</v>
      </c>
      <c r="J324">
        <f t="shared" si="147"/>
        <v>184.02805937621306</v>
      </c>
      <c r="K324" s="6">
        <f t="shared" si="148"/>
        <v>360.69499637737761</v>
      </c>
      <c r="M324" s="2">
        <f>'rockfish harvests'!O332</f>
        <v>13352.396707472279</v>
      </c>
      <c r="N324">
        <f>'rockfish harvests'!P332</f>
        <v>8181752.760036231</v>
      </c>
      <c r="O324" s="32">
        <v>0.112032852</v>
      </c>
      <c r="P324" s="32">
        <v>1.0560649999999999E-3</v>
      </c>
      <c r="Q324" s="13">
        <f t="shared" si="121"/>
        <v>1495.907084173529</v>
      </c>
      <c r="R324" s="14">
        <f t="shared" si="122"/>
        <v>299614.71679030929</v>
      </c>
      <c r="S324">
        <f t="shared" si="149"/>
        <v>547.37073066643711</v>
      </c>
      <c r="T324" s="6">
        <f t="shared" si="150"/>
        <v>1072.8466321062167</v>
      </c>
      <c r="V324" s="13">
        <f t="shared" si="146"/>
        <v>2463.1911686085291</v>
      </c>
      <c r="W324">
        <f t="shared" si="146"/>
        <v>333481.04342808429</v>
      </c>
      <c r="X324">
        <f t="shared" si="151"/>
        <v>577.47817571583107</v>
      </c>
      <c r="Y324" s="6">
        <f t="shared" si="152"/>
        <v>1131.8572244030288</v>
      </c>
      <c r="Z324" s="14">
        <f t="shared" si="123"/>
        <v>0.23444310091532677</v>
      </c>
    </row>
    <row r="325" spans="1:26" x14ac:dyDescent="0.3">
      <c r="A325" t="str">
        <f>'rockfish harvests'!A333</f>
        <v>SE</v>
      </c>
      <c r="B325">
        <f>'rockfish harvests'!B333</f>
        <v>2004</v>
      </c>
      <c r="C325" t="str">
        <f>'rockfish harvests'!C333</f>
        <v>SSEI</v>
      </c>
      <c r="D325">
        <f>'rockfish harvests'!D333</f>
        <v>13195</v>
      </c>
      <c r="E325">
        <f>'YE harvest'!E334</f>
        <v>7929</v>
      </c>
      <c r="F325" s="32">
        <v>0.17226786899999999</v>
      </c>
      <c r="G325" s="32">
        <v>1.0741590000000001E-3</v>
      </c>
      <c r="H325" s="13">
        <f t="shared" si="144"/>
        <v>1365.9119333009999</v>
      </c>
      <c r="I325">
        <f t="shared" si="145"/>
        <v>67531.346211519005</v>
      </c>
      <c r="J325">
        <f t="shared" si="147"/>
        <v>259.86793994550192</v>
      </c>
      <c r="K325" s="6">
        <f t="shared" si="148"/>
        <v>509.34116229318374</v>
      </c>
      <c r="M325" s="2">
        <f>'rockfish harvests'!O333</f>
        <v>15642.801611923707</v>
      </c>
      <c r="N325">
        <f>'rockfish harvests'!P333</f>
        <v>11229410.873184105</v>
      </c>
      <c r="O325" s="32">
        <v>0.112032852</v>
      </c>
      <c r="P325" s="32">
        <v>1.0560649999999999E-3</v>
      </c>
      <c r="Q325" s="13">
        <f t="shared" si="121"/>
        <v>1752.5076778540101</v>
      </c>
      <c r="R325" s="14">
        <f t="shared" si="122"/>
        <v>411219.55859201204</v>
      </c>
      <c r="S325">
        <f t="shared" si="149"/>
        <v>641.26403188703171</v>
      </c>
      <c r="T325" s="6">
        <f t="shared" si="150"/>
        <v>1256.8775024985821</v>
      </c>
      <c r="V325" s="13">
        <f t="shared" si="146"/>
        <v>3118.41961115501</v>
      </c>
      <c r="W325">
        <f t="shared" si="146"/>
        <v>478750.90480353101</v>
      </c>
      <c r="X325">
        <f t="shared" si="151"/>
        <v>691.9182789922022</v>
      </c>
      <c r="Y325" s="6">
        <f t="shared" si="152"/>
        <v>1356.1598268247162</v>
      </c>
      <c r="Z325" s="14">
        <f t="shared" si="123"/>
        <v>0.22188106966654411</v>
      </c>
    </row>
    <row r="326" spans="1:26" x14ac:dyDescent="0.3">
      <c r="A326" t="str">
        <f>'rockfish harvests'!A334</f>
        <v>SE</v>
      </c>
      <c r="B326">
        <f>'rockfish harvests'!B334</f>
        <v>2005</v>
      </c>
      <c r="C326" t="str">
        <f>'rockfish harvests'!C334</f>
        <v>SSEI</v>
      </c>
      <c r="D326">
        <f>'rockfish harvests'!D334</f>
        <v>15329</v>
      </c>
      <c r="E326">
        <f>'YE harvest'!E335</f>
        <v>9584</v>
      </c>
      <c r="F326" s="32">
        <v>0.17226786899999999</v>
      </c>
      <c r="G326" s="32">
        <v>1.0741590000000001E-3</v>
      </c>
      <c r="H326" s="13">
        <f t="shared" si="144"/>
        <v>1651.0152564959999</v>
      </c>
      <c r="I326">
        <f t="shared" si="145"/>
        <v>98664.78677990401</v>
      </c>
      <c r="J326">
        <f t="shared" si="147"/>
        <v>314.10951399138486</v>
      </c>
      <c r="K326" s="6">
        <f t="shared" si="148"/>
        <v>615.65464742311428</v>
      </c>
      <c r="M326" s="2">
        <f>'rockfish harvests'!O334</f>
        <v>18172.679492927513</v>
      </c>
      <c r="N326">
        <f>'rockfish harvests'!P334</f>
        <v>15155345.162562583</v>
      </c>
      <c r="O326" s="32">
        <v>0.112032852</v>
      </c>
      <c r="P326" s="32">
        <v>1.0560649999999999E-3</v>
      </c>
      <c r="Q326" s="13">
        <f t="shared" si="121"/>
        <v>2035.9371120745832</v>
      </c>
      <c r="R326" s="14">
        <f t="shared" si="122"/>
        <v>554986.75918440544</v>
      </c>
      <c r="S326">
        <f t="shared" si="149"/>
        <v>744.97433458100113</v>
      </c>
      <c r="T326" s="6">
        <f t="shared" si="150"/>
        <v>1460.1496957787622</v>
      </c>
      <c r="V326" s="13">
        <f t="shared" si="146"/>
        <v>3686.9523685705831</v>
      </c>
      <c r="W326">
        <f t="shared" si="146"/>
        <v>653651.54596430948</v>
      </c>
      <c r="X326">
        <f t="shared" si="151"/>
        <v>808.4871959185931</v>
      </c>
      <c r="Y326" s="6">
        <f t="shared" si="152"/>
        <v>1584.6349040004425</v>
      </c>
      <c r="Z326" s="14">
        <f t="shared" si="123"/>
        <v>0.21928333081016732</v>
      </c>
    </row>
    <row r="327" spans="1:26" x14ac:dyDescent="0.3">
      <c r="A327" t="str">
        <f>'rockfish harvests'!A335</f>
        <v>SE</v>
      </c>
      <c r="B327">
        <f>'rockfish harvests'!B335</f>
        <v>2006</v>
      </c>
      <c r="C327" t="str">
        <f>'rockfish harvests'!C335</f>
        <v>SSEI</v>
      </c>
      <c r="D327">
        <f>'rockfish harvests'!D335</f>
        <v>17714</v>
      </c>
      <c r="E327">
        <f>'YE harvest'!E336</f>
        <v>11388</v>
      </c>
      <c r="F327">
        <f>IF([2]species_comp_Region1_forR!$H230&gt;49,[2]species_comp_Region1_forR!$AV230,[2]species_comp_Region1_forR!$AX230)</f>
        <v>0.19329073499999999</v>
      </c>
      <c r="G327">
        <f>IF([2]species_comp_Region1_forR!$H230&gt;49,[2]species_comp_Region1_forR!$AW230,[2]species_comp_Region1_forR!$AY230)</f>
        <v>2.4948700000000001E-4</v>
      </c>
      <c r="H327" s="13">
        <f t="shared" si="144"/>
        <v>2201.1948901799997</v>
      </c>
      <c r="I327">
        <f t="shared" si="145"/>
        <v>32355.106802928</v>
      </c>
      <c r="J327">
        <f t="shared" si="147"/>
        <v>179.87525344784925</v>
      </c>
      <c r="K327" s="6">
        <f t="shared" si="148"/>
        <v>352.55549675778451</v>
      </c>
      <c r="M327" s="2">
        <f>'rockfish harvests'!O335</f>
        <v>21000.120329944417</v>
      </c>
      <c r="N327">
        <f>'rockfish harvests'!P335</f>
        <v>20238180.459821593</v>
      </c>
      <c r="O327">
        <f>IF([2]species_comp_Region1_forR!$D252&gt;49,[2]species_comp_Region1_forR!$AR252,[2]species_comp_Region1_forR!$AT252)</f>
        <v>0.10892710899999999</v>
      </c>
      <c r="P327">
        <f>IF([2]species_comp_Region1_forR!$D252&gt;49,[2]species_comp_Region1_forR!$AS252,[2]species_comp_Region1_forR!$AU252)</f>
        <v>7.9559000000000002E-5</v>
      </c>
      <c r="Q327" s="13">
        <f t="shared" si="121"/>
        <v>2287.4823961929715</v>
      </c>
      <c r="R327" s="14">
        <f t="shared" si="122"/>
        <v>276824.39054659742</v>
      </c>
      <c r="S327">
        <f t="shared" si="149"/>
        <v>526.14103674451917</v>
      </c>
      <c r="T327" s="6">
        <f t="shared" si="150"/>
        <v>1031.2364320192576</v>
      </c>
      <c r="V327" s="13">
        <f t="shared" si="146"/>
        <v>4488.6772863729711</v>
      </c>
      <c r="W327">
        <f t="shared" si="146"/>
        <v>309179.49734952545</v>
      </c>
      <c r="X327">
        <f t="shared" si="151"/>
        <v>556.03911494563533</v>
      </c>
      <c r="Y327" s="6">
        <f t="shared" si="152"/>
        <v>1089.8366652934453</v>
      </c>
      <c r="Z327" s="14">
        <f t="shared" si="123"/>
        <v>0.12387593927362441</v>
      </c>
    </row>
    <row r="328" spans="1:26" x14ac:dyDescent="0.3">
      <c r="A328" t="str">
        <f>'rockfish harvests'!A336</f>
        <v>SE</v>
      </c>
      <c r="B328">
        <f>'rockfish harvests'!B336</f>
        <v>2007</v>
      </c>
      <c r="C328" t="str">
        <f>'rockfish harvests'!C336</f>
        <v>SSEI</v>
      </c>
      <c r="D328">
        <f>'rockfish harvests'!D336</f>
        <v>20368</v>
      </c>
      <c r="E328">
        <f>'YE harvest'!E337</f>
        <v>12015</v>
      </c>
      <c r="F328">
        <f>IF([2]species_comp_Region1_forR!$H231&gt;49,[2]species_comp_Region1_forR!$AV231,[2]species_comp_Region1_forR!$AX231)</f>
        <v>0.211936663</v>
      </c>
      <c r="G328">
        <f>IF([2]species_comp_Region1_forR!$H231&gt;49,[2]species_comp_Region1_forR!$AW231,[2]species_comp_Region1_forR!$AY231)</f>
        <v>2.0368200000000001E-4</v>
      </c>
      <c r="H328" s="13">
        <f t="shared" si="144"/>
        <v>2546.4190059449998</v>
      </c>
      <c r="I328">
        <f t="shared" si="145"/>
        <v>29403.579348449999</v>
      </c>
      <c r="J328">
        <f t="shared" si="147"/>
        <v>171.47471926919724</v>
      </c>
      <c r="K328" s="6">
        <f t="shared" si="148"/>
        <v>336.09044976762658</v>
      </c>
      <c r="M328" s="2">
        <f>'rockfish harvests'!O336</f>
        <v>24146.463299102848</v>
      </c>
      <c r="N328">
        <f>'rockfish harvests'!P336</f>
        <v>26756848.278906163</v>
      </c>
      <c r="O328">
        <f>IF([2]species_comp_Region1_forR!$D253&gt;49,[2]species_comp_Region1_forR!$AR253,[2]species_comp_Region1_forR!$AT253)</f>
        <v>0.12130735400000001</v>
      </c>
      <c r="P328">
        <f>IF([2]species_comp_Region1_forR!$D253&gt;49,[2]species_comp_Region1_forR!$AS253,[2]species_comp_Region1_forR!$AU253)</f>
        <v>6.7038899999999999E-5</v>
      </c>
      <c r="Q328" s="13">
        <f t="shared" si="121"/>
        <v>2929.1435712722773</v>
      </c>
      <c r="R328" s="14">
        <f t="shared" si="122"/>
        <v>434620.60237558442</v>
      </c>
      <c r="S328">
        <f t="shared" si="149"/>
        <v>659.25761457535282</v>
      </c>
      <c r="T328" s="6">
        <f t="shared" si="150"/>
        <v>1292.1449245676915</v>
      </c>
      <c r="V328" s="13">
        <f t="shared" si="146"/>
        <v>5475.5625772172771</v>
      </c>
      <c r="W328">
        <f t="shared" si="146"/>
        <v>464024.18172403442</v>
      </c>
      <c r="X328">
        <f t="shared" si="151"/>
        <v>681.19320440241802</v>
      </c>
      <c r="Y328" s="6">
        <f t="shared" si="152"/>
        <v>1335.1386806287394</v>
      </c>
      <c r="Z328" s="14">
        <f t="shared" si="123"/>
        <v>0.12440606691935674</v>
      </c>
    </row>
    <row r="329" spans="1:26" x14ac:dyDescent="0.3">
      <c r="A329" t="str">
        <f>'rockfish harvests'!A337</f>
        <v>SE</v>
      </c>
      <c r="B329">
        <f>'rockfish harvests'!B337</f>
        <v>2008</v>
      </c>
      <c r="C329" t="str">
        <f>'rockfish harvests'!C337</f>
        <v>SSEI</v>
      </c>
      <c r="D329">
        <f>'rockfish harvests'!D337</f>
        <v>18756</v>
      </c>
      <c r="E329">
        <f>'YE harvest'!E338</f>
        <v>10550</v>
      </c>
      <c r="F329">
        <f>IF([2]species_comp_Region1_forR!$H232&gt;49,[2]species_comp_Region1_forR!$AV232,[2]species_comp_Region1_forR!$AX232)</f>
        <v>0.121527778</v>
      </c>
      <c r="G329">
        <f>IF([2]species_comp_Region1_forR!$H232&gt;49,[2]species_comp_Region1_forR!$AW232,[2]species_comp_Region1_forR!$AY232)</f>
        <v>1.8566700000000001E-4</v>
      </c>
      <c r="H329" s="13">
        <f t="shared" si="144"/>
        <v>1282.1180578999999</v>
      </c>
      <c r="I329">
        <f t="shared" si="145"/>
        <v>20665.201267500001</v>
      </c>
      <c r="J329">
        <f t="shared" si="147"/>
        <v>143.75396087586597</v>
      </c>
      <c r="K329" s="6">
        <f t="shared" si="148"/>
        <v>281.75776331669732</v>
      </c>
      <c r="M329" s="2">
        <f>'rockfish harvests'!O337</f>
        <v>22235.421525823498</v>
      </c>
      <c r="N329">
        <f>'rockfish harvests'!P337</f>
        <v>22689171.172948774</v>
      </c>
      <c r="O329">
        <f>IF([2]species_comp_Region1_forR!$D254&gt;49,[2]species_comp_Region1_forR!$AR254,[2]species_comp_Region1_forR!$AT254)</f>
        <v>9.1438070999999996E-2</v>
      </c>
      <c r="P329">
        <f>IF([2]species_comp_Region1_forR!$D254&gt;49,[2]species_comp_Region1_forR!$AS254,[2]species_comp_Region1_forR!$AU254)</f>
        <v>6.9115800000000007E-5</v>
      </c>
      <c r="Q329" s="13">
        <f t="shared" si="121"/>
        <v>2033.1640521931772</v>
      </c>
      <c r="R329" s="14">
        <f t="shared" si="122"/>
        <v>225442.361149</v>
      </c>
      <c r="S329">
        <f t="shared" si="149"/>
        <v>474.80770965623549</v>
      </c>
      <c r="T329" s="6">
        <f t="shared" si="150"/>
        <v>930.62311092622156</v>
      </c>
      <c r="V329" s="13">
        <f t="shared" si="146"/>
        <v>3315.2821100931769</v>
      </c>
      <c r="W329">
        <f t="shared" si="146"/>
        <v>246107.5624165</v>
      </c>
      <c r="X329">
        <f t="shared" si="151"/>
        <v>496.09229223653534</v>
      </c>
      <c r="Y329" s="6">
        <f t="shared" si="152"/>
        <v>972.34089278360921</v>
      </c>
      <c r="Z329" s="14">
        <f t="shared" si="123"/>
        <v>0.14963803253008612</v>
      </c>
    </row>
    <row r="330" spans="1:26" x14ac:dyDescent="0.3">
      <c r="A330" t="str">
        <f>'rockfish harvests'!A338</f>
        <v>SE</v>
      </c>
      <c r="B330">
        <f>'rockfish harvests'!B338</f>
        <v>2009</v>
      </c>
      <c r="C330" t="str">
        <f>'rockfish harvests'!C338</f>
        <v>SSEI</v>
      </c>
      <c r="D330">
        <f>'rockfish harvests'!D338</f>
        <v>14837</v>
      </c>
      <c r="E330">
        <f>'YE harvest'!E339</f>
        <v>8319</v>
      </c>
      <c r="F330">
        <f>IF([2]species_comp_Region1_forR!$H233&gt;49,[2]species_comp_Region1_forR!$AV233,[2]species_comp_Region1_forR!$AX233)</f>
        <v>0.113543092</v>
      </c>
      <c r="G330">
        <f>IF([2]species_comp_Region1_forR!$H233&gt;49,[2]species_comp_Region1_forR!$AW233,[2]species_comp_Region1_forR!$AY233)</f>
        <v>1.37878E-4</v>
      </c>
      <c r="H330" s="13">
        <f t="shared" si="144"/>
        <v>944.56498234799994</v>
      </c>
      <c r="I330">
        <f t="shared" si="145"/>
        <v>9541.9519151579989</v>
      </c>
      <c r="J330">
        <f t="shared" si="147"/>
        <v>97.682915165130069</v>
      </c>
      <c r="K330" s="6">
        <f t="shared" si="148"/>
        <v>191.45851372365493</v>
      </c>
      <c r="M330" s="2">
        <f>'rockfish harvests'!O338</f>
        <v>17589.408678750442</v>
      </c>
      <c r="N330">
        <f>'rockfish harvests'!P338</f>
        <v>14198104.777272861</v>
      </c>
      <c r="O330">
        <f>IF([2]species_comp_Region1_forR!$D255&gt;49,[2]species_comp_Region1_forR!$AR255,[2]species_comp_Region1_forR!$AT255)</f>
        <v>7.6849183000000001E-2</v>
      </c>
      <c r="P330">
        <f>IF([2]species_comp_Region1_forR!$D255&gt;49,[2]species_comp_Region1_forR!$AS255,[2]species_comp_Region1_forR!$AU255)</f>
        <v>6.8214799999999996E-5</v>
      </c>
      <c r="Q330" s="13">
        <f t="shared" si="121"/>
        <v>1351.731686415081</v>
      </c>
      <c r="R330" s="14">
        <f t="shared" si="122"/>
        <v>105924.4370844697</v>
      </c>
      <c r="S330">
        <f t="shared" si="149"/>
        <v>325.460346408698</v>
      </c>
      <c r="T330" s="6">
        <f t="shared" si="150"/>
        <v>637.90227896104807</v>
      </c>
      <c r="V330" s="13">
        <f t="shared" si="146"/>
        <v>2296.296668763081</v>
      </c>
      <c r="W330">
        <f t="shared" si="146"/>
        <v>115466.3889996277</v>
      </c>
      <c r="X330">
        <f t="shared" si="151"/>
        <v>339.80345642684051</v>
      </c>
      <c r="Y330" s="6">
        <f t="shared" si="152"/>
        <v>666.01477459660737</v>
      </c>
      <c r="Z330" s="14">
        <f t="shared" si="123"/>
        <v>0.14797890057031629</v>
      </c>
    </row>
    <row r="331" spans="1:26" x14ac:dyDescent="0.3">
      <c r="A331" t="str">
        <f>'rockfish harvests'!A339</f>
        <v>SE</v>
      </c>
      <c r="B331">
        <f>'rockfish harvests'!B339</f>
        <v>2010</v>
      </c>
      <c r="C331" t="str">
        <f>'rockfish harvests'!C339</f>
        <v>SSEI</v>
      </c>
      <c r="D331">
        <f>'rockfish harvests'!D339</f>
        <v>20015</v>
      </c>
      <c r="E331">
        <f>'YE harvest'!E340</f>
        <v>11058</v>
      </c>
      <c r="F331">
        <f>IF([2]species_comp_Region1_forR!$H234&gt;49,[2]species_comp_Region1_forR!$AV234,[2]species_comp_Region1_forR!$AX234)</f>
        <v>0.17421124800000001</v>
      </c>
      <c r="G331">
        <f>IF([2]species_comp_Region1_forR!$H234&gt;49,[2]species_comp_Region1_forR!$AW234,[2]species_comp_Region1_forR!$AY234)</f>
        <v>1.97612E-4</v>
      </c>
      <c r="H331" s="13">
        <f t="shared" si="144"/>
        <v>1926.4279803840002</v>
      </c>
      <c r="I331">
        <f t="shared" si="145"/>
        <v>24163.869678768002</v>
      </c>
      <c r="J331">
        <f t="shared" si="147"/>
        <v>155.4473212338122</v>
      </c>
      <c r="K331" s="6">
        <f t="shared" si="148"/>
        <v>304.67674961827191</v>
      </c>
      <c r="M331" s="2">
        <f>'rockfish harvests'!O339</f>
        <v>23727.978345028649</v>
      </c>
      <c r="N331">
        <f>'rockfish harvests'!P339</f>
        <v>25837433.526771665</v>
      </c>
      <c r="O331">
        <f>IF([2]species_comp_Region1_forR!$D256&gt;49,[2]species_comp_Region1_forR!$AR256,[2]species_comp_Region1_forR!$AT256)</f>
        <v>5.5505818999999998E-2</v>
      </c>
      <c r="P331">
        <f>IF([2]species_comp_Region1_forR!$D256&gt;49,[2]species_comp_Region1_forR!$AS256,[2]species_comp_Region1_forR!$AU256)</f>
        <v>4.6975699999999998E-5</v>
      </c>
      <c r="Q331" s="13">
        <f t="shared" si="121"/>
        <v>1317.0408712550798</v>
      </c>
      <c r="R331" s="14">
        <f t="shared" si="122"/>
        <v>107264.29128873086</v>
      </c>
      <c r="S331">
        <f t="shared" si="149"/>
        <v>327.51227654659124</v>
      </c>
      <c r="T331" s="6">
        <f t="shared" si="150"/>
        <v>641.92406203131884</v>
      </c>
      <c r="V331" s="13">
        <f t="shared" si="146"/>
        <v>3243.4688516390797</v>
      </c>
      <c r="W331">
        <f t="shared" si="146"/>
        <v>131428.16096749887</v>
      </c>
      <c r="X331">
        <f t="shared" si="151"/>
        <v>362.53022076441971</v>
      </c>
      <c r="Y331" s="6">
        <f t="shared" si="152"/>
        <v>710.55923269826258</v>
      </c>
      <c r="Z331" s="14">
        <f t="shared" si="123"/>
        <v>0.11177237622652546</v>
      </c>
    </row>
    <row r="332" spans="1:26" x14ac:dyDescent="0.3">
      <c r="A332" t="str">
        <f>'rockfish harvests'!A340</f>
        <v>SE</v>
      </c>
      <c r="B332">
        <f>'rockfish harvests'!B340</f>
        <v>2011</v>
      </c>
      <c r="C332" t="str">
        <f>'rockfish harvests'!C340</f>
        <v>SSEI</v>
      </c>
      <c r="D332">
        <f>'rockfish harvests'!D340</f>
        <v>17328</v>
      </c>
      <c r="E332">
        <f>'YE harvest'!E341</f>
        <v>8097</v>
      </c>
      <c r="F332">
        <f>IF([2]species_comp_Region1_forR!$H235&gt;49,[2]species_comp_Region1_forR!$AV235,[2]species_comp_Region1_forR!$AX235)</f>
        <v>0.16267942599999999</v>
      </c>
      <c r="G332">
        <f>IF([2]species_comp_Region1_forR!$H235&gt;49,[2]species_comp_Region1_forR!$AW235,[2]species_comp_Region1_forR!$AY235)</f>
        <v>1.63132E-4</v>
      </c>
      <c r="H332" s="13">
        <f t="shared" si="144"/>
        <v>1317.2153123219998</v>
      </c>
      <c r="I332">
        <f t="shared" si="145"/>
        <v>10695.163772988</v>
      </c>
      <c r="J332">
        <f t="shared" si="147"/>
        <v>103.41742490019755</v>
      </c>
      <c r="K332" s="6">
        <f t="shared" si="148"/>
        <v>202.69815280438718</v>
      </c>
      <c r="M332" s="2">
        <f>'rockfish harvests'!O340</f>
        <v>26057.656259472569</v>
      </c>
      <c r="N332">
        <f>'rockfish harvests'!P340</f>
        <v>22721971.694568597</v>
      </c>
      <c r="O332">
        <f>IF([2]species_comp_Region1_forR!$D257&gt;49,[2]species_comp_Region1_forR!$AR257,[2]species_comp_Region1_forR!$AT257)</f>
        <v>0.11457521399999999</v>
      </c>
      <c r="P332">
        <f>IF([2]species_comp_Region1_forR!$D257&gt;49,[2]species_comp_Region1_forR!$AS257,[2]species_comp_Region1_forR!$AU257)</f>
        <v>7.9132400000000002E-5</v>
      </c>
      <c r="Q332" s="13">
        <f t="shared" si="121"/>
        <v>2985.5615422675091</v>
      </c>
      <c r="R332" s="14">
        <f t="shared" si="122"/>
        <v>353811.27980110166</v>
      </c>
      <c r="S332">
        <f t="shared" si="149"/>
        <v>594.82037608096584</v>
      </c>
      <c r="T332" s="6">
        <f t="shared" si="150"/>
        <v>1165.8479371186929</v>
      </c>
      <c r="V332" s="13">
        <f t="shared" si="146"/>
        <v>4302.7768545895087</v>
      </c>
      <c r="W332">
        <f t="shared" si="146"/>
        <v>364506.44357408967</v>
      </c>
      <c r="X332">
        <f t="shared" si="151"/>
        <v>603.74369029753814</v>
      </c>
      <c r="Y332" s="6">
        <f t="shared" si="152"/>
        <v>1183.3376329831747</v>
      </c>
      <c r="Z332" s="14">
        <f t="shared" si="123"/>
        <v>0.14031489679822967</v>
      </c>
    </row>
    <row r="333" spans="1:26" x14ac:dyDescent="0.3">
      <c r="A333" t="str">
        <f>'rockfish harvests'!A341</f>
        <v>SE</v>
      </c>
      <c r="B333">
        <f>'rockfish harvests'!B341</f>
        <v>2012</v>
      </c>
      <c r="C333" t="str">
        <f>'rockfish harvests'!C341</f>
        <v>SSEI</v>
      </c>
      <c r="D333">
        <f>'rockfish harvests'!D341</f>
        <v>20908</v>
      </c>
      <c r="E333">
        <f>'YE harvest'!E342</f>
        <v>11877</v>
      </c>
      <c r="F333">
        <f>IF([2]species_comp_Region1_forR!$H236&gt;49,[2]species_comp_Region1_forR!$AV236,[2]species_comp_Region1_forR!$AX236)</f>
        <v>0.143570537</v>
      </c>
      <c r="G333">
        <f>IF([2]species_comp_Region1_forR!$H236&gt;49,[2]species_comp_Region1_forR!$AW236,[2]species_comp_Region1_forR!$AY236)</f>
        <v>1.5369799999999999E-4</v>
      </c>
      <c r="H333" s="13">
        <f t="shared" si="144"/>
        <v>1705.187267949</v>
      </c>
      <c r="I333">
        <f t="shared" si="145"/>
        <v>21681.120801041998</v>
      </c>
      <c r="J333">
        <f t="shared" si="147"/>
        <v>147.24510450620082</v>
      </c>
      <c r="K333" s="6">
        <f t="shared" si="148"/>
        <v>288.60040483215357</v>
      </c>
      <c r="M333" s="2">
        <f>'rockfish harvests'!O341</f>
        <v>30342.239687848378</v>
      </c>
      <c r="N333">
        <f>'rockfish harvests'!P341</f>
        <v>23087012.957423236</v>
      </c>
      <c r="O333">
        <f>IF([2]species_comp_Region1_forR!$D258&gt;49,[2]species_comp_Region1_forR!$AR258,[2]species_comp_Region1_forR!$AT258)</f>
        <v>0.14481576700000001</v>
      </c>
      <c r="P333">
        <f>IF([2]species_comp_Region1_forR!$D258&gt;49,[2]species_comp_Region1_forR!$AS258,[2]species_comp_Region1_forR!$AU258)</f>
        <v>1.0621299999999999E-4</v>
      </c>
      <c r="Q333" s="13">
        <f t="shared" si="121"/>
        <v>4394.0347128936037</v>
      </c>
      <c r="R333" s="14">
        <f t="shared" si="122"/>
        <v>584409.0477055423</v>
      </c>
      <c r="S333">
        <f t="shared" si="149"/>
        <v>764.46651182739345</v>
      </c>
      <c r="T333" s="6">
        <f t="shared" si="150"/>
        <v>1498.354363181691</v>
      </c>
      <c r="V333" s="13">
        <f t="shared" si="146"/>
        <v>6099.2219808426034</v>
      </c>
      <c r="W333">
        <f t="shared" si="146"/>
        <v>606090.16850658425</v>
      </c>
      <c r="X333">
        <f t="shared" si="151"/>
        <v>778.51793075470277</v>
      </c>
      <c r="Y333" s="6">
        <f t="shared" si="152"/>
        <v>1525.8951442792174</v>
      </c>
      <c r="Z333" s="14">
        <f t="shared" si="123"/>
        <v>0.12764217029647296</v>
      </c>
    </row>
    <row r="334" spans="1:26" x14ac:dyDescent="0.3">
      <c r="A334" t="str">
        <f>'rockfish harvests'!A342</f>
        <v>SE</v>
      </c>
      <c r="B334">
        <f>'rockfish harvests'!B342</f>
        <v>2013</v>
      </c>
      <c r="C334" t="str">
        <f>'rockfish harvests'!C342</f>
        <v>SSEI</v>
      </c>
      <c r="D334">
        <f>'rockfish harvests'!D342</f>
        <v>24779</v>
      </c>
      <c r="E334">
        <f>'YE harvest'!E343</f>
        <v>13572</v>
      </c>
      <c r="F334">
        <f>IF([2]species_comp_Region1_forR!$H237&gt;49,[2]species_comp_Region1_forR!$AV237,[2]species_comp_Region1_forR!$AX237)</f>
        <v>0.171851852</v>
      </c>
      <c r="G334">
        <f>IF([2]species_comp_Region1_forR!$H237&gt;49,[2]species_comp_Region1_forR!$AW237,[2]species_comp_Region1_forR!$AY237)</f>
        <v>2.1115500000000001E-4</v>
      </c>
      <c r="H334" s="13">
        <f t="shared" si="144"/>
        <v>2332.3733353439998</v>
      </c>
      <c r="I334">
        <f t="shared" si="145"/>
        <v>38894.578697520003</v>
      </c>
      <c r="J334">
        <f t="shared" si="147"/>
        <v>197.21708520693639</v>
      </c>
      <c r="K334" s="6">
        <f t="shared" si="148"/>
        <v>386.54548700559531</v>
      </c>
      <c r="M334" s="2">
        <f>'rockfish harvests'!O342</f>
        <v>34267.842065821518</v>
      </c>
      <c r="N334">
        <f>'rockfish harvests'!P342</f>
        <v>37595985.131994449</v>
      </c>
      <c r="O334">
        <f>IF([2]species_comp_Region1_forR!$D259&gt;49,[2]species_comp_Region1_forR!$AR259,[2]species_comp_Region1_forR!$AT259)</f>
        <v>0.12985359599999999</v>
      </c>
      <c r="P334">
        <f>IF([2]species_comp_Region1_forR!$D259&gt;49,[2]species_comp_Region1_forR!$AS259,[2]species_comp_Region1_forR!$AU259)</f>
        <v>7.1969200000000002E-5</v>
      </c>
      <c r="Q334" s="13">
        <f t="shared" si="121"/>
        <v>4449.8025194069924</v>
      </c>
      <c r="R334" s="14">
        <f t="shared" si="122"/>
        <v>721159.96687432425</v>
      </c>
      <c r="S334">
        <f t="shared" si="149"/>
        <v>849.21137938343963</v>
      </c>
      <c r="T334" s="6">
        <f t="shared" si="150"/>
        <v>1664.4543035915417</v>
      </c>
      <c r="V334" s="13">
        <f t="shared" si="146"/>
        <v>6782.1758547509926</v>
      </c>
      <c r="W334">
        <f t="shared" si="146"/>
        <v>760054.54557184421</v>
      </c>
      <c r="X334">
        <f t="shared" si="151"/>
        <v>871.81107217782233</v>
      </c>
      <c r="Y334" s="6">
        <f t="shared" si="152"/>
        <v>1708.7497014685318</v>
      </c>
      <c r="Z334" s="14">
        <f t="shared" si="123"/>
        <v>0.12854445105063275</v>
      </c>
    </row>
    <row r="335" spans="1:26" x14ac:dyDescent="0.3">
      <c r="A335" t="str">
        <f>'rockfish harvests'!A343</f>
        <v>SE</v>
      </c>
      <c r="B335">
        <f>'rockfish harvests'!B343</f>
        <v>2014</v>
      </c>
      <c r="C335" t="str">
        <f>'rockfish harvests'!C343</f>
        <v>SSEI</v>
      </c>
      <c r="D335">
        <f>'rockfish harvests'!D343</f>
        <v>25686</v>
      </c>
      <c r="E335">
        <f>'YE harvest'!E344</f>
        <v>15018</v>
      </c>
      <c r="F335">
        <f>IF([2]species_comp_Region1_forR!$H238&gt;49,[2]species_comp_Region1_forR!$AV238,[2]species_comp_Region1_forR!$AX238)</f>
        <v>0.21995783599999999</v>
      </c>
      <c r="G335">
        <f>IF([2]species_comp_Region1_forR!$H238&gt;49,[2]species_comp_Region1_forR!$AW238,[2]species_comp_Region1_forR!$AY238)</f>
        <v>1.20658E-4</v>
      </c>
      <c r="H335" s="13">
        <f t="shared" si="144"/>
        <v>3303.3267810479997</v>
      </c>
      <c r="I335">
        <f t="shared" si="145"/>
        <v>27213.244413191998</v>
      </c>
      <c r="J335">
        <f t="shared" si="147"/>
        <v>164.96437316339549</v>
      </c>
      <c r="K335" s="6">
        <f t="shared" si="148"/>
        <v>323.33017140025515</v>
      </c>
      <c r="M335" s="2">
        <f>'rockfish harvests'!O343</f>
        <v>33152.073336968373</v>
      </c>
      <c r="N335">
        <f>'rockfish harvests'!P343</f>
        <v>19566076.633357268</v>
      </c>
      <c r="O335">
        <f>IF([2]species_comp_Region1_forR!$D260&gt;49,[2]species_comp_Region1_forR!$AR260,[2]species_comp_Region1_forR!$AT260)</f>
        <v>0.16422435599999999</v>
      </c>
      <c r="P335">
        <f>IF([2]species_comp_Region1_forR!$D260&gt;49,[2]species_comp_Region1_forR!$AS260,[2]species_comp_Region1_forR!$AU260)</f>
        <v>6.9390700000000006E-5</v>
      </c>
      <c r="Q335" s="13">
        <f t="shared" si="121"/>
        <v>5444.3778938284013</v>
      </c>
      <c r="R335" s="14">
        <f t="shared" si="122"/>
        <v>605312.2696493254</v>
      </c>
      <c r="S335">
        <f t="shared" si="149"/>
        <v>778.01816794296349</v>
      </c>
      <c r="T335" s="6">
        <f t="shared" si="150"/>
        <v>1524.9156091682084</v>
      </c>
      <c r="V335" s="13">
        <f t="shared" si="146"/>
        <v>8747.7046748764005</v>
      </c>
      <c r="W335">
        <f t="shared" si="146"/>
        <v>632525.51406251744</v>
      </c>
      <c r="X335">
        <f t="shared" si="151"/>
        <v>795.31472642125607</v>
      </c>
      <c r="Y335" s="6">
        <f t="shared" si="152"/>
        <v>1558.8168637856618</v>
      </c>
      <c r="Z335" s="14">
        <f t="shared" si="123"/>
        <v>9.091696118930688E-2</v>
      </c>
    </row>
    <row r="336" spans="1:26" x14ac:dyDescent="0.3">
      <c r="A336" t="str">
        <f>'rockfish harvests'!A344</f>
        <v>SE</v>
      </c>
      <c r="B336">
        <f>'rockfish harvests'!B344</f>
        <v>2015</v>
      </c>
      <c r="C336" t="str">
        <f>'rockfish harvests'!C344</f>
        <v>SSEI</v>
      </c>
      <c r="D336">
        <f>'rockfish harvests'!D344</f>
        <v>29160</v>
      </c>
      <c r="E336">
        <f>'YE harvest'!E345</f>
        <v>17942</v>
      </c>
      <c r="F336">
        <f>IF([2]species_comp_Region1_forR!$H239&gt;49,[2]species_comp_Region1_forR!$AV239,[2]species_comp_Region1_forR!$AX239)</f>
        <v>0.20289330899999999</v>
      </c>
      <c r="G336">
        <f>IF([2]species_comp_Region1_forR!$H239&gt;49,[2]species_comp_Region1_forR!$AW239,[2]species_comp_Region1_forR!$AY239)</f>
        <v>5.8512199999999999E-5</v>
      </c>
      <c r="H336" s="13">
        <f t="shared" si="144"/>
        <v>3640.3117500779999</v>
      </c>
      <c r="I336">
        <f t="shared" si="145"/>
        <v>18835.976161440798</v>
      </c>
      <c r="J336">
        <f t="shared" si="147"/>
        <v>137.2442208671855</v>
      </c>
      <c r="K336" s="6">
        <f t="shared" si="148"/>
        <v>268.99867289968358</v>
      </c>
      <c r="M336" s="2">
        <f>'rockfish harvests'!O344</f>
        <v>31796.645359656926</v>
      </c>
      <c r="N336">
        <f>'rockfish harvests'!P344</f>
        <v>18451721.940392502</v>
      </c>
      <c r="O336">
        <f>IF([2]species_comp_Region1_forR!$D261&gt;49,[2]species_comp_Region1_forR!$AR261,[2]species_comp_Region1_forR!$AT261)</f>
        <v>0.11386639699999999</v>
      </c>
      <c r="P336">
        <f>IF([2]species_comp_Region1_forR!$D261&gt;49,[2]species_comp_Region1_forR!$AS261,[2]species_comp_Region1_forR!$AU261)</f>
        <v>5.1088999999999998E-5</v>
      </c>
      <c r="Q336" s="13">
        <f t="shared" si="121"/>
        <v>3620.5694437909033</v>
      </c>
      <c r="R336" s="14">
        <f t="shared" si="122"/>
        <v>291831.86172064464</v>
      </c>
      <c r="S336">
        <f t="shared" si="149"/>
        <v>540.2146441190248</v>
      </c>
      <c r="T336" s="6">
        <f t="shared" si="150"/>
        <v>1058.8207024732885</v>
      </c>
      <c r="V336" s="13">
        <f t="shared" si="146"/>
        <v>7260.8811938689032</v>
      </c>
      <c r="W336">
        <f t="shared" si="146"/>
        <v>310667.83788208541</v>
      </c>
      <c r="X336">
        <f t="shared" si="151"/>
        <v>557.37584974780293</v>
      </c>
      <c r="Y336" s="6">
        <f t="shared" si="152"/>
        <v>1092.4566655056938</v>
      </c>
      <c r="Z336" s="14">
        <f t="shared" si="123"/>
        <v>7.6764215646229247E-2</v>
      </c>
    </row>
    <row r="337" spans="1:26" x14ac:dyDescent="0.3">
      <c r="A337" t="str">
        <f>'rockfish harvests'!A345</f>
        <v>SE</v>
      </c>
      <c r="B337">
        <f>'rockfish harvests'!B345</f>
        <v>2016</v>
      </c>
      <c r="C337" t="str">
        <f>'rockfish harvests'!C345</f>
        <v>SSEI</v>
      </c>
      <c r="D337">
        <f>'rockfish harvests'!D345</f>
        <v>32540</v>
      </c>
      <c r="E337">
        <f>'YE harvest'!E346</f>
        <v>19167</v>
      </c>
      <c r="F337">
        <f>IF([2]species_comp_Region1_forR!$H240&gt;49,[2]species_comp_Region1_forR!$AV240,[2]species_comp_Region1_forR!$AX240)</f>
        <v>0.19990701999999999</v>
      </c>
      <c r="G337">
        <f>IF([2]species_comp_Region1_forR!$H240&gt;49,[2]species_comp_Region1_forR!$AW240,[2]species_comp_Region1_forR!$AY240)</f>
        <v>7.4392699999999997E-5</v>
      </c>
      <c r="H337" s="13">
        <f t="shared" si="144"/>
        <v>3831.6178523399999</v>
      </c>
      <c r="I337">
        <f t="shared" si="145"/>
        <v>27329.935512210297</v>
      </c>
      <c r="J337">
        <f t="shared" si="147"/>
        <v>165.31768057957473</v>
      </c>
      <c r="K337" s="6">
        <f t="shared" si="148"/>
        <v>324.02265393596645</v>
      </c>
      <c r="M337" s="2">
        <f>'rockfish harvests'!O345</f>
        <v>33865.532446281708</v>
      </c>
      <c r="N337">
        <f>'rockfish harvests'!P345</f>
        <v>23923054.468410891</v>
      </c>
      <c r="O337">
        <f>IF([2]species_comp_Region1_forR!$D262&gt;49,[2]species_comp_Region1_forR!$AR262,[2]species_comp_Region1_forR!$AT262)</f>
        <v>0.14972458699999999</v>
      </c>
      <c r="P337">
        <f>IF([2]species_comp_Region1_forR!$D262&gt;49,[2]species_comp_Region1_forR!$AS262,[2]species_comp_Region1_forR!$AU262)</f>
        <v>6.3781099999999998E-5</v>
      </c>
      <c r="Q337" s="13">
        <f t="shared" si="121"/>
        <v>5070.5028590546281</v>
      </c>
      <c r="R337" s="14">
        <f t="shared" si="122"/>
        <v>610968.66646977945</v>
      </c>
      <c r="S337">
        <f t="shared" si="149"/>
        <v>781.64484676212089</v>
      </c>
      <c r="T337" s="6">
        <f t="shared" si="150"/>
        <v>1532.0238996537569</v>
      </c>
      <c r="V337" s="13">
        <f t="shared" si="146"/>
        <v>8902.1207113946275</v>
      </c>
      <c r="W337">
        <f t="shared" si="146"/>
        <v>638298.60198198969</v>
      </c>
      <c r="X337">
        <f t="shared" si="151"/>
        <v>798.93591857043805</v>
      </c>
      <c r="Y337" s="6">
        <f t="shared" si="152"/>
        <v>1565.9144003980584</v>
      </c>
      <c r="Z337" s="14">
        <f t="shared" si="123"/>
        <v>8.9746695700026607E-2</v>
      </c>
    </row>
    <row r="338" spans="1:26" x14ac:dyDescent="0.3">
      <c r="A338" t="str">
        <f>'rockfish harvests'!A346</f>
        <v>SE</v>
      </c>
      <c r="B338">
        <f>'rockfish harvests'!B346</f>
        <v>2017</v>
      </c>
      <c r="C338" t="str">
        <f>'rockfish harvests'!C346</f>
        <v>SSEI</v>
      </c>
      <c r="D338">
        <f>'rockfish harvests'!D346</f>
        <v>30249</v>
      </c>
      <c r="E338">
        <f>'YE harvest'!E347</f>
        <v>13768</v>
      </c>
      <c r="F338">
        <f>IF([2]species_comp_Region1_forR!$H241&gt;49,[2]species_comp_Region1_forR!$AV241,[2]species_comp_Region1_forR!$AX241)</f>
        <v>0.17742946700000001</v>
      </c>
      <c r="G338">
        <f>IF([2]species_comp_Region1_forR!$H241&gt;49,[2]species_comp_Region1_forR!$AW241,[2]species_comp_Region1_forR!$AY241)</f>
        <v>9.1561E-5</v>
      </c>
      <c r="H338" s="13">
        <f t="shared" si="144"/>
        <v>2442.8489016560002</v>
      </c>
      <c r="I338">
        <f t="shared" si="145"/>
        <v>17356.103923264</v>
      </c>
      <c r="J338">
        <f t="shared" si="147"/>
        <v>131.74256686152734</v>
      </c>
      <c r="K338" s="6">
        <f t="shared" si="148"/>
        <v>258.21543104859359</v>
      </c>
      <c r="M338" s="2">
        <f>'rockfish harvests'!O346</f>
        <v>32660.834871736792</v>
      </c>
      <c r="N338">
        <f>'rockfish harvests'!P346</f>
        <v>21220862.426665116</v>
      </c>
      <c r="O338">
        <f>IF([2]species_comp_Region1_forR!$D263&gt;49,[2]species_comp_Region1_forR!$AR263,[2]species_comp_Region1_forR!$AT263)</f>
        <v>0.13790760899999999</v>
      </c>
      <c r="P338">
        <f>IF([2]species_comp_Region1_forR!$D263&gt;49,[2]species_comp_Region1_forR!$AS263,[2]species_comp_Region1_forR!$AU263)</f>
        <v>8.0822000000000006E-5</v>
      </c>
      <c r="Q338" s="13">
        <f t="shared" si="121"/>
        <v>4504.1776451050418</v>
      </c>
      <c r="R338" s="14">
        <f t="shared" si="122"/>
        <v>491519.53046255151</v>
      </c>
      <c r="S338">
        <f t="shared" si="149"/>
        <v>701.08453874162103</v>
      </c>
      <c r="T338" s="6">
        <f t="shared" si="150"/>
        <v>1374.1256959335772</v>
      </c>
      <c r="V338" s="13">
        <f t="shared" si="146"/>
        <v>6947.0265467610425</v>
      </c>
      <c r="W338">
        <f t="shared" si="146"/>
        <v>508875.63438581553</v>
      </c>
      <c r="X338">
        <f t="shared" si="151"/>
        <v>713.35519510676829</v>
      </c>
      <c r="Y338" s="6">
        <f t="shared" si="152"/>
        <v>1398.1761824092657</v>
      </c>
      <c r="Z338" s="14">
        <f t="shared" si="123"/>
        <v>0.10268496749006387</v>
      </c>
    </row>
    <row r="339" spans="1:26" x14ac:dyDescent="0.3">
      <c r="A339" t="str">
        <f>'rockfish harvests'!A347</f>
        <v>SE</v>
      </c>
      <c r="B339">
        <f>'rockfish harvests'!B347</f>
        <v>2018</v>
      </c>
      <c r="C339" t="str">
        <f>'rockfish harvests'!C347</f>
        <v>SSEI</v>
      </c>
      <c r="D339">
        <f>'rockfish harvests'!D347</f>
        <v>42049</v>
      </c>
      <c r="E339">
        <f>'YE harvest'!E348</f>
        <v>16630</v>
      </c>
      <c r="F339">
        <f>IF([2]species_comp_Region1_forR!$H242&gt;49,[2]species_comp_Region1_forR!$AV242,[2]species_comp_Region1_forR!$AX242)</f>
        <v>0.145038168</v>
      </c>
      <c r="G339">
        <f>IF([2]species_comp_Region1_forR!$H242&gt;49,[2]species_comp_Region1_forR!$AW242,[2]species_comp_Region1_forR!$AY242)</f>
        <v>2.3709800000000001E-4</v>
      </c>
      <c r="H339" s="13">
        <f t="shared" si="144"/>
        <v>2411.98473384</v>
      </c>
      <c r="I339">
        <f t="shared" si="145"/>
        <v>65571.087876200007</v>
      </c>
      <c r="J339">
        <f t="shared" si="147"/>
        <v>256.06852183780808</v>
      </c>
      <c r="K339" s="6">
        <f t="shared" si="148"/>
        <v>501.89430280210382</v>
      </c>
      <c r="M339" s="2">
        <f>'rockfish harvests'!O347</f>
        <v>34725.8595505618</v>
      </c>
      <c r="N339">
        <f>'rockfish harvests'!P347</f>
        <v>18537755.684375577</v>
      </c>
      <c r="O339">
        <f>IF([2]species_comp_Region1_forR!$D264&gt;49,[2]species_comp_Region1_forR!$AR264,[2]species_comp_Region1_forR!$AT264)</f>
        <v>9.4146046999999997E-2</v>
      </c>
      <c r="P339">
        <f>IF([2]species_comp_Region1_forR!$D264&gt;49,[2]species_comp_Region1_forR!$AS264,[2]species_comp_Region1_forR!$AU264)</f>
        <v>5.1499100000000003E-5</v>
      </c>
      <c r="Q339" s="13">
        <f t="shared" si="121"/>
        <v>3269.30240536259</v>
      </c>
      <c r="R339" s="14">
        <f t="shared" si="122"/>
        <v>227365.6792455609</v>
      </c>
      <c r="S339">
        <f t="shared" si="149"/>
        <v>476.82877350843762</v>
      </c>
      <c r="T339" s="6">
        <f t="shared" si="150"/>
        <v>934.5843960765377</v>
      </c>
      <c r="V339" s="13">
        <f t="shared" si="146"/>
        <v>5681.28713920259</v>
      </c>
      <c r="W339">
        <f t="shared" si="146"/>
        <v>292936.76712176087</v>
      </c>
      <c r="X339">
        <f t="shared" si="151"/>
        <v>541.23633204152225</v>
      </c>
      <c r="Y339" s="6">
        <f t="shared" si="152"/>
        <v>1060.8232108013835</v>
      </c>
      <c r="Z339" s="14">
        <f t="shared" si="123"/>
        <v>9.5266498379712017E-2</v>
      </c>
    </row>
    <row r="340" spans="1:26" x14ac:dyDescent="0.3">
      <c r="A340" t="str">
        <f>'rockfish harvests'!A348</f>
        <v>SE</v>
      </c>
      <c r="B340">
        <f>'rockfish harvests'!B348</f>
        <v>2019</v>
      </c>
      <c r="C340" t="str">
        <f>'rockfish harvests'!C348</f>
        <v>SSEI</v>
      </c>
      <c r="D340">
        <f>'rockfish harvests'!D348</f>
        <v>35867</v>
      </c>
      <c r="E340">
        <f>'YE harvest'!E349</f>
        <v>14851</v>
      </c>
      <c r="F340">
        <v>0.16850828729281769</v>
      </c>
      <c r="G340">
        <v>3.8812533076581417E-4</v>
      </c>
      <c r="H340" s="13">
        <f>E340*F340</f>
        <v>2502.5165745856357</v>
      </c>
      <c r="I340">
        <f>(E340^2)*G340</f>
        <v>85601.89596425333</v>
      </c>
      <c r="K340" s="6"/>
      <c r="M340" s="2">
        <f>'rockfish harvests'!O348</f>
        <v>69950.34860446323</v>
      </c>
      <c r="N340">
        <f>'rockfish harvests'!P348</f>
        <v>111154603.32156514</v>
      </c>
      <c r="O340">
        <v>7.5318655851680183E-2</v>
      </c>
      <c r="P340">
        <v>8.0795540524798546E-5</v>
      </c>
      <c r="Q340" s="13">
        <f>M340*O340</f>
        <v>5268.5662332446236</v>
      </c>
      <c r="R340" s="14">
        <f t="shared" si="122"/>
        <v>1034886.458636328</v>
      </c>
      <c r="S340">
        <f>SQRT(R340)</f>
        <v>1017.2936934024157</v>
      </c>
      <c r="T340" s="6">
        <f>(1.96*S340)</f>
        <v>1993.8956390687347</v>
      </c>
      <c r="V340" s="13">
        <f>Q340+H340</f>
        <v>7771.0828078302593</v>
      </c>
      <c r="W340">
        <f>R340+I340</f>
        <v>1120488.3546005813</v>
      </c>
      <c r="X340">
        <f>SQRT(W340)</f>
        <v>1058.53122514198</v>
      </c>
      <c r="Y340" s="6">
        <f>(1.96*X340)</f>
        <v>2074.7212012782807</v>
      </c>
      <c r="Z340" s="14">
        <f t="shared" si="123"/>
        <v>0.13621412244833991</v>
      </c>
    </row>
    <row r="341" spans="1:26" x14ac:dyDescent="0.3">
      <c r="A341" t="str">
        <f>'rockfish harvests'!A349</f>
        <v>SE</v>
      </c>
      <c r="B341">
        <f>'rockfish harvests'!B349</f>
        <v>2020</v>
      </c>
      <c r="C341" t="str">
        <f>'rockfish harvests'!C349</f>
        <v>SSEI</v>
      </c>
      <c r="D341">
        <f>'rockfish harvests'!D349</f>
        <v>11107</v>
      </c>
      <c r="E341">
        <f>'YE harvest'!E350</f>
        <v>325</v>
      </c>
      <c r="F341">
        <v>1</v>
      </c>
      <c r="G341">
        <v>0</v>
      </c>
      <c r="H341" s="13">
        <f t="shared" ref="H341:H342" si="175">E341*F341</f>
        <v>325</v>
      </c>
      <c r="I341">
        <f t="shared" ref="I341:I342" si="176">(E341^2)*G341</f>
        <v>0</v>
      </c>
      <c r="J341">
        <f t="shared" ref="J341" si="177">SQRT(I341)</f>
        <v>0</v>
      </c>
      <c r="K341" s="6">
        <f t="shared" ref="K341" si="178">(1.96*J341)</f>
        <v>0</v>
      </c>
      <c r="M341" s="2">
        <f>'rockfish harvests'!O349</f>
        <v>15196.649154865238</v>
      </c>
      <c r="N341">
        <f>'rockfish harvests'!P349</f>
        <v>6640608.2621304234</v>
      </c>
      <c r="O341" t="s">
        <v>266</v>
      </c>
      <c r="P341" t="s">
        <v>267</v>
      </c>
      <c r="Q341" s="13">
        <f t="shared" ref="Q341:Q342" si="179">M341*O341</f>
        <v>535.56472792476643</v>
      </c>
      <c r="R341" s="14">
        <f t="shared" si="122"/>
        <v>20126.794626850813</v>
      </c>
      <c r="S341">
        <f t="shared" ref="S341:S342" si="180">SQRT(R341)</f>
        <v>141.86893467863504</v>
      </c>
      <c r="T341" s="6">
        <f t="shared" ref="T341:T342" si="181">(1.96*S341)</f>
        <v>278.06311197012468</v>
      </c>
      <c r="V341" s="13">
        <f t="shared" ref="V341:V342" si="182">Q341+H341</f>
        <v>860.56472792476643</v>
      </c>
      <c r="W341">
        <f t="shared" ref="W341:W342" si="183">R341+I341</f>
        <v>20126.794626850813</v>
      </c>
      <c r="X341">
        <f t="shared" ref="X341:X342" si="184">SQRT(W341)</f>
        <v>141.86893467863504</v>
      </c>
      <c r="Y341" s="6">
        <f t="shared" ref="Y341:Y342" si="185">(1.96*X341)</f>
        <v>278.06311197012468</v>
      </c>
      <c r="Z341" s="14">
        <f t="shared" ref="Z341:Z342" si="186">X341/V341</f>
        <v>0.16485562337739423</v>
      </c>
    </row>
    <row r="342" spans="1:26" x14ac:dyDescent="0.3">
      <c r="A342" t="str">
        <f>'rockfish harvests'!A350</f>
        <v>SE</v>
      </c>
      <c r="B342">
        <f>'rockfish harvests'!B350</f>
        <v>2021</v>
      </c>
      <c r="C342" t="str">
        <f>'rockfish harvests'!C350</f>
        <v>SSEI</v>
      </c>
      <c r="D342">
        <f>'rockfish harvests'!D350</f>
        <v>28388</v>
      </c>
      <c r="E342">
        <f>'YE harvest'!E351</f>
        <v>1254</v>
      </c>
      <c r="F342" t="s">
        <v>264</v>
      </c>
      <c r="G342" t="s">
        <v>235</v>
      </c>
      <c r="H342" s="13">
        <f t="shared" si="175"/>
        <v>1201.1999999999996</v>
      </c>
      <c r="I342">
        <f t="shared" si="176"/>
        <v>28.100735489587993</v>
      </c>
      <c r="K342" s="6"/>
      <c r="M342" s="2">
        <f>'rockfish harvests'!O350</f>
        <v>14186.636497865038</v>
      </c>
      <c r="N342">
        <f>'rockfish harvests'!P350</f>
        <v>6428956.9149598647</v>
      </c>
      <c r="O342" t="s">
        <v>268</v>
      </c>
      <c r="P342" t="s">
        <v>269</v>
      </c>
      <c r="Q342" s="13">
        <f t="shared" si="179"/>
        <v>1337.5971555129895</v>
      </c>
      <c r="R342" s="14">
        <f t="shared" si="122"/>
        <v>82525.283976736129</v>
      </c>
      <c r="S342">
        <f t="shared" si="180"/>
        <v>287.272142709202</v>
      </c>
      <c r="T342" s="6">
        <f t="shared" si="181"/>
        <v>563.05339971003593</v>
      </c>
      <c r="V342" s="13">
        <f t="shared" si="182"/>
        <v>2538.7971555129889</v>
      </c>
      <c r="W342">
        <f t="shared" si="183"/>
        <v>82553.384712225714</v>
      </c>
      <c r="X342">
        <f t="shared" si="184"/>
        <v>287.32104815384776</v>
      </c>
      <c r="Y342" s="6">
        <f t="shared" si="185"/>
        <v>563.1492543815416</v>
      </c>
      <c r="Z342" s="14">
        <f t="shared" si="186"/>
        <v>0.11317211677582478</v>
      </c>
    </row>
    <row r="343" spans="1:26" x14ac:dyDescent="0.3">
      <c r="A343" t="str">
        <f>'rockfish harvests'!A351</f>
        <v>SE</v>
      </c>
      <c r="B343">
        <f>'rockfish harvests'!B351</f>
        <v>2022</v>
      </c>
      <c r="C343" t="str">
        <f>'rockfish harvests'!C351</f>
        <v>SSEI</v>
      </c>
      <c r="D343">
        <f>'rockfish harvests'!D351</f>
        <v>33837</v>
      </c>
      <c r="E343">
        <f>'YE harvest'!E352</f>
        <v>3983</v>
      </c>
      <c r="F343" t="s">
        <v>265</v>
      </c>
      <c r="G343" t="s">
        <v>237</v>
      </c>
      <c r="H343" s="13">
        <f t="shared" ref="H343" si="187">E343*F343</f>
        <v>3731.7359813084099</v>
      </c>
      <c r="I343">
        <f t="shared" ref="I343" si="188">(E343^2)*G343</f>
        <v>431.89819408546725</v>
      </c>
      <c r="K343" s="6"/>
      <c r="M343" s="2">
        <f>'rockfish harvests'!O351</f>
        <v>25305.766593391003</v>
      </c>
      <c r="N343">
        <f>'rockfish harvests'!P351</f>
        <v>17493065.751002964</v>
      </c>
      <c r="O343" t="s">
        <v>270</v>
      </c>
      <c r="P343" t="s">
        <v>271</v>
      </c>
      <c r="Q343" s="13">
        <f t="shared" ref="Q343" si="189">M343*O343</f>
        <v>4531.7064289583141</v>
      </c>
      <c r="R343" s="14">
        <f t="shared" si="122"/>
        <v>732766.55176196166</v>
      </c>
      <c r="S343">
        <f t="shared" ref="S343" si="190">SQRT(R343)</f>
        <v>856.01784546933459</v>
      </c>
      <c r="T343" s="6"/>
      <c r="V343" s="13">
        <f t="shared" ref="V343" si="191">Q343+H343</f>
        <v>8263.4424102667235</v>
      </c>
      <c r="W343">
        <f t="shared" ref="W343" si="192">R343+I343</f>
        <v>733198.44995604712</v>
      </c>
      <c r="X343">
        <f t="shared" ref="X343" si="193">SQRT(W343)</f>
        <v>856.27008003085518</v>
      </c>
      <c r="Y343" s="6">
        <f t="shared" ref="Y343" si="194">(1.96*X343)</f>
        <v>1678.2893568604761</v>
      </c>
      <c r="Z343" s="14">
        <f t="shared" ref="Z343" si="195">X343/V343</f>
        <v>0.10362147365691109</v>
      </c>
    </row>
    <row r="344" spans="1:26" x14ac:dyDescent="0.3">
      <c r="A344" t="str">
        <f>'rockfish harvests'!A352</f>
        <v>SE</v>
      </c>
      <c r="B344">
        <f>'rockfish harvests'!B352</f>
        <v>1998</v>
      </c>
      <c r="C344" t="str">
        <f>'rockfish harvests'!C352</f>
        <v>SSEO</v>
      </c>
      <c r="D344">
        <f>'rockfish harvests'!D352</f>
        <v>3185</v>
      </c>
      <c r="E344">
        <f>'YE harvest'!E353</f>
        <v>1723</v>
      </c>
      <c r="F344" s="32">
        <v>5.5469732000000001E-2</v>
      </c>
      <c r="G344" s="32">
        <v>9.1752999999999995E-4</v>
      </c>
      <c r="H344" s="13">
        <f t="shared" si="144"/>
        <v>95.574348236000006</v>
      </c>
      <c r="I344">
        <f t="shared" si="145"/>
        <v>2723.8979193699997</v>
      </c>
      <c r="J344">
        <f t="shared" si="147"/>
        <v>52.190975459077208</v>
      </c>
      <c r="K344" s="6">
        <f t="shared" si="148"/>
        <v>102.29431189979132</v>
      </c>
      <c r="M344" s="2">
        <f>'rockfish harvests'!O352</f>
        <v>1543.4215757484271</v>
      </c>
      <c r="N344">
        <f>'rockfish harvests'!P352</f>
        <v>277633.92962977174</v>
      </c>
      <c r="O344" s="32">
        <v>2.5896555000000002E-2</v>
      </c>
      <c r="P344" s="32">
        <v>1.86563E-4</v>
      </c>
      <c r="Q344" s="13">
        <f t="shared" si="121"/>
        <v>39.969301724555812</v>
      </c>
      <c r="R344" s="14">
        <f t="shared" si="122"/>
        <v>682.40737478176084</v>
      </c>
      <c r="S344">
        <f t="shared" si="149"/>
        <v>26.122928143333411</v>
      </c>
      <c r="T344" s="6">
        <f t="shared" si="150"/>
        <v>51.200939160933487</v>
      </c>
      <c r="V344" s="13">
        <f t="shared" si="146"/>
        <v>135.54364996055583</v>
      </c>
      <c r="W344">
        <f t="shared" si="146"/>
        <v>3406.3052941517608</v>
      </c>
      <c r="X344">
        <f t="shared" si="151"/>
        <v>58.363561355967313</v>
      </c>
      <c r="Y344" s="6">
        <f t="shared" si="152"/>
        <v>114.39258025769593</v>
      </c>
      <c r="Z344" s="14">
        <f t="shared" si="123"/>
        <v>0.43058868027348773</v>
      </c>
    </row>
    <row r="345" spans="1:26" x14ac:dyDescent="0.3">
      <c r="A345" t="str">
        <f>'rockfish harvests'!A353</f>
        <v>SE</v>
      </c>
      <c r="B345">
        <f>'rockfish harvests'!B353</f>
        <v>1999</v>
      </c>
      <c r="C345" t="str">
        <f>'rockfish harvests'!C353</f>
        <v>SSEO</v>
      </c>
      <c r="D345">
        <f>'rockfish harvests'!D353</f>
        <v>4616</v>
      </c>
      <c r="E345">
        <f>'YE harvest'!E354</f>
        <v>3048</v>
      </c>
      <c r="F345" s="32">
        <v>5.5469732000000001E-2</v>
      </c>
      <c r="G345" s="32">
        <v>9.1752999999999995E-4</v>
      </c>
      <c r="H345" s="13">
        <f t="shared" si="144"/>
        <v>169.07174313600001</v>
      </c>
      <c r="I345">
        <f t="shared" si="145"/>
        <v>8524.1326291200003</v>
      </c>
      <c r="J345">
        <f t="shared" si="147"/>
        <v>92.32622936695725</v>
      </c>
      <c r="K345" s="6">
        <f t="shared" si="148"/>
        <v>180.95940955923621</v>
      </c>
      <c r="M345" s="2">
        <f>'rockfish harvests'!O353</f>
        <v>2236.8709556215817</v>
      </c>
      <c r="N345">
        <f>'rockfish harvests'!P353</f>
        <v>583156.69651387446</v>
      </c>
      <c r="O345" s="32">
        <v>2.5896555000000002E-2</v>
      </c>
      <c r="P345" s="32">
        <v>1.86563E-4</v>
      </c>
      <c r="Q345" s="13">
        <f t="shared" si="121"/>
        <v>57.927251730156854</v>
      </c>
      <c r="R345" s="14">
        <f t="shared" si="122"/>
        <v>1433.3638215080871</v>
      </c>
      <c r="S345">
        <f t="shared" si="149"/>
        <v>37.859791619977088</v>
      </c>
      <c r="T345" s="6">
        <f t="shared" si="150"/>
        <v>74.205191575155098</v>
      </c>
      <c r="V345" s="13">
        <f t="shared" si="146"/>
        <v>226.99899486615686</v>
      </c>
      <c r="W345">
        <f t="shared" si="146"/>
        <v>9957.4964506280867</v>
      </c>
      <c r="X345">
        <f t="shared" si="151"/>
        <v>99.787255952992751</v>
      </c>
      <c r="Y345" s="6">
        <f t="shared" si="152"/>
        <v>195.58302166786578</v>
      </c>
      <c r="Z345" s="14">
        <f t="shared" si="123"/>
        <v>0.43959338239285733</v>
      </c>
    </row>
    <row r="346" spans="1:26" x14ac:dyDescent="0.3">
      <c r="A346" t="str">
        <f>'rockfish harvests'!A354</f>
        <v>SE</v>
      </c>
      <c r="B346">
        <f>'rockfish harvests'!B354</f>
        <v>2000</v>
      </c>
      <c r="C346" t="str">
        <f>'rockfish harvests'!C354</f>
        <v>SSEO</v>
      </c>
      <c r="D346">
        <f>'rockfish harvests'!D354</f>
        <v>6910</v>
      </c>
      <c r="E346">
        <f>'YE harvest'!E355</f>
        <v>4760</v>
      </c>
      <c r="F346" s="32">
        <v>5.5469732000000001E-2</v>
      </c>
      <c r="G346" s="32">
        <v>9.1752999999999995E-4</v>
      </c>
      <c r="H346" s="13">
        <f t="shared" si="144"/>
        <v>264.03592431999999</v>
      </c>
      <c r="I346">
        <f t="shared" si="145"/>
        <v>20789.027727999997</v>
      </c>
      <c r="J346">
        <f t="shared" si="147"/>
        <v>144.18400649170488</v>
      </c>
      <c r="K346" s="6">
        <f t="shared" si="148"/>
        <v>282.60065272374158</v>
      </c>
      <c r="M346" s="2">
        <f>'rockfish harvests'!O354</f>
        <v>3348.5221627697429</v>
      </c>
      <c r="N346">
        <f>'rockfish harvests'!P354</f>
        <v>1306801.9129460659</v>
      </c>
      <c r="O346" s="32">
        <v>2.5896555000000002E-2</v>
      </c>
      <c r="P346" s="32">
        <v>1.86563E-4</v>
      </c>
      <c r="Q346" s="13">
        <f t="shared" si="121"/>
        <v>86.715188356885605</v>
      </c>
      <c r="R346" s="14">
        <f t="shared" si="122"/>
        <v>3212.0399115572645</v>
      </c>
      <c r="S346">
        <f t="shared" si="149"/>
        <v>56.674861372192737</v>
      </c>
      <c r="T346" s="6">
        <f t="shared" si="150"/>
        <v>111.08272828949777</v>
      </c>
      <c r="V346" s="13">
        <f t="shared" si="146"/>
        <v>350.75111267688561</v>
      </c>
      <c r="W346">
        <f t="shared" si="146"/>
        <v>24001.067639557263</v>
      </c>
      <c r="X346">
        <f t="shared" si="151"/>
        <v>154.92277960183023</v>
      </c>
      <c r="Y346" s="6">
        <f t="shared" si="152"/>
        <v>303.64864801958726</v>
      </c>
      <c r="Z346" s="14">
        <f t="shared" si="123"/>
        <v>0.44168863334311409</v>
      </c>
    </row>
    <row r="347" spans="1:26" x14ac:dyDescent="0.3">
      <c r="A347" t="str">
        <f>'rockfish harvests'!A355</f>
        <v>SE</v>
      </c>
      <c r="B347">
        <f>'rockfish harvests'!B355</f>
        <v>2001</v>
      </c>
      <c r="C347" t="str">
        <f>'rockfish harvests'!C355</f>
        <v>SSEO</v>
      </c>
      <c r="D347">
        <f>'rockfish harvests'!D355</f>
        <v>5756</v>
      </c>
      <c r="E347">
        <f>'YE harvest'!E356</f>
        <v>3877</v>
      </c>
      <c r="F347" s="32">
        <v>5.5469732000000001E-2</v>
      </c>
      <c r="G347" s="32">
        <v>9.1752999999999995E-4</v>
      </c>
      <c r="H347" s="13">
        <f t="shared" si="144"/>
        <v>215.05615096400001</v>
      </c>
      <c r="I347">
        <f t="shared" si="145"/>
        <v>13791.51179137</v>
      </c>
      <c r="J347">
        <f t="shared" si="147"/>
        <v>117.43726747234031</v>
      </c>
      <c r="K347" s="6">
        <f t="shared" si="148"/>
        <v>230.17704424578702</v>
      </c>
      <c r="M347" s="2">
        <f>'rockfish harvests'!O355</f>
        <v>2789.304423864347</v>
      </c>
      <c r="N347">
        <f>'rockfish harvests'!P355</f>
        <v>906766.02050430153</v>
      </c>
      <c r="O347" s="32">
        <v>2.5896555000000002E-2</v>
      </c>
      <c r="P347" s="32">
        <v>1.86563E-4</v>
      </c>
      <c r="Q347" s="13">
        <f t="shared" ref="Q347:Q364" si="196">M347*O347</f>
        <v>72.233375424346377</v>
      </c>
      <c r="R347" s="14">
        <f t="shared" si="122"/>
        <v>2228.7759295803667</v>
      </c>
      <c r="S347">
        <f t="shared" si="149"/>
        <v>47.209913467198461</v>
      </c>
      <c r="T347" s="6">
        <f t="shared" si="150"/>
        <v>92.531430395708981</v>
      </c>
      <c r="V347" s="13">
        <f t="shared" si="146"/>
        <v>287.28952638834642</v>
      </c>
      <c r="W347">
        <f t="shared" si="146"/>
        <v>16020.287720950366</v>
      </c>
      <c r="X347">
        <f t="shared" si="151"/>
        <v>126.57127526003033</v>
      </c>
      <c r="Y347" s="6">
        <f t="shared" si="152"/>
        <v>248.07969950965946</v>
      </c>
      <c r="Z347" s="14">
        <f t="shared" si="123"/>
        <v>0.44057044769859233</v>
      </c>
    </row>
    <row r="348" spans="1:26" x14ac:dyDescent="0.3">
      <c r="A348" t="str">
        <f>'rockfish harvests'!A356</f>
        <v>SE</v>
      </c>
      <c r="B348">
        <f>'rockfish harvests'!B356</f>
        <v>2002</v>
      </c>
      <c r="C348" t="str">
        <f>'rockfish harvests'!C356</f>
        <v>SSEO</v>
      </c>
      <c r="D348">
        <f>'rockfish harvests'!D356</f>
        <v>7617</v>
      </c>
      <c r="E348">
        <f>'YE harvest'!E357</f>
        <v>4125</v>
      </c>
      <c r="F348" s="32">
        <v>5.5469732000000001E-2</v>
      </c>
      <c r="G348" s="32">
        <v>9.1752999999999995E-4</v>
      </c>
      <c r="H348" s="13">
        <f t="shared" si="144"/>
        <v>228.8126445</v>
      </c>
      <c r="I348">
        <f t="shared" si="145"/>
        <v>15612.346406249999</v>
      </c>
      <c r="J348">
        <f t="shared" si="147"/>
        <v>124.94937537358879</v>
      </c>
      <c r="K348" s="6">
        <f t="shared" si="148"/>
        <v>244.90077573223402</v>
      </c>
      <c r="M348" s="2">
        <f>'rockfish harvests'!O356</f>
        <v>3691.1278312325794</v>
      </c>
      <c r="N348">
        <f>'rockfish harvests'!P356</f>
        <v>1587894.256982432</v>
      </c>
      <c r="O348" s="32">
        <v>2.5896555000000002E-2</v>
      </c>
      <c r="P348" s="32">
        <v>1.86563E-4</v>
      </c>
      <c r="Q348" s="13">
        <f t="shared" si="196"/>
        <v>95.587494893545212</v>
      </c>
      <c r="R348" s="14">
        <f t="shared" ref="R348:R368" si="197">(M348^2)*P348+(O348^2)*N348+(P348*N348)</f>
        <v>3902.9478593751028</v>
      </c>
      <c r="S348">
        <f t="shared" si="149"/>
        <v>62.473577289723877</v>
      </c>
      <c r="T348" s="6">
        <f t="shared" si="150"/>
        <v>122.4482114878588</v>
      </c>
      <c r="V348" s="13">
        <f t="shared" si="146"/>
        <v>324.4001393935452</v>
      </c>
      <c r="W348">
        <f t="shared" si="146"/>
        <v>19515.294265625103</v>
      </c>
      <c r="X348">
        <f t="shared" si="151"/>
        <v>139.69715195960546</v>
      </c>
      <c r="Y348" s="6">
        <f t="shared" si="152"/>
        <v>273.80641784082673</v>
      </c>
      <c r="Z348" s="14">
        <f t="shared" si="123"/>
        <v>0.43063221927328527</v>
      </c>
    </row>
    <row r="349" spans="1:26" x14ac:dyDescent="0.3">
      <c r="A349" t="str">
        <f>'rockfish harvests'!A357</f>
        <v>SE</v>
      </c>
      <c r="B349">
        <f>'rockfish harvests'!B357</f>
        <v>2003</v>
      </c>
      <c r="C349" t="str">
        <f>'rockfish harvests'!C357</f>
        <v>SSEO</v>
      </c>
      <c r="D349">
        <f>'rockfish harvests'!D357</f>
        <v>6896</v>
      </c>
      <c r="E349">
        <f>'YE harvest'!E358</f>
        <v>4090</v>
      </c>
      <c r="F349" s="32">
        <v>5.5469732000000001E-2</v>
      </c>
      <c r="G349" s="32">
        <v>9.1752999999999995E-4</v>
      </c>
      <c r="H349" s="13">
        <f t="shared" si="144"/>
        <v>226.87120388</v>
      </c>
      <c r="I349">
        <f t="shared" si="145"/>
        <v>15348.533592999998</v>
      </c>
      <c r="J349">
        <f t="shared" si="147"/>
        <v>123.88919885526744</v>
      </c>
      <c r="K349" s="6">
        <f t="shared" si="148"/>
        <v>242.82282975632418</v>
      </c>
      <c r="M349" s="2">
        <f>'rockfish harvests'!O357</f>
        <v>3341.7378921071122</v>
      </c>
      <c r="N349">
        <f>'rockfish harvests'!P357</f>
        <v>1301511.9872539048</v>
      </c>
      <c r="O349" s="32">
        <v>2.5896555000000002E-2</v>
      </c>
      <c r="P349" s="32">
        <v>1.86563E-4</v>
      </c>
      <c r="Q349" s="13">
        <f t="shared" si="196"/>
        <v>86.5394991185359</v>
      </c>
      <c r="R349" s="14">
        <f t="shared" si="197"/>
        <v>3199.0375947684192</v>
      </c>
      <c r="S349">
        <f t="shared" si="149"/>
        <v>56.560035314419835</v>
      </c>
      <c r="T349" s="6">
        <f t="shared" si="150"/>
        <v>110.85766921626288</v>
      </c>
      <c r="V349" s="13">
        <f t="shared" si="146"/>
        <v>313.4107029985359</v>
      </c>
      <c r="W349">
        <f t="shared" si="146"/>
        <v>18547.571187768419</v>
      </c>
      <c r="X349">
        <f t="shared" si="151"/>
        <v>136.18946797666999</v>
      </c>
      <c r="Y349" s="6">
        <f t="shared" si="152"/>
        <v>266.93135723427315</v>
      </c>
      <c r="Z349" s="14">
        <f t="shared" si="123"/>
        <v>0.43453993968197763</v>
      </c>
    </row>
    <row r="350" spans="1:26" x14ac:dyDescent="0.3">
      <c r="A350" t="str">
        <f>'rockfish harvests'!A358</f>
        <v>SE</v>
      </c>
      <c r="B350">
        <f>'rockfish harvests'!B358</f>
        <v>2004</v>
      </c>
      <c r="C350" t="str">
        <f>'rockfish harvests'!C358</f>
        <v>SSEO</v>
      </c>
      <c r="D350">
        <f>'rockfish harvests'!D358</f>
        <v>10061</v>
      </c>
      <c r="E350">
        <f>'YE harvest'!E359</f>
        <v>5918</v>
      </c>
      <c r="F350" s="32">
        <v>5.5469732000000001E-2</v>
      </c>
      <c r="G350" s="32">
        <v>9.1752999999999995E-4</v>
      </c>
      <c r="H350" s="13">
        <f t="shared" si="144"/>
        <v>328.26987397599999</v>
      </c>
      <c r="I350">
        <f t="shared" si="145"/>
        <v>32134.399951719999</v>
      </c>
      <c r="J350">
        <f t="shared" si="147"/>
        <v>179.26070386930874</v>
      </c>
      <c r="K350" s="6">
        <f t="shared" si="148"/>
        <v>351.35097958384512</v>
      </c>
      <c r="M350" s="2">
        <f>'rockfish harvests'!O358</f>
        <v>4875.4676526232088</v>
      </c>
      <c r="N350">
        <f>'rockfish harvests'!P358</f>
        <v>2770358.4485732173</v>
      </c>
      <c r="O350" s="32">
        <v>2.5896555000000002E-2</v>
      </c>
      <c r="P350" s="32">
        <v>1.86563E-4</v>
      </c>
      <c r="Q350" s="13">
        <f t="shared" si="196"/>
        <v>126.25781621687783</v>
      </c>
      <c r="R350" s="14">
        <f t="shared" si="197"/>
        <v>6809.3731865422305</v>
      </c>
      <c r="S350">
        <f t="shared" si="149"/>
        <v>82.518926232363384</v>
      </c>
      <c r="T350" s="6">
        <f t="shared" si="150"/>
        <v>161.73709541543224</v>
      </c>
      <c r="V350" s="13">
        <f t="shared" si="146"/>
        <v>454.5276901928778</v>
      </c>
      <c r="W350">
        <f t="shared" si="146"/>
        <v>38943.77313826223</v>
      </c>
      <c r="X350">
        <f t="shared" si="151"/>
        <v>197.34176734351558</v>
      </c>
      <c r="Y350" s="6">
        <f t="shared" si="152"/>
        <v>386.78986399329057</v>
      </c>
      <c r="Z350" s="14">
        <f t="shared" si="123"/>
        <v>0.43416885615873929</v>
      </c>
    </row>
    <row r="351" spans="1:26" x14ac:dyDescent="0.3">
      <c r="A351" t="str">
        <f>'rockfish harvests'!A359</f>
        <v>SE</v>
      </c>
      <c r="B351">
        <f>'rockfish harvests'!B359</f>
        <v>2005</v>
      </c>
      <c r="C351" t="str">
        <f>'rockfish harvests'!C359</f>
        <v>SSEO</v>
      </c>
      <c r="D351">
        <f>'rockfish harvests'!D359</f>
        <v>12666</v>
      </c>
      <c r="E351">
        <f>'YE harvest'!E360</f>
        <v>7243</v>
      </c>
      <c r="F351" s="32">
        <v>5.5469732000000001E-2</v>
      </c>
      <c r="G351" s="32">
        <v>9.1752999999999995E-4</v>
      </c>
      <c r="H351" s="13">
        <f t="shared" si="144"/>
        <v>401.767268876</v>
      </c>
      <c r="I351">
        <f t="shared" si="145"/>
        <v>48134.58628897</v>
      </c>
      <c r="J351">
        <f t="shared" si="147"/>
        <v>219.39595777718878</v>
      </c>
      <c r="K351" s="6">
        <f t="shared" si="148"/>
        <v>430.01607724329</v>
      </c>
      <c r="M351" s="2">
        <f>'rockfish harvests'!O359</f>
        <v>6137.826586634088</v>
      </c>
      <c r="N351">
        <f>'rockfish harvests'!P359</f>
        <v>4390688.5733686173</v>
      </c>
      <c r="O351" s="32">
        <v>2.5896555000000002E-2</v>
      </c>
      <c r="P351" s="32">
        <v>1.86563E-4</v>
      </c>
      <c r="Q351" s="13">
        <f t="shared" si="196"/>
        <v>158.94856378123194</v>
      </c>
      <c r="R351" s="14">
        <f t="shared" si="197"/>
        <v>10792.046443431002</v>
      </c>
      <c r="S351">
        <f t="shared" si="149"/>
        <v>103.88477483939117</v>
      </c>
      <c r="T351" s="6">
        <f t="shared" si="150"/>
        <v>203.61415868520669</v>
      </c>
      <c r="V351" s="13">
        <f t="shared" si="146"/>
        <v>560.71583265723189</v>
      </c>
      <c r="W351">
        <f t="shared" si="146"/>
        <v>58926.632732401005</v>
      </c>
      <c r="X351">
        <f t="shared" si="151"/>
        <v>242.74808492015134</v>
      </c>
      <c r="Y351" s="6">
        <f t="shared" si="152"/>
        <v>475.78624644349662</v>
      </c>
      <c r="Z351" s="14">
        <f t="shared" si="123"/>
        <v>0.43292532648805077</v>
      </c>
    </row>
    <row r="352" spans="1:26" x14ac:dyDescent="0.3">
      <c r="A352" t="str">
        <f>'rockfish harvests'!A360</f>
        <v>SE</v>
      </c>
      <c r="B352">
        <f>'rockfish harvests'!B360</f>
        <v>2006</v>
      </c>
      <c r="C352" t="str">
        <f>'rockfish harvests'!C360</f>
        <v>SSEO</v>
      </c>
      <c r="D352">
        <f>'rockfish harvests'!D360</f>
        <v>12007</v>
      </c>
      <c r="E352">
        <f>'YE harvest'!E361</f>
        <v>7233</v>
      </c>
      <c r="F352">
        <f>IF([2]species_comp_Region1_forR!$H274&gt;49,[2]species_comp_Region1_forR!$AV274,[2]species_comp_Region1_forR!$AX274)</f>
        <v>3.7671232999999998E-2</v>
      </c>
      <c r="G352">
        <f>IF([2]species_comp_Region1_forR!$H274&gt;49,[2]species_comp_Region1_forR!$AW274,[2]species_comp_Region1_forR!$AY274)</f>
        <v>1.24578E-4</v>
      </c>
      <c r="H352" s="13">
        <f t="shared" si="144"/>
        <v>272.476028289</v>
      </c>
      <c r="I352">
        <f t="shared" si="145"/>
        <v>6517.4586510420004</v>
      </c>
      <c r="J352">
        <f t="shared" si="147"/>
        <v>80.730778833366898</v>
      </c>
      <c r="K352" s="6">
        <f t="shared" si="148"/>
        <v>158.23232651339913</v>
      </c>
      <c r="M352" s="2">
        <f>'rockfish harvests'!O360</f>
        <v>5818.4812747288415</v>
      </c>
      <c r="N352">
        <f>'rockfish harvests'!P360</f>
        <v>3945687.5188521035</v>
      </c>
      <c r="O352">
        <f>IF([2]species_comp_Region1_forR!$D296&gt;49,[2]species_comp_Region1_forR!$AR296,[2]species_comp_Region1_forR!$AT296)</f>
        <v>2.2058824000000001E-2</v>
      </c>
      <c r="P352">
        <f>IF([2]species_comp_Region1_forR!$D296&gt;49,[2]species_comp_Region1_forR!$AS296,[2]species_comp_Region1_forR!$AU296)</f>
        <v>1.59794E-4</v>
      </c>
      <c r="Q352" s="13">
        <f t="shared" si="196"/>
        <v>128.34885438653916</v>
      </c>
      <c r="R352" s="14">
        <f t="shared" si="197"/>
        <v>7960.2178749073873</v>
      </c>
      <c r="S352">
        <f t="shared" si="149"/>
        <v>89.220053098546117</v>
      </c>
      <c r="T352" s="6">
        <f t="shared" si="150"/>
        <v>174.87130407315038</v>
      </c>
      <c r="V352" s="13">
        <f t="shared" si="146"/>
        <v>400.82488267553913</v>
      </c>
      <c r="W352">
        <f t="shared" si="146"/>
        <v>14477.676525949388</v>
      </c>
      <c r="X352">
        <f t="shared" si="151"/>
        <v>120.32321690326181</v>
      </c>
      <c r="Y352" s="6">
        <f t="shared" si="152"/>
        <v>235.83350513039315</v>
      </c>
      <c r="Z352" s="14">
        <f t="shared" si="123"/>
        <v>0.30018899051399806</v>
      </c>
    </row>
    <row r="353" spans="1:26" x14ac:dyDescent="0.3">
      <c r="A353" t="str">
        <f>'rockfish harvests'!A361</f>
        <v>SE</v>
      </c>
      <c r="B353">
        <f>'rockfish harvests'!B361</f>
        <v>2007</v>
      </c>
      <c r="C353" t="str">
        <f>'rockfish harvests'!C361</f>
        <v>SSEO</v>
      </c>
      <c r="D353">
        <f>'rockfish harvests'!D361</f>
        <v>12018</v>
      </c>
      <c r="E353">
        <f>'YE harvest'!E362</f>
        <v>6094</v>
      </c>
      <c r="F353">
        <f>IF([2]species_comp_Region1_forR!$H275&gt;49,[2]species_comp_Region1_forR!$AV275,[2]species_comp_Region1_forR!$AX275)</f>
        <v>2.9968453999999999E-2</v>
      </c>
      <c r="G353">
        <f>IF([2]species_comp_Region1_forR!$H275&gt;49,[2]species_comp_Region1_forR!$AW275,[2]species_comp_Region1_forR!$AY275)</f>
        <v>4.5924699999999998E-5</v>
      </c>
      <c r="H353" s="13">
        <f t="shared" si="144"/>
        <v>182.62775867599998</v>
      </c>
      <c r="I353">
        <f t="shared" si="145"/>
        <v>1705.4980522491999</v>
      </c>
      <c r="J353">
        <f t="shared" si="147"/>
        <v>41.297676111970269</v>
      </c>
      <c r="K353" s="6">
        <f t="shared" si="148"/>
        <v>80.943445179461719</v>
      </c>
      <c r="M353" s="2">
        <f>'rockfish harvests'!O361</f>
        <v>5823.8117731066231</v>
      </c>
      <c r="N353">
        <f>'rockfish harvests'!P361</f>
        <v>3952920.3736786586</v>
      </c>
      <c r="O353">
        <f>IF([2]species_comp_Region1_forR!$D297&gt;49,[2]species_comp_Region1_forR!$AR297,[2]species_comp_Region1_forR!$AT297)</f>
        <v>8.0862529999999998E-3</v>
      </c>
      <c r="P353">
        <f>IF([2]species_comp_Region1_forR!$D297&gt;49,[2]species_comp_Region1_forR!$AS297,[2]species_comp_Region1_forR!$AU297)</f>
        <v>2.1678000000000001E-5</v>
      </c>
      <c r="Q353" s="13">
        <f t="shared" si="196"/>
        <v>47.092815421718747</v>
      </c>
      <c r="R353" s="14">
        <f t="shared" si="197"/>
        <v>1079.4109738988593</v>
      </c>
      <c r="S353">
        <f t="shared" si="149"/>
        <v>32.854390481317097</v>
      </c>
      <c r="T353" s="6">
        <f t="shared" si="150"/>
        <v>64.394605343381514</v>
      </c>
      <c r="V353" s="13">
        <f t="shared" si="146"/>
        <v>229.72057409771872</v>
      </c>
      <c r="W353">
        <f t="shared" si="146"/>
        <v>2784.9090261480592</v>
      </c>
      <c r="X353">
        <f t="shared" si="151"/>
        <v>52.772237266843817</v>
      </c>
      <c r="Y353" s="6">
        <f t="shared" si="152"/>
        <v>103.43358504301388</v>
      </c>
      <c r="Z353" s="14">
        <f t="shared" si="123"/>
        <v>0.22972359996103578</v>
      </c>
    </row>
    <row r="354" spans="1:26" x14ac:dyDescent="0.3">
      <c r="A354" t="str">
        <f>'rockfish harvests'!A362</f>
        <v>SE</v>
      </c>
      <c r="B354">
        <f>'rockfish harvests'!B362</f>
        <v>2008</v>
      </c>
      <c r="C354" t="str">
        <f>'rockfish harvests'!C362</f>
        <v>SSEO</v>
      </c>
      <c r="D354">
        <f>'rockfish harvests'!D362</f>
        <v>17754</v>
      </c>
      <c r="E354">
        <f>'YE harvest'!E363</f>
        <v>6953</v>
      </c>
      <c r="F354">
        <f>IF([2]species_comp_Region1_forR!$H276&gt;49,[2]species_comp_Region1_forR!$AV276,[2]species_comp_Region1_forR!$AX276)</f>
        <v>4.9019607999999999E-2</v>
      </c>
      <c r="G354">
        <f>IF([2]species_comp_Region1_forR!$H276&gt;49,[2]species_comp_Region1_forR!$AW276,[2]species_comp_Region1_forR!$AY276)</f>
        <v>5.0836099999999999E-5</v>
      </c>
      <c r="H354" s="13">
        <f t="shared" si="144"/>
        <v>340.83333442399999</v>
      </c>
      <c r="I354">
        <f t="shared" si="145"/>
        <v>2457.6310431449001</v>
      </c>
      <c r="J354">
        <f t="shared" si="147"/>
        <v>49.574499928339165</v>
      </c>
      <c r="K354" s="6">
        <f t="shared" si="148"/>
        <v>97.166019859544761</v>
      </c>
      <c r="M354" s="2">
        <f>'rockfish harvests'!O362</f>
        <v>8603.4243817386414</v>
      </c>
      <c r="N354">
        <f>'rockfish harvests'!P362</f>
        <v>8626727.8588684946</v>
      </c>
      <c r="O354">
        <f>IF([2]species_comp_Region1_forR!$D298&gt;49,[2]species_comp_Region1_forR!$AR298,[2]species_comp_Region1_forR!$AT298)</f>
        <v>1.3157894999999999E-2</v>
      </c>
      <c r="P354">
        <f>IF([2]species_comp_Region1_forR!$D298&gt;49,[2]species_comp_Region1_forR!$AS298,[2]species_comp_Region1_forR!$AU298)</f>
        <v>2.4453399999999999E-5</v>
      </c>
      <c r="Q354" s="13">
        <f t="shared" si="196"/>
        <v>113.20295465535696</v>
      </c>
      <c r="R354" s="14">
        <f t="shared" si="197"/>
        <v>3514.51399424888</v>
      </c>
      <c r="S354">
        <f t="shared" si="149"/>
        <v>59.283336564745412</v>
      </c>
      <c r="T354" s="6">
        <f t="shared" si="150"/>
        <v>116.19533966690101</v>
      </c>
      <c r="V354" s="13">
        <f t="shared" si="146"/>
        <v>454.03628907935695</v>
      </c>
      <c r="W354">
        <f t="shared" si="146"/>
        <v>5972.1450373937805</v>
      </c>
      <c r="X354">
        <f t="shared" si="151"/>
        <v>77.27965474427134</v>
      </c>
      <c r="Y354" s="6">
        <f t="shared" si="152"/>
        <v>151.46812329877181</v>
      </c>
      <c r="Z354" s="14">
        <f t="shared" si="123"/>
        <v>0.17020589896232793</v>
      </c>
    </row>
    <row r="355" spans="1:26" x14ac:dyDescent="0.3">
      <c r="A355" t="str">
        <f>'rockfish harvests'!A363</f>
        <v>SE</v>
      </c>
      <c r="B355">
        <f>'rockfish harvests'!B363</f>
        <v>2009</v>
      </c>
      <c r="C355" t="str">
        <f>'rockfish harvests'!C363</f>
        <v>SSEO</v>
      </c>
      <c r="D355">
        <f>'rockfish harvests'!D363</f>
        <v>9645</v>
      </c>
      <c r="E355">
        <f>'YE harvest'!E364</f>
        <v>3692</v>
      </c>
      <c r="F355">
        <f>IF([2]species_comp_Region1_forR!$H277&gt;49,[2]species_comp_Region1_forR!$AV277,[2]species_comp_Region1_forR!$AX277)</f>
        <v>3.9568344999999998E-2</v>
      </c>
      <c r="G355">
        <f>IF([2]species_comp_Region1_forR!$H277&gt;49,[2]species_comp_Region1_forR!$AW277,[2]species_comp_Region1_forR!$AY277)</f>
        <v>6.8473300000000001E-5</v>
      </c>
      <c r="H355" s="13">
        <f t="shared" si="144"/>
        <v>146.08632974</v>
      </c>
      <c r="I355">
        <f t="shared" si="145"/>
        <v>933.35023993120001</v>
      </c>
      <c r="J355">
        <f t="shared" si="147"/>
        <v>30.550781330944712</v>
      </c>
      <c r="K355" s="6">
        <f t="shared" si="148"/>
        <v>59.879531408651637</v>
      </c>
      <c r="M355" s="2">
        <f>'rockfish harvests'!O363</f>
        <v>4673.8778957907616</v>
      </c>
      <c r="N355">
        <f>'rockfish harvests'!P363</f>
        <v>2545998.4255660125</v>
      </c>
      <c r="O355">
        <f>IF([2]species_comp_Region1_forR!$D299&gt;49,[2]species_comp_Region1_forR!$AR299,[2]species_comp_Region1_forR!$AT299)</f>
        <v>1.6819572000000001E-2</v>
      </c>
      <c r="P355">
        <f>IF([2]species_comp_Region1_forR!$D299&gt;49,[2]species_comp_Region1_forR!$AS299,[2]species_comp_Region1_forR!$AU299)</f>
        <v>2.5324200000000001E-5</v>
      </c>
      <c r="Q355" s="13">
        <f t="shared" si="196"/>
        <v>78.612625787461212</v>
      </c>
      <c r="R355" s="14">
        <f t="shared" si="197"/>
        <v>1337.9437989379724</v>
      </c>
      <c r="S355">
        <f t="shared" si="149"/>
        <v>36.577914086754213</v>
      </c>
      <c r="T355" s="6">
        <f t="shared" si="150"/>
        <v>71.692711610038259</v>
      </c>
      <c r="V355" s="13">
        <f t="shared" si="146"/>
        <v>224.69895552746121</v>
      </c>
      <c r="W355">
        <f t="shared" si="146"/>
        <v>2271.2940388691723</v>
      </c>
      <c r="X355">
        <f t="shared" si="151"/>
        <v>47.658095208150861</v>
      </c>
      <c r="Y355" s="6">
        <f t="shared" si="152"/>
        <v>93.409866607975687</v>
      </c>
      <c r="Z355" s="14">
        <f t="shared" si="123"/>
        <v>0.21209753777572146</v>
      </c>
    </row>
    <row r="356" spans="1:26" x14ac:dyDescent="0.3">
      <c r="A356" t="str">
        <f>'rockfish harvests'!A364</f>
        <v>SE</v>
      </c>
      <c r="B356">
        <f>'rockfish harvests'!B364</f>
        <v>2010</v>
      </c>
      <c r="C356" t="str">
        <f>'rockfish harvests'!C364</f>
        <v>SSEO</v>
      </c>
      <c r="D356">
        <f>'rockfish harvests'!D364</f>
        <v>12415</v>
      </c>
      <c r="E356">
        <f>'YE harvest'!E365</f>
        <v>4993</v>
      </c>
      <c r="F356">
        <f>IF([2]species_comp_Region1_forR!$H278&gt;49,[2]species_comp_Region1_forR!$AV278,[2]species_comp_Region1_forR!$AX278)</f>
        <v>2.5641026000000001E-2</v>
      </c>
      <c r="G356">
        <f>IF([2]species_comp_Region1_forR!$H278&gt;49,[2]species_comp_Region1_forR!$AW278,[2]species_comp_Region1_forR!$AY278)</f>
        <v>3.5639899999999997E-5</v>
      </c>
      <c r="H356" s="13">
        <f t="shared" si="144"/>
        <v>128.02564281799999</v>
      </c>
      <c r="I356">
        <f t="shared" si="145"/>
        <v>888.50445335509994</v>
      </c>
      <c r="J356">
        <f t="shared" si="147"/>
        <v>29.807791822862356</v>
      </c>
      <c r="K356" s="6">
        <f t="shared" si="148"/>
        <v>58.42327197281022</v>
      </c>
      <c r="M356" s="2">
        <f>'rockfish harvests'!O364</f>
        <v>6016.1943054683579</v>
      </c>
      <c r="N356">
        <f>'rockfish harvests'!P364</f>
        <v>4218393.7471152442</v>
      </c>
      <c r="O356">
        <f>IF([2]species_comp_Region1_forR!$D300&gt;49,[2]species_comp_Region1_forR!$AR300,[2]species_comp_Region1_forR!$AT300)</f>
        <v>2.8097062999999999E-2</v>
      </c>
      <c r="P356">
        <f>IF([2]species_comp_Region1_forR!$D300&gt;49,[2]species_comp_Region1_forR!$AS300,[2]species_comp_Region1_forR!$AU300)</f>
        <v>3.4920199999999998E-5</v>
      </c>
      <c r="Q356" s="13">
        <f t="shared" si="196"/>
        <v>169.0373904209857</v>
      </c>
      <c r="R356" s="14">
        <f t="shared" si="197"/>
        <v>4741.4192494798908</v>
      </c>
      <c r="S356">
        <f t="shared" si="149"/>
        <v>68.857964314085635</v>
      </c>
      <c r="T356" s="6">
        <f t="shared" si="150"/>
        <v>134.96161005560785</v>
      </c>
      <c r="V356" s="13">
        <f t="shared" si="146"/>
        <v>297.06303323898567</v>
      </c>
      <c r="W356">
        <f t="shared" si="146"/>
        <v>5629.9237028349908</v>
      </c>
      <c r="X356">
        <f t="shared" si="151"/>
        <v>75.0328175056421</v>
      </c>
      <c r="Y356" s="6">
        <f t="shared" si="152"/>
        <v>147.0643223110585</v>
      </c>
      <c r="Z356" s="14">
        <f t="shared" si="123"/>
        <v>0.25258214287901176</v>
      </c>
    </row>
    <row r="357" spans="1:26" x14ac:dyDescent="0.3">
      <c r="A357" t="str">
        <f>'rockfish harvests'!A365</f>
        <v>SE</v>
      </c>
      <c r="B357">
        <f>'rockfish harvests'!B365</f>
        <v>2011</v>
      </c>
      <c r="C357" t="str">
        <f>'rockfish harvests'!C365</f>
        <v>SSEO</v>
      </c>
      <c r="D357">
        <f>'rockfish harvests'!D365</f>
        <v>11926</v>
      </c>
      <c r="E357">
        <f>'YE harvest'!E366</f>
        <v>3783</v>
      </c>
      <c r="F357">
        <f>IF([2]species_comp_Region1_forR!$H279&gt;49,[2]species_comp_Region1_forR!$AV279,[2]species_comp_Region1_forR!$AX279)</f>
        <v>6.3394682999999993E-2</v>
      </c>
      <c r="G357">
        <f>IF([2]species_comp_Region1_forR!$H279&gt;49,[2]species_comp_Region1_forR!$AW279,[2]species_comp_Region1_forR!$AY279)</f>
        <v>1.21672E-4</v>
      </c>
      <c r="H357" s="13">
        <f t="shared" si="144"/>
        <v>239.82208578899997</v>
      </c>
      <c r="I357">
        <f t="shared" si="145"/>
        <v>1741.2588208079999</v>
      </c>
      <c r="J357">
        <f t="shared" si="147"/>
        <v>41.728393460664165</v>
      </c>
      <c r="K357" s="6">
        <f t="shared" si="148"/>
        <v>81.787651182901769</v>
      </c>
      <c r="M357" s="2">
        <f>'rockfish harvests'!O365</f>
        <v>5499.8326454033777</v>
      </c>
      <c r="N357">
        <f>'rockfish harvests'!P365</f>
        <v>3434887.6393615259</v>
      </c>
      <c r="O357">
        <f>IF([2]species_comp_Region1_forR!$D301&gt;49,[2]species_comp_Region1_forR!$AR301,[2]species_comp_Region1_forR!$AT301)</f>
        <v>2.9354207E-2</v>
      </c>
      <c r="P357">
        <f>IF([2]species_comp_Region1_forR!$D301&gt;49,[2]species_comp_Region1_forR!$AS301,[2]species_comp_Region1_forR!$AU301)</f>
        <v>5.58677E-5</v>
      </c>
      <c r="Q357" s="13">
        <f t="shared" si="196"/>
        <v>161.44322593852834</v>
      </c>
      <c r="R357" s="14">
        <f t="shared" si="197"/>
        <v>4841.5321587593016</v>
      </c>
      <c r="S357">
        <f t="shared" si="149"/>
        <v>69.581119269233525</v>
      </c>
      <c r="T357" s="6">
        <f t="shared" si="150"/>
        <v>136.37899376769769</v>
      </c>
      <c r="V357" s="13">
        <f t="shared" si="146"/>
        <v>401.26531172752834</v>
      </c>
      <c r="W357">
        <f t="shared" si="146"/>
        <v>6582.7909795673013</v>
      </c>
      <c r="X357">
        <f t="shared" si="151"/>
        <v>81.13440071614076</v>
      </c>
      <c r="Y357" s="6">
        <f t="shared" si="152"/>
        <v>159.02342540363588</v>
      </c>
      <c r="Z357" s="14">
        <f t="shared" si="123"/>
        <v>0.2021963981058835</v>
      </c>
    </row>
    <row r="358" spans="1:26" x14ac:dyDescent="0.3">
      <c r="A358" t="str">
        <f>'rockfish harvests'!A366</f>
        <v>SE</v>
      </c>
      <c r="B358">
        <f>'rockfish harvests'!B366</f>
        <v>2012</v>
      </c>
      <c r="C358" t="str">
        <f>'rockfish harvests'!C366</f>
        <v>SSEO</v>
      </c>
      <c r="D358">
        <f>'rockfish harvests'!D366</f>
        <v>14290</v>
      </c>
      <c r="E358">
        <f>'YE harvest'!E367</f>
        <v>4684</v>
      </c>
      <c r="F358">
        <f>IF([2]species_comp_Region1_forR!$H280&gt;49,[2]species_comp_Region1_forR!$AV280,[2]species_comp_Region1_forR!$AX280)</f>
        <v>5.1968503999999999E-2</v>
      </c>
      <c r="G358">
        <f>IF([2]species_comp_Region1_forR!$H280&gt;49,[2]species_comp_Region1_forR!$AW280,[2]species_comp_Region1_forR!$AY280)</f>
        <v>7.7709399999999998E-5</v>
      </c>
      <c r="H358" s="13">
        <f t="shared" si="144"/>
        <v>243.42047273599999</v>
      </c>
      <c r="I358">
        <f t="shared" si="145"/>
        <v>1704.9330458463999</v>
      </c>
      <c r="J358">
        <f t="shared" si="147"/>
        <v>41.290834889190599</v>
      </c>
      <c r="K358" s="6">
        <f t="shared" si="148"/>
        <v>80.930036382813569</v>
      </c>
      <c r="M358" s="2">
        <f>'rockfish harvests'!O366</f>
        <v>7211.4840486137473</v>
      </c>
      <c r="N358">
        <f>'rockfish harvests'!P366</f>
        <v>3512142.9566568048</v>
      </c>
      <c r="O358">
        <f>IF([2]species_comp_Region1_forR!$D302&gt;49,[2]species_comp_Region1_forR!$AR302,[2]species_comp_Region1_forR!$AT302)</f>
        <v>3.2679738999999999E-2</v>
      </c>
      <c r="P358">
        <f>IF([2]species_comp_Region1_forR!$D302&gt;49,[2]species_comp_Region1_forR!$AS302,[2]species_comp_Region1_forR!$AU302)</f>
        <v>5.1737799999999998E-5</v>
      </c>
      <c r="Q358" s="13">
        <f t="shared" si="196"/>
        <v>235.66941651136057</v>
      </c>
      <c r="R358" s="14">
        <f t="shared" si="197"/>
        <v>6623.2077714542438</v>
      </c>
      <c r="S358">
        <f t="shared" si="149"/>
        <v>81.383092663367393</v>
      </c>
      <c r="T358" s="6">
        <f t="shared" si="150"/>
        <v>159.51086162020007</v>
      </c>
      <c r="V358" s="13">
        <f t="shared" si="146"/>
        <v>479.08988924736059</v>
      </c>
      <c r="W358">
        <f t="shared" si="146"/>
        <v>8328.1408173006439</v>
      </c>
      <c r="X358">
        <f t="shared" si="151"/>
        <v>91.258647904188479</v>
      </c>
      <c r="Y358" s="6">
        <f t="shared" si="152"/>
        <v>178.86694989220942</v>
      </c>
      <c r="Z358" s="14">
        <f t="shared" si="123"/>
        <v>0.19048335177257394</v>
      </c>
    </row>
    <row r="359" spans="1:26" x14ac:dyDescent="0.3">
      <c r="A359" t="str">
        <f>'rockfish harvests'!A367</f>
        <v>SE</v>
      </c>
      <c r="B359">
        <f>'rockfish harvests'!B367</f>
        <v>2013</v>
      </c>
      <c r="C359" t="str">
        <f>'rockfish harvests'!C367</f>
        <v>SSEO</v>
      </c>
      <c r="D359">
        <f>'rockfish harvests'!D367</f>
        <v>15619</v>
      </c>
      <c r="E359">
        <f>'YE harvest'!E368</f>
        <v>4475</v>
      </c>
      <c r="F359">
        <f>IF([2]species_comp_Region1_forR!$H281&gt;49,[2]species_comp_Region1_forR!$AV281,[2]species_comp_Region1_forR!$AX281)</f>
        <v>5.5555555999999999E-2</v>
      </c>
      <c r="G359">
        <f>IF([2]species_comp_Region1_forR!$H281&gt;49,[2]species_comp_Region1_forR!$AW281,[2]species_comp_Region1_forR!$AY281)</f>
        <v>7.2975199999999999E-5</v>
      </c>
      <c r="H359" s="13">
        <f t="shared" si="144"/>
        <v>248.61111309999998</v>
      </c>
      <c r="I359">
        <f t="shared" si="145"/>
        <v>1461.3739894999999</v>
      </c>
      <c r="J359">
        <f t="shared" si="147"/>
        <v>38.227921595347034</v>
      </c>
      <c r="K359" s="6">
        <f t="shared" si="148"/>
        <v>74.926726326880186</v>
      </c>
      <c r="M359" s="2">
        <f>'rockfish harvests'!O367</f>
        <v>7064.6801916454569</v>
      </c>
      <c r="N359">
        <f>'rockfish harvests'!P367</f>
        <v>3429125.8906986257</v>
      </c>
      <c r="O359">
        <f>IF([2]species_comp_Region1_forR!$D303&gt;49,[2]species_comp_Region1_forR!$AR303,[2]species_comp_Region1_forR!$AT303)</f>
        <v>1.4736842E-2</v>
      </c>
      <c r="P359">
        <f>IF([2]species_comp_Region1_forR!$D303&gt;49,[2]species_comp_Region1_forR!$AS303,[2]species_comp_Region1_forR!$AU303)</f>
        <v>3.0632200000000001E-5</v>
      </c>
      <c r="Q359" s="13">
        <f t="shared" si="196"/>
        <v>104.11107576480882</v>
      </c>
      <c r="R359" s="14">
        <f t="shared" si="197"/>
        <v>2378.604515036985</v>
      </c>
      <c r="S359">
        <f t="shared" si="149"/>
        <v>48.770939247024813</v>
      </c>
      <c r="T359" s="6">
        <f t="shared" si="150"/>
        <v>95.591040924168638</v>
      </c>
      <c r="V359" s="13">
        <f t="shared" si="146"/>
        <v>352.7221888648088</v>
      </c>
      <c r="W359">
        <f t="shared" si="146"/>
        <v>3839.9785045369849</v>
      </c>
      <c r="X359">
        <f t="shared" si="151"/>
        <v>61.967560098304538</v>
      </c>
      <c r="Y359" s="6">
        <f t="shared" si="152"/>
        <v>121.45641779267689</v>
      </c>
      <c r="Z359" s="14">
        <f t="shared" si="123"/>
        <v>0.1756837592149765</v>
      </c>
    </row>
    <row r="360" spans="1:26" x14ac:dyDescent="0.3">
      <c r="A360" t="str">
        <f>'rockfish harvests'!A368</f>
        <v>SE</v>
      </c>
      <c r="B360">
        <f>'rockfish harvests'!B368</f>
        <v>2014</v>
      </c>
      <c r="C360" t="str">
        <f>'rockfish harvests'!C368</f>
        <v>SSEO</v>
      </c>
      <c r="D360">
        <f>'rockfish harvests'!D368</f>
        <v>18453</v>
      </c>
      <c r="E360">
        <f>'YE harvest'!E369</f>
        <v>5130</v>
      </c>
      <c r="F360">
        <f>IF([2]species_comp_Region1_forR!$H282&gt;49,[2]species_comp_Region1_forR!$AV282,[2]species_comp_Region1_forR!$AX282)</f>
        <v>4.2115573000000003E-2</v>
      </c>
      <c r="G360">
        <f>IF([2]species_comp_Region1_forR!$H282&gt;49,[2]species_comp_Region1_forR!$AW282,[2]species_comp_Region1_forR!$AY282)</f>
        <v>3.9550800000000001E-5</v>
      </c>
      <c r="H360" s="13">
        <f t="shared" si="144"/>
        <v>216.05288949000001</v>
      </c>
      <c r="I360">
        <f t="shared" si="145"/>
        <v>1040.85444852</v>
      </c>
      <c r="J360">
        <f t="shared" si="147"/>
        <v>32.262275935215733</v>
      </c>
      <c r="K360" s="6">
        <f t="shared" si="148"/>
        <v>63.234060833022838</v>
      </c>
      <c r="M360" s="2">
        <f>'rockfish harvests'!O368</f>
        <v>5969.0572591587515</v>
      </c>
      <c r="N360">
        <f>'rockfish harvests'!P368</f>
        <v>5648205.4842977012</v>
      </c>
      <c r="O360">
        <f>IF([2]species_comp_Region1_forR!$D304&gt;49,[2]species_comp_Region1_forR!$AR304,[2]species_comp_Region1_forR!$AT304)</f>
        <v>2.7508090999999998E-2</v>
      </c>
      <c r="P360">
        <f>IF([2]species_comp_Region1_forR!$D304&gt;49,[2]species_comp_Region1_forR!$AS304,[2]species_comp_Region1_forR!$AU304)</f>
        <v>4.3357199999999999E-5</v>
      </c>
      <c r="Q360" s="13">
        <f t="shared" si="196"/>
        <v>164.1973702691495</v>
      </c>
      <c r="R360" s="14">
        <f t="shared" si="197"/>
        <v>6063.6612470131031</v>
      </c>
      <c r="S360">
        <f t="shared" si="149"/>
        <v>77.869514233832888</v>
      </c>
      <c r="T360" s="6">
        <f t="shared" si="150"/>
        <v>152.62424789831246</v>
      </c>
      <c r="V360" s="13">
        <f t="shared" si="146"/>
        <v>380.25025975914951</v>
      </c>
      <c r="W360">
        <f t="shared" si="146"/>
        <v>7104.5156955331031</v>
      </c>
      <c r="X360">
        <f t="shared" si="151"/>
        <v>84.288289195671211</v>
      </c>
      <c r="Y360" s="6">
        <f t="shared" si="152"/>
        <v>165.20504682351557</v>
      </c>
      <c r="Z360" s="14">
        <f t="shared" si="123"/>
        <v>0.22166530339534654</v>
      </c>
    </row>
    <row r="361" spans="1:26" x14ac:dyDescent="0.3">
      <c r="A361" t="str">
        <f>'rockfish harvests'!A369</f>
        <v>SE</v>
      </c>
      <c r="B361">
        <f>'rockfish harvests'!B369</f>
        <v>2015</v>
      </c>
      <c r="C361" t="str">
        <f>'rockfish harvests'!C369</f>
        <v>SSEO</v>
      </c>
      <c r="D361">
        <f>'rockfish harvests'!D369</f>
        <v>17669</v>
      </c>
      <c r="E361">
        <f>'YE harvest'!E370</f>
        <v>4920</v>
      </c>
      <c r="F361">
        <f>IF([2]species_comp_Region1_forR!$H283&gt;49,[2]species_comp_Region1_forR!$AV283,[2]species_comp_Region1_forR!$AX283)</f>
        <v>3.6087369000000001E-2</v>
      </c>
      <c r="G361">
        <f>IF([2]species_comp_Region1_forR!$H283&gt;49,[2]species_comp_Region1_forR!$AW283,[2]species_comp_Region1_forR!$AY283)</f>
        <v>3.3065699999999998E-5</v>
      </c>
      <c r="H361" s="13">
        <f t="shared" si="144"/>
        <v>177.54985548000002</v>
      </c>
      <c r="I361">
        <f t="shared" si="145"/>
        <v>800.40156047999994</v>
      </c>
      <c r="J361">
        <f t="shared" si="147"/>
        <v>28.291369010353669</v>
      </c>
      <c r="K361" s="6">
        <f t="shared" si="148"/>
        <v>55.451083260293188</v>
      </c>
      <c r="M361" s="2">
        <f>'rockfish harvests'!O369</f>
        <v>15546.524335519505</v>
      </c>
      <c r="N361">
        <f>'rockfish harvests'!P369</f>
        <v>23591989.047447968</v>
      </c>
      <c r="O361">
        <f>IF([2]species_comp_Region1_forR!$D305&gt;49,[2]species_comp_Region1_forR!$AR305,[2]species_comp_Region1_forR!$AT305)</f>
        <v>3.2352941000000003E-2</v>
      </c>
      <c r="P361">
        <f>IF([2]species_comp_Region1_forR!$D305&gt;49,[2]species_comp_Region1_forR!$AS305,[2]species_comp_Region1_forR!$AU305)</f>
        <v>4.6106400000000003E-5</v>
      </c>
      <c r="Q361" s="13">
        <f t="shared" si="196"/>
        <v>502.97578458212683</v>
      </c>
      <c r="R361" s="14">
        <f t="shared" si="197"/>
        <v>36925.437949415864</v>
      </c>
      <c r="S361">
        <f t="shared" si="149"/>
        <v>192.15992805321267</v>
      </c>
      <c r="T361" s="6">
        <f t="shared" si="150"/>
        <v>376.63345898429679</v>
      </c>
      <c r="V361" s="13">
        <f t="shared" si="146"/>
        <v>680.52564006212685</v>
      </c>
      <c r="W361">
        <f t="shared" si="146"/>
        <v>37725.839509895864</v>
      </c>
      <c r="X361">
        <f t="shared" si="151"/>
        <v>194.2314071150592</v>
      </c>
      <c r="Y361" s="6">
        <f t="shared" si="152"/>
        <v>380.69355794551603</v>
      </c>
      <c r="Z361" s="14">
        <f t="shared" si="123"/>
        <v>0.28541379733661076</v>
      </c>
    </row>
    <row r="362" spans="1:26" x14ac:dyDescent="0.3">
      <c r="A362" t="str">
        <f>'rockfish harvests'!A370</f>
        <v>SE</v>
      </c>
      <c r="B362">
        <f>'rockfish harvests'!B370</f>
        <v>2016</v>
      </c>
      <c r="C362" t="str">
        <f>'rockfish harvests'!C370</f>
        <v>SSEO</v>
      </c>
      <c r="D362">
        <f>'rockfish harvests'!D370</f>
        <v>17707</v>
      </c>
      <c r="E362">
        <f>'YE harvest'!E371</f>
        <v>4149</v>
      </c>
      <c r="F362">
        <f>IF([2]species_comp_Region1_forR!$H284&gt;49,[2]species_comp_Region1_forR!$AV284,[2]species_comp_Region1_forR!$AX284)</f>
        <v>5.2576235999999998E-2</v>
      </c>
      <c r="G362">
        <f>IF([2]species_comp_Region1_forR!$H284&gt;49,[2]species_comp_Region1_forR!$AW284,[2]species_comp_Region1_forR!$AY284)</f>
        <v>5.2433699999999999E-5</v>
      </c>
      <c r="H362" s="13">
        <f t="shared" si="144"/>
        <v>218.138803164</v>
      </c>
      <c r="I362">
        <f t="shared" si="145"/>
        <v>902.6042509737</v>
      </c>
      <c r="J362">
        <f t="shared" si="147"/>
        <v>30.043372829522653</v>
      </c>
      <c r="K362" s="6">
        <f t="shared" si="148"/>
        <v>58.885010745864399</v>
      </c>
      <c r="M362" s="2">
        <f>'rockfish harvests'!O370</f>
        <v>9530.7617028217246</v>
      </c>
      <c r="N362">
        <f>'rockfish harvests'!P370</f>
        <v>11849070.145310419</v>
      </c>
      <c r="O362">
        <f>IF([2]species_comp_Region1_forR!$D306&gt;49,[2]species_comp_Region1_forR!$AR306,[2]species_comp_Region1_forR!$AT306)</f>
        <v>1.1049724E-2</v>
      </c>
      <c r="P362">
        <f>IF([2]species_comp_Region1_forR!$D306&gt;49,[2]species_comp_Region1_forR!$AS306,[2]species_comp_Region1_forR!$AU306)</f>
        <v>3.0270400000000001E-5</v>
      </c>
      <c r="Q362" s="13">
        <f t="shared" si="196"/>
        <v>105.31228632595008</v>
      </c>
      <c r="R362" s="14">
        <f t="shared" si="197"/>
        <v>4555.0293629370917</v>
      </c>
      <c r="S362">
        <f t="shared" si="149"/>
        <v>67.490957638316942</v>
      </c>
      <c r="T362" s="6">
        <f t="shared" si="150"/>
        <v>132.2822769711012</v>
      </c>
      <c r="V362" s="13">
        <f t="shared" si="146"/>
        <v>323.45108948995005</v>
      </c>
      <c r="W362">
        <f t="shared" si="146"/>
        <v>5457.6336139107916</v>
      </c>
      <c r="X362">
        <f t="shared" si="151"/>
        <v>73.875798566992103</v>
      </c>
      <c r="Y362" s="6">
        <f t="shared" si="152"/>
        <v>144.79656519130452</v>
      </c>
      <c r="Z362" s="14">
        <f>X362/V362</f>
        <v>0.22839866974474204</v>
      </c>
    </row>
    <row r="363" spans="1:26" x14ac:dyDescent="0.3">
      <c r="A363" t="str">
        <f>'rockfish harvests'!A371</f>
        <v>SE</v>
      </c>
      <c r="B363">
        <f>'rockfish harvests'!B371</f>
        <v>2017</v>
      </c>
      <c r="C363" t="str">
        <f>'rockfish harvests'!C371</f>
        <v>SSEO</v>
      </c>
      <c r="D363">
        <f>'rockfish harvests'!D371</f>
        <v>20760</v>
      </c>
      <c r="E363">
        <f>'YE harvest'!E372</f>
        <v>4370</v>
      </c>
      <c r="F363">
        <f>IF([2]species_comp_Region1_forR!$H285&gt;49,[2]species_comp_Region1_forR!$AV285,[2]species_comp_Region1_forR!$AX285)</f>
        <v>0.105072464</v>
      </c>
      <c r="G363">
        <f>IF([2]species_comp_Region1_forR!$H285&gt;49,[2]species_comp_Region1_forR!$AW285,[2]species_comp_Region1_forR!$AY285)</f>
        <v>1.1370300000000001E-4</v>
      </c>
      <c r="H363" s="13">
        <f t="shared" si="144"/>
        <v>459.16666768000005</v>
      </c>
      <c r="I363">
        <f t="shared" si="145"/>
        <v>2171.3748207000003</v>
      </c>
      <c r="J363">
        <f t="shared" si="147"/>
        <v>46.598013055279516</v>
      </c>
      <c r="K363" s="6">
        <f t="shared" si="148"/>
        <v>91.332105588347844</v>
      </c>
      <c r="M363" s="2">
        <f>'rockfish harvests'!O371</f>
        <v>7420.2213327054378</v>
      </c>
      <c r="N363">
        <f>'rockfish harvests'!P371</f>
        <v>9465736.8938175309</v>
      </c>
      <c r="O363">
        <f>IF([2]species_comp_Region1_forR!$D307&gt;49,[2]species_comp_Region1_forR!$AR307,[2]species_comp_Region1_forR!$AT307)</f>
        <v>5.6756756999999998E-2</v>
      </c>
      <c r="P363">
        <f>IF([2]species_comp_Region1_forR!$D307&gt;49,[2]species_comp_Region1_forR!$AS307,[2]species_comp_Region1_forR!$AU307)</f>
        <v>1.4508199999999999E-4</v>
      </c>
      <c r="Q363" s="13">
        <f t="shared" si="196"/>
        <v>421.1476990665787</v>
      </c>
      <c r="R363" s="14">
        <f t="shared" si="197"/>
        <v>39853.734370465616</v>
      </c>
      <c r="S363">
        <f t="shared" si="149"/>
        <v>199.6340010380637</v>
      </c>
      <c r="T363" s="6">
        <f t="shared" si="150"/>
        <v>391.28264203460486</v>
      </c>
      <c r="V363" s="13">
        <f t="shared" si="146"/>
        <v>880.3143667465788</v>
      </c>
      <c r="W363">
        <f t="shared" si="146"/>
        <v>42025.109191165619</v>
      </c>
      <c r="X363">
        <f t="shared" si="151"/>
        <v>205.00026631974316</v>
      </c>
      <c r="Y363" s="6">
        <f t="shared" si="152"/>
        <v>401.80052198669659</v>
      </c>
      <c r="Z363" s="14">
        <f>X363/V363</f>
        <v>0.23287165819793756</v>
      </c>
    </row>
    <row r="364" spans="1:26" x14ac:dyDescent="0.3">
      <c r="A364" t="str">
        <f>'rockfish harvests'!A372</f>
        <v>SE</v>
      </c>
      <c r="B364">
        <f>'rockfish harvests'!B372</f>
        <v>2018</v>
      </c>
      <c r="C364" t="str">
        <f>'rockfish harvests'!C372</f>
        <v>SSEO</v>
      </c>
      <c r="D364">
        <f>'rockfish harvests'!D372</f>
        <v>26949</v>
      </c>
      <c r="E364">
        <f>'YE harvest'!E373</f>
        <v>4535</v>
      </c>
      <c r="F364">
        <f>IF([2]species_comp_Region1_forR!$H286&gt;49,[2]species_comp_Region1_forR!$AV286,[2]species_comp_Region1_forR!$AX286)</f>
        <v>0.13649025100000001</v>
      </c>
      <c r="G364">
        <f>IF([2]species_comp_Region1_forR!$H286&gt;49,[2]species_comp_Region1_forR!$AW286,[2]species_comp_Region1_forR!$AY286)</f>
        <v>1.6437999999999999E-4</v>
      </c>
      <c r="H364" s="13">
        <f t="shared" si="144"/>
        <v>618.98328828500007</v>
      </c>
      <c r="I364">
        <f t="shared" si="145"/>
        <v>3380.6760654999998</v>
      </c>
      <c r="J364">
        <f t="shared" si="147"/>
        <v>58.143581464337061</v>
      </c>
      <c r="K364" s="6">
        <f t="shared" si="148"/>
        <v>113.96141967010064</v>
      </c>
      <c r="M364" s="2">
        <f>'rockfish harvests'!O372</f>
        <v>12867.635899450121</v>
      </c>
      <c r="N364">
        <f>'rockfish harvests'!P372</f>
        <v>12734528.822682161</v>
      </c>
      <c r="O364">
        <f>IF([2]species_comp_Region1_forR!$D308&gt;49,[2]species_comp_Region1_forR!$AR308,[2]species_comp_Region1_forR!$AT308)</f>
        <v>2.5117739E-2</v>
      </c>
      <c r="P364">
        <f>IF([2]species_comp_Region1_forR!$D308&gt;49,[2]species_comp_Region1_forR!$AS308,[2]species_comp_Region1_forR!$AU308)</f>
        <v>3.8501299999999997E-5</v>
      </c>
      <c r="Q364" s="13">
        <f t="shared" si="196"/>
        <v>323.20592006941837</v>
      </c>
      <c r="R364" s="14">
        <f t="shared" si="197"/>
        <v>14899.413809281757</v>
      </c>
      <c r="S364">
        <f t="shared" si="149"/>
        <v>122.06315500298096</v>
      </c>
      <c r="T364" s="6">
        <f t="shared" si="150"/>
        <v>239.2437838058427</v>
      </c>
      <c r="V364" s="13">
        <f t="shared" si="146"/>
        <v>942.1892083544185</v>
      </c>
      <c r="W364">
        <f t="shared" si="146"/>
        <v>18280.089874781755</v>
      </c>
      <c r="X364">
        <f t="shared" si="151"/>
        <v>135.20388261725975</v>
      </c>
      <c r="Y364" s="6">
        <f t="shared" si="152"/>
        <v>264.99960992982909</v>
      </c>
      <c r="Z364" s="14">
        <f>X364/V364</f>
        <v>0.14349971472651468</v>
      </c>
    </row>
    <row r="365" spans="1:26" x14ac:dyDescent="0.3">
      <c r="A365" t="str">
        <f>'rockfish harvests'!A373</f>
        <v>SE</v>
      </c>
      <c r="B365">
        <f>'rockfish harvests'!B373</f>
        <v>2019</v>
      </c>
      <c r="C365" t="str">
        <f>'rockfish harvests'!C373</f>
        <v>SSEO</v>
      </c>
      <c r="D365">
        <f>'rockfish harvests'!D373</f>
        <v>22912</v>
      </c>
      <c r="E365">
        <f>'YE harvest'!E374</f>
        <v>3570</v>
      </c>
      <c r="F365">
        <v>5.1446945337620578E-2</v>
      </c>
      <c r="G365">
        <v>7.858318382133408E-5</v>
      </c>
      <c r="H365" s="13">
        <f>E365*F365</f>
        <v>183.66559485530547</v>
      </c>
      <c r="I365">
        <f>(E365^2)*G365</f>
        <v>1001.5348194845208</v>
      </c>
      <c r="M365" s="2">
        <f>'rockfish harvests'!O373</f>
        <v>16359.985999299963</v>
      </c>
      <c r="N365">
        <f>'rockfish harvests'!P373</f>
        <v>28189042.115738388</v>
      </c>
      <c r="O365">
        <v>4.2168674698795178E-2</v>
      </c>
      <c r="P365">
        <v>8.1268566545155674E-5</v>
      </c>
      <c r="Q365" s="13">
        <f>M365*O365</f>
        <v>689.87892768132372</v>
      </c>
      <c r="R365" s="14">
        <f t="shared" si="197"/>
        <v>74168.018814810639</v>
      </c>
      <c r="S365">
        <f>SQRT(R365)</f>
        <v>272.33805979849865</v>
      </c>
      <c r="T365" s="6">
        <f>(1.96*S365)</f>
        <v>533.7825972050573</v>
      </c>
      <c r="V365" s="13">
        <f>Q365+H365</f>
        <v>873.54452253662919</v>
      </c>
      <c r="W365">
        <f>R365+I365</f>
        <v>75169.553634295153</v>
      </c>
      <c r="X365">
        <f>SQRT(W365)</f>
        <v>274.17066516003342</v>
      </c>
      <c r="Y365" s="6">
        <f>(1.96*X365)</f>
        <v>537.37450371366549</v>
      </c>
      <c r="Z365" s="14">
        <f>X365/V365</f>
        <v>0.31385997861206549</v>
      </c>
    </row>
    <row r="366" spans="1:26" x14ac:dyDescent="0.3">
      <c r="A366" t="str">
        <f>'rockfish harvests'!A374</f>
        <v>SE</v>
      </c>
      <c r="B366">
        <f>'rockfish harvests'!B374</f>
        <v>2020</v>
      </c>
      <c r="C366" t="str">
        <f>'rockfish harvests'!C374</f>
        <v>SSEO</v>
      </c>
      <c r="D366">
        <f>'rockfish harvests'!D374</f>
        <v>12619</v>
      </c>
      <c r="E366">
        <f>'YE harvest'!E375</f>
        <v>170</v>
      </c>
      <c r="F366" s="26" t="str">
        <f>F241</f>
        <v>0.992647058823529</v>
      </c>
      <c r="G366" s="26" t="str">
        <f>G241</f>
        <v>2.28446805399873e-06</v>
      </c>
      <c r="H366" s="13">
        <f t="shared" ref="H366:H367" si="198">E366*F366</f>
        <v>168.74999999999994</v>
      </c>
      <c r="I366">
        <f t="shared" ref="I366:I367" si="199">(E366^2)*G366</f>
        <v>6.6021126760563306E-2</v>
      </c>
      <c r="J366">
        <f t="shared" ref="J366" si="200">SQRT(I366)</f>
        <v>0.25694576618532422</v>
      </c>
      <c r="K366" s="6">
        <f t="shared" ref="K366" si="201">(1.96*J366)</f>
        <v>0.5036137017232355</v>
      </c>
      <c r="M366" s="2">
        <f>'rockfish harvests'!O374</f>
        <v>2769.6225355790575</v>
      </c>
      <c r="N366">
        <f>'rockfish harvests'!P374</f>
        <v>1279455.8924929332</v>
      </c>
      <c r="O366">
        <v>1.5151515151515152E-2</v>
      </c>
      <c r="P366">
        <v>7.574592253872365E-5</v>
      </c>
      <c r="Q366" s="13">
        <f t="shared" ref="Q366:Q367" si="202">M366*O366</f>
        <v>41.9639778118039</v>
      </c>
      <c r="R366" s="14">
        <f t="shared" si="197"/>
        <v>971.66872713793157</v>
      </c>
      <c r="S366">
        <f t="shared" ref="S366:S367" si="203">SQRT(R366)</f>
        <v>31.171601292489477</v>
      </c>
      <c r="T366" s="6">
        <f t="shared" ref="T366:T367" si="204">(1.96*S366)</f>
        <v>61.096338533279372</v>
      </c>
      <c r="V366" s="13">
        <f t="shared" ref="V366:V367" si="205">Q366+H366</f>
        <v>210.71397781180383</v>
      </c>
      <c r="W366">
        <f t="shared" ref="W366:W367" si="206">R366+I366</f>
        <v>971.73474826469214</v>
      </c>
      <c r="X366">
        <f t="shared" ref="X366:X367" si="207">SQRT(W366)</f>
        <v>31.172660269291939</v>
      </c>
      <c r="Y366" s="6">
        <f t="shared" ref="Y366:Y367" si="208">(1.96*X366)</f>
        <v>61.098414127812198</v>
      </c>
      <c r="Z366" s="14">
        <f>X366/V366</f>
        <v>0.14793826490776685</v>
      </c>
    </row>
    <row r="367" spans="1:26" x14ac:dyDescent="0.3">
      <c r="A367" t="str">
        <f>'rockfish harvests'!A375</f>
        <v>SE</v>
      </c>
      <c r="B367">
        <f>'rockfish harvests'!B375</f>
        <v>2021</v>
      </c>
      <c r="C367" t="str">
        <f>'rockfish harvests'!C375</f>
        <v>SSEO</v>
      </c>
      <c r="D367">
        <f>'rockfish harvests'!D375</f>
        <v>29399</v>
      </c>
      <c r="E367">
        <f>'YE harvest'!E376</f>
        <v>361</v>
      </c>
      <c r="F367" t="s">
        <v>324</v>
      </c>
      <c r="G367" t="s">
        <v>325</v>
      </c>
      <c r="H367" s="13">
        <f t="shared" si="198"/>
        <v>355.76811594202911</v>
      </c>
      <c r="I367">
        <f t="shared" si="199"/>
        <v>0.53687266632001074</v>
      </c>
      <c r="M367" s="2">
        <f>'rockfish harvests'!O375</f>
        <v>1670.0870000715477</v>
      </c>
      <c r="N367">
        <f>'rockfish harvests'!P375</f>
        <v>492653.23167840909</v>
      </c>
      <c r="O367" t="s">
        <v>274</v>
      </c>
      <c r="P367" t="s">
        <v>275</v>
      </c>
      <c r="Q367" s="13">
        <f t="shared" si="202"/>
        <v>58.599543862159543</v>
      </c>
      <c r="R367" s="14">
        <f t="shared" si="197"/>
        <v>1260.1289404609934</v>
      </c>
      <c r="S367">
        <f t="shared" si="203"/>
        <v>35.498294895121276</v>
      </c>
      <c r="T367" s="6">
        <f t="shared" si="204"/>
        <v>69.576657994437696</v>
      </c>
      <c r="V367" s="13">
        <f t="shared" si="205"/>
        <v>414.36765980418863</v>
      </c>
      <c r="W367">
        <f t="shared" si="206"/>
        <v>1260.6658131273134</v>
      </c>
      <c r="X367">
        <f t="shared" si="207"/>
        <v>35.505856039917042</v>
      </c>
      <c r="Y367" s="6">
        <f t="shared" si="208"/>
        <v>69.591477838237395</v>
      </c>
      <c r="Z367" s="14">
        <f t="shared" ref="Z367" si="209">X367/V367</f>
        <v>8.5686841624405485E-2</v>
      </c>
    </row>
    <row r="368" spans="1:26" x14ac:dyDescent="0.3">
      <c r="A368" t="str">
        <f>'rockfish harvests'!A376</f>
        <v>SE</v>
      </c>
      <c r="B368">
        <f>'rockfish harvests'!B376</f>
        <v>2022</v>
      </c>
      <c r="C368" t="str">
        <f>'rockfish harvests'!C376</f>
        <v>SSEO</v>
      </c>
      <c r="D368">
        <f>'rockfish harvests'!D376</f>
        <v>38456</v>
      </c>
      <c r="E368">
        <f>'YE harvest'!E377</f>
        <v>918</v>
      </c>
      <c r="F368" t="s">
        <v>272</v>
      </c>
      <c r="G368" t="s">
        <v>273</v>
      </c>
      <c r="H368" s="13">
        <f t="shared" ref="H368" si="210">E368*F368</f>
        <v>918</v>
      </c>
      <c r="I368">
        <f t="shared" ref="I368" si="211">(E368^2)*G368</f>
        <v>0</v>
      </c>
      <c r="M368" s="2">
        <f>'rockfish harvests'!O376</f>
        <v>6059.5121025154294</v>
      </c>
      <c r="N368">
        <f>'rockfish harvests'!P376</f>
        <v>7024339.3858510992</v>
      </c>
      <c r="O368" t="s">
        <v>276</v>
      </c>
      <c r="P368" t="s">
        <v>277</v>
      </c>
      <c r="Q368" s="13">
        <f t="shared" ref="Q368" si="212">M368*O368</f>
        <v>447.74719969325861</v>
      </c>
      <c r="R368" s="14">
        <f t="shared" si="197"/>
        <v>53171.209508320229</v>
      </c>
      <c r="S368">
        <f t="shared" ref="S368" si="213">SQRT(R368)</f>
        <v>230.58883214136853</v>
      </c>
      <c r="V368" s="13">
        <f t="shared" ref="V368" si="214">Q368+H368</f>
        <v>1365.7471996932586</v>
      </c>
      <c r="W368">
        <f t="shared" ref="W368" si="215">R368+I368</f>
        <v>53171.209508320229</v>
      </c>
      <c r="X368">
        <f t="shared" ref="X368" si="216">SQRT(W368)</f>
        <v>230.58883214136853</v>
      </c>
      <c r="Y368" s="6">
        <f t="shared" ref="Y368" si="217">(1.96*X368)</f>
        <v>451.9541109970823</v>
      </c>
      <c r="Z368" s="14">
        <f t="shared" ref="Z368" si="218">X368/V368</f>
        <v>0.16883712607513152</v>
      </c>
    </row>
  </sheetData>
  <mergeCells count="6">
    <mergeCell ref="V1:Y1"/>
    <mergeCell ref="A1:A2"/>
    <mergeCell ref="B1:B2"/>
    <mergeCell ref="C1:C2"/>
    <mergeCell ref="D1:K1"/>
    <mergeCell ref="M1:R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instructions</vt:lpstr>
      <vt:lpstr>rockfish harvests</vt:lpstr>
      <vt:lpstr>rf harv figs</vt:lpstr>
      <vt:lpstr>BRF harvest</vt:lpstr>
      <vt:lpstr>brf harv figs</vt:lpstr>
      <vt:lpstr>YE harvest</vt:lpstr>
      <vt:lpstr>ye harv figs</vt:lpstr>
      <vt:lpstr>DSR harvest</vt:lpstr>
      <vt:lpstr>Slope harvest</vt:lpstr>
      <vt:lpstr>RF harv Kodiak</vt:lpstr>
      <vt:lpstr>RF harv Central</vt:lpstr>
      <vt:lpstr>RF harv SEAK</vt:lpstr>
      <vt:lpstr>SEAK est vs SWHS</vt:lpstr>
      <vt:lpstr>logbook v guiSWHS</vt:lpstr>
      <vt:lpstr>log vs totalSWHS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Howard</dc:creator>
  <cp:lastModifiedBy>Joy, Philip J (DFG)</cp:lastModifiedBy>
  <dcterms:created xsi:type="dcterms:W3CDTF">2019-11-04T20:52:41Z</dcterms:created>
  <dcterms:modified xsi:type="dcterms:W3CDTF">2024-09-26T22:03:18Z</dcterms:modified>
</cp:coreProperties>
</file>