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TS\Reimer\SusitnaEG\data-raw\"/>
    </mc:Choice>
  </mc:AlternateContent>
  <xr:revisionPtr revIDLastSave="0" documentId="13_ncr:1_{F46B34DD-5270-4044-9CB5-8D7137318E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r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2" i="1" l="1"/>
  <c r="AC52" i="1"/>
  <c r="AD52" i="1"/>
  <c r="AE52" i="1"/>
  <c r="AF52" i="1"/>
  <c r="V52" i="1"/>
  <c r="W52" i="1"/>
  <c r="X52" i="1"/>
  <c r="Y52" i="1"/>
  <c r="Z52" i="1"/>
  <c r="U52" i="1"/>
  <c r="O52" i="1"/>
  <c r="P52" i="1"/>
  <c r="Q52" i="1"/>
  <c r="N52" i="1"/>
  <c r="M52" i="1"/>
  <c r="AF50" i="1"/>
  <c r="AF51" i="1"/>
  <c r="V51" i="1"/>
  <c r="X51" i="1" s="1"/>
  <c r="W51" i="1"/>
  <c r="U51" i="1"/>
  <c r="U50" i="1"/>
  <c r="Y51" i="1" l="1"/>
  <c r="Z51" i="1" s="1"/>
  <c r="U49" i="1"/>
  <c r="AF41" i="1" l="1"/>
  <c r="U48" i="1"/>
  <c r="AF47" i="1" l="1"/>
  <c r="AF46" i="1"/>
  <c r="AF38" i="1"/>
  <c r="U47" i="1"/>
  <c r="U46" i="1"/>
  <c r="N44" i="1" a="1"/>
  <c r="N44" i="1" s="1"/>
  <c r="AF6" i="1" l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9" i="1"/>
  <c r="AF40" i="1"/>
  <c r="AF5" i="1"/>
  <c r="M44" i="1" l="1" a="1"/>
  <c r="M44" i="1" s="1"/>
  <c r="M36" i="1" l="1"/>
  <c r="M37" i="1"/>
  <c r="M22" i="1"/>
  <c r="M9" i="1"/>
  <c r="M42" i="1"/>
  <c r="N49" i="1"/>
  <c r="P49" i="1" s="1"/>
  <c r="M23" i="1"/>
  <c r="M24" i="1"/>
  <c r="M18" i="1"/>
  <c r="M43" i="1"/>
  <c r="U36" i="1"/>
  <c r="U37" i="1"/>
  <c r="U38" i="1"/>
  <c r="U39" i="1"/>
  <c r="U40" i="1"/>
  <c r="U34" i="1"/>
  <c r="U35" i="1"/>
  <c r="U32" i="1"/>
  <c r="U33" i="1"/>
  <c r="U25" i="1"/>
  <c r="U26" i="1"/>
  <c r="U27" i="1"/>
  <c r="U28" i="1"/>
  <c r="U29" i="1"/>
  <c r="U30" i="1"/>
  <c r="U31" i="1"/>
  <c r="U15" i="1"/>
  <c r="U16" i="1"/>
  <c r="U17" i="1"/>
  <c r="U18" i="1"/>
  <c r="U19" i="1"/>
  <c r="U20" i="1"/>
  <c r="U21" i="1"/>
  <c r="U22" i="1"/>
  <c r="U23" i="1"/>
  <c r="U24" i="1"/>
  <c r="U9" i="1"/>
  <c r="U10" i="1"/>
  <c r="U11" i="1"/>
  <c r="U12" i="1"/>
  <c r="U13" i="1"/>
  <c r="U14" i="1"/>
  <c r="U8" i="1"/>
  <c r="U41" i="1"/>
  <c r="U42" i="1"/>
  <c r="U43" i="1"/>
  <c r="U44" i="1"/>
  <c r="U45" i="1"/>
  <c r="V44" i="1"/>
  <c r="V45" i="1"/>
  <c r="X45" i="1" s="1"/>
  <c r="W33" i="1"/>
  <c r="M45" i="1"/>
  <c r="M46" i="1" s="1"/>
  <c r="N32" i="1"/>
  <c r="P32" i="1" s="1"/>
  <c r="N24" i="1"/>
  <c r="P24" i="1" s="1"/>
  <c r="N45" i="1" a="1"/>
  <c r="N45" i="1" s="1"/>
  <c r="P45" i="1" s="1"/>
  <c r="W45" i="1" a="1"/>
  <c r="W45" i="1" s="1"/>
  <c r="W44" i="1" a="1"/>
  <c r="W44" i="1" s="1"/>
  <c r="Y44" i="1" s="1"/>
  <c r="O44" i="1"/>
  <c r="P44" i="1"/>
  <c r="Q44" i="1" s="1"/>
  <c r="G53" i="1"/>
  <c r="G55" i="1"/>
  <c r="G40" i="1"/>
  <c r="G42" i="1" s="1"/>
  <c r="G26" i="1"/>
  <c r="G28" i="1" s="1"/>
  <c r="G13" i="1"/>
  <c r="G15" i="1" s="1"/>
  <c r="M16" i="1" l="1"/>
  <c r="W18" i="1"/>
  <c r="W50" i="1"/>
  <c r="Y50" i="1" s="1"/>
  <c r="Z50" i="1" s="1"/>
  <c r="V50" i="1"/>
  <c r="X50" i="1" s="1"/>
  <c r="V49" i="1"/>
  <c r="X49" i="1" s="1"/>
  <c r="W49" i="1"/>
  <c r="W48" i="1"/>
  <c r="V48" i="1"/>
  <c r="X48" i="1" s="1"/>
  <c r="M5" i="1"/>
  <c r="M8" i="1"/>
  <c r="O8" i="1" s="1"/>
  <c r="AC8" i="1" s="1"/>
  <c r="AG8" i="1" s="1"/>
  <c r="O43" i="1"/>
  <c r="AC43" i="1" s="1"/>
  <c r="AG43" i="1" s="1"/>
  <c r="W32" i="1"/>
  <c r="M41" i="1"/>
  <c r="O41" i="1" s="1"/>
  <c r="AC41" i="1" s="1"/>
  <c r="AG41" i="1" s="1"/>
  <c r="V8" i="1"/>
  <c r="X8" i="1" s="1"/>
  <c r="M35" i="1"/>
  <c r="M7" i="1"/>
  <c r="O7" i="1" s="1"/>
  <c r="M30" i="1"/>
  <c r="M38" i="1"/>
  <c r="O38" i="1" s="1"/>
  <c r="M19" i="1"/>
  <c r="N48" i="1"/>
  <c r="P48" i="1" s="1"/>
  <c r="M6" i="1"/>
  <c r="M14" i="1"/>
  <c r="M48" i="1"/>
  <c r="O48" i="1" s="1"/>
  <c r="M27" i="1"/>
  <c r="M39" i="1"/>
  <c r="M33" i="1"/>
  <c r="M21" i="1"/>
  <c r="M49" i="1"/>
  <c r="O49" i="1" s="1"/>
  <c r="AC49" i="1" s="1"/>
  <c r="AG49" i="1" s="1"/>
  <c r="M28" i="1"/>
  <c r="O28" i="1" s="1"/>
  <c r="Q28" i="1" s="1"/>
  <c r="M11" i="1"/>
  <c r="O11" i="1" s="1"/>
  <c r="M25" i="1"/>
  <c r="Y45" i="1"/>
  <c r="Z45" i="1" s="1"/>
  <c r="M17" i="1"/>
  <c r="N46" i="1"/>
  <c r="N50" i="1"/>
  <c r="P50" i="1" s="1"/>
  <c r="M47" i="1"/>
  <c r="M29" i="1"/>
  <c r="M32" i="1"/>
  <c r="M51" i="1"/>
  <c r="O51" i="1" s="1"/>
  <c r="AC51" i="1" s="1"/>
  <c r="AG51" i="1" s="1"/>
  <c r="N31" i="1"/>
  <c r="P31" i="1" s="1"/>
  <c r="M10" i="1"/>
  <c r="M12" i="1"/>
  <c r="M31" i="1"/>
  <c r="N51" i="1"/>
  <c r="P51" i="1" s="1"/>
  <c r="N43" i="1"/>
  <c r="P43" i="1" s="1"/>
  <c r="M13" i="1"/>
  <c r="O13" i="1" s="1"/>
  <c r="Q13" i="1" s="1"/>
  <c r="M40" i="1"/>
  <c r="M34" i="1"/>
  <c r="N30" i="1"/>
  <c r="P30" i="1" s="1"/>
  <c r="M20" i="1"/>
  <c r="M26" i="1"/>
  <c r="M15" i="1"/>
  <c r="M50" i="1"/>
  <c r="O50" i="1" s="1"/>
  <c r="AC50" i="1" s="1"/>
  <c r="AG50" i="1" s="1"/>
  <c r="N28" i="1"/>
  <c r="P28" i="1" s="1"/>
  <c r="O19" i="1"/>
  <c r="O15" i="1"/>
  <c r="O23" i="1"/>
  <c r="N17" i="1"/>
  <c r="P17" i="1" s="1"/>
  <c r="N16" i="1"/>
  <c r="P16" i="1" s="1"/>
  <c r="N15" i="1"/>
  <c r="P15" i="1" s="1"/>
  <c r="O35" i="1"/>
  <c r="N12" i="1"/>
  <c r="P12" i="1" s="1"/>
  <c r="V33" i="1"/>
  <c r="X33" i="1" s="1"/>
  <c r="N13" i="1"/>
  <c r="P13" i="1" s="1"/>
  <c r="O20" i="1"/>
  <c r="O24" i="1"/>
  <c r="Q24" i="1" s="1"/>
  <c r="V38" i="1"/>
  <c r="X38" i="1" s="1"/>
  <c r="AC38" i="1" s="1"/>
  <c r="AG38" i="1" s="1"/>
  <c r="N11" i="1"/>
  <c r="P11" i="1" s="1"/>
  <c r="N10" i="1"/>
  <c r="P10" i="1" s="1"/>
  <c r="N29" i="1"/>
  <c r="P29" i="1" s="1"/>
  <c r="N9" i="1"/>
  <c r="P9" i="1" s="1"/>
  <c r="O31" i="1"/>
  <c r="Q31" i="1" s="1"/>
  <c r="O45" i="1"/>
  <c r="AC45" i="1" s="1"/>
  <c r="AG45" i="1" s="1"/>
  <c r="O27" i="1"/>
  <c r="N35" i="1"/>
  <c r="P35" i="1" s="1"/>
  <c r="N47" i="1"/>
  <c r="P47" i="1" s="1"/>
  <c r="N27" i="1"/>
  <c r="P27" i="1" s="1"/>
  <c r="V47" i="1"/>
  <c r="X47" i="1" s="1"/>
  <c r="W46" i="1"/>
  <c r="V46" i="1"/>
  <c r="X46" i="1" s="1"/>
  <c r="W47" i="1"/>
  <c r="O36" i="1"/>
  <c r="O40" i="1"/>
  <c r="O30" i="1"/>
  <c r="O26" i="1"/>
  <c r="N34" i="1"/>
  <c r="P34" i="1" s="1"/>
  <c r="W17" i="1"/>
  <c r="P46" i="1"/>
  <c r="V39" i="1"/>
  <c r="X39" i="1" s="1"/>
  <c r="O14" i="1"/>
  <c r="N33" i="1"/>
  <c r="P33" i="1" s="1"/>
  <c r="N14" i="1"/>
  <c r="P14" i="1" s="1"/>
  <c r="O42" i="1"/>
  <c r="N26" i="1"/>
  <c r="P26" i="1" s="1"/>
  <c r="N8" i="1"/>
  <c r="P8" i="1" s="1"/>
  <c r="O9" i="1"/>
  <c r="Q9" i="1" s="1"/>
  <c r="N42" i="1"/>
  <c r="P42" i="1" s="1"/>
  <c r="N25" i="1"/>
  <c r="P25" i="1" s="1"/>
  <c r="N7" i="1"/>
  <c r="P7" i="1" s="1"/>
  <c r="AD7" i="1" s="1"/>
  <c r="W20" i="1"/>
  <c r="O21" i="1"/>
  <c r="O17" i="1"/>
  <c r="Q17" i="1" s="1"/>
  <c r="V25" i="1"/>
  <c r="X25" i="1" s="1"/>
  <c r="AC25" i="1" s="1"/>
  <c r="AG25" i="1" s="1"/>
  <c r="N41" i="1"/>
  <c r="P41" i="1" s="1"/>
  <c r="N23" i="1"/>
  <c r="P23" i="1" s="1"/>
  <c r="Q23" i="1" s="1"/>
  <c r="N6" i="1"/>
  <c r="P6" i="1" s="1"/>
  <c r="AD6" i="1" s="1"/>
  <c r="N40" i="1"/>
  <c r="P40" i="1" s="1"/>
  <c r="N22" i="1"/>
  <c r="P22" i="1" s="1"/>
  <c r="N5" i="1"/>
  <c r="P5" i="1" s="1"/>
  <c r="AD5" i="1" s="1"/>
  <c r="O32" i="1"/>
  <c r="Q32" i="1" s="1"/>
  <c r="O33" i="1"/>
  <c r="O16" i="1"/>
  <c r="V41" i="1"/>
  <c r="X41" i="1" s="1"/>
  <c r="N39" i="1"/>
  <c r="P39" i="1" s="1"/>
  <c r="N21" i="1"/>
  <c r="P21" i="1" s="1"/>
  <c r="Q21" i="1" s="1"/>
  <c r="W37" i="1"/>
  <c r="O39" i="1"/>
  <c r="O37" i="1"/>
  <c r="O12" i="1"/>
  <c r="AC12" i="1" s="1"/>
  <c r="AG12" i="1" s="1"/>
  <c r="V10" i="1"/>
  <c r="X10" i="1" s="1"/>
  <c r="N38" i="1"/>
  <c r="P38" i="1" s="1"/>
  <c r="Q38" i="1" s="1"/>
  <c r="N20" i="1"/>
  <c r="P20" i="1" s="1"/>
  <c r="W36" i="1"/>
  <c r="O10" i="1"/>
  <c r="Q10" i="1" s="1"/>
  <c r="O6" i="1"/>
  <c r="O18" i="1"/>
  <c r="O25" i="1"/>
  <c r="V18" i="1"/>
  <c r="X18" i="1" s="1"/>
  <c r="N37" i="1"/>
  <c r="P37" i="1" s="1"/>
  <c r="N19" i="1"/>
  <c r="P19" i="1" s="1"/>
  <c r="Q19" i="1" s="1"/>
  <c r="W35" i="1"/>
  <c r="O29" i="1"/>
  <c r="Q29" i="1" s="1"/>
  <c r="O22" i="1"/>
  <c r="O34" i="1"/>
  <c r="AC34" i="1" s="1"/>
  <c r="AG34" i="1" s="1"/>
  <c r="V26" i="1"/>
  <c r="X26" i="1" s="1"/>
  <c r="N36" i="1"/>
  <c r="P36" i="1" s="1"/>
  <c r="N18" i="1"/>
  <c r="P18" i="1" s="1"/>
  <c r="W19" i="1"/>
  <c r="AD45" i="1"/>
  <c r="W34" i="1"/>
  <c r="W16" i="1"/>
  <c r="W31" i="1"/>
  <c r="W15" i="1"/>
  <c r="W30" i="1"/>
  <c r="W14" i="1"/>
  <c r="Q16" i="1"/>
  <c r="V42" i="1"/>
  <c r="X42" i="1" s="1"/>
  <c r="V37" i="1"/>
  <c r="X37" i="1" s="1"/>
  <c r="W29" i="1"/>
  <c r="W13" i="1"/>
  <c r="V16" i="1"/>
  <c r="X16" i="1" s="1"/>
  <c r="V35" i="1"/>
  <c r="X35" i="1" s="1"/>
  <c r="V31" i="1"/>
  <c r="X31" i="1" s="1"/>
  <c r="W28" i="1"/>
  <c r="W11" i="1"/>
  <c r="V24" i="1"/>
  <c r="X24" i="1" s="1"/>
  <c r="V12" i="1"/>
  <c r="X12" i="1" s="1"/>
  <c r="V30" i="1"/>
  <c r="X30" i="1" s="1"/>
  <c r="AC30" i="1" s="1"/>
  <c r="AG30" i="1" s="1"/>
  <c r="W27" i="1"/>
  <c r="Y27" i="1" s="1"/>
  <c r="Z27" i="1" s="1"/>
  <c r="W10" i="1"/>
  <c r="Y10" i="1" s="1"/>
  <c r="Z10" i="1" s="1"/>
  <c r="V32" i="1"/>
  <c r="X32" i="1" s="1"/>
  <c r="V20" i="1"/>
  <c r="X20" i="1" s="1"/>
  <c r="V29" i="1"/>
  <c r="X29" i="1" s="1"/>
  <c r="W26" i="1"/>
  <c r="W9" i="1"/>
  <c r="V40" i="1"/>
  <c r="X40" i="1" s="1"/>
  <c r="AC40" i="1" s="1"/>
  <c r="AG40" i="1" s="1"/>
  <c r="V28" i="1"/>
  <c r="X28" i="1" s="1"/>
  <c r="V23" i="1"/>
  <c r="X23" i="1" s="1"/>
  <c r="AC23" i="1" s="1"/>
  <c r="AG23" i="1" s="1"/>
  <c r="W43" i="1"/>
  <c r="W25" i="1"/>
  <c r="W8" i="1"/>
  <c r="V34" i="1"/>
  <c r="X34" i="1" s="1"/>
  <c r="V11" i="1"/>
  <c r="X11" i="1" s="1"/>
  <c r="V22" i="1"/>
  <c r="X22" i="1" s="1"/>
  <c r="W42" i="1"/>
  <c r="W24" i="1"/>
  <c r="V19" i="1"/>
  <c r="X19" i="1" s="1"/>
  <c r="AC19" i="1" s="1"/>
  <c r="AG19" i="1" s="1"/>
  <c r="V43" i="1"/>
  <c r="X43" i="1" s="1"/>
  <c r="V21" i="1"/>
  <c r="X21" i="1" s="1"/>
  <c r="W41" i="1"/>
  <c r="W23" i="1"/>
  <c r="Q25" i="1"/>
  <c r="V27" i="1"/>
  <c r="X27" i="1" s="1"/>
  <c r="V36" i="1"/>
  <c r="X36" i="1" s="1"/>
  <c r="V15" i="1"/>
  <c r="X15" i="1" s="1"/>
  <c r="W40" i="1"/>
  <c r="W22" i="1"/>
  <c r="W12" i="1"/>
  <c r="V9" i="1"/>
  <c r="X9" i="1" s="1"/>
  <c r="X44" i="1"/>
  <c r="AC44" i="1" s="1"/>
  <c r="AG44" i="1" s="1"/>
  <c r="V14" i="1"/>
  <c r="X14" i="1" s="1"/>
  <c r="W39" i="1"/>
  <c r="W21" i="1"/>
  <c r="V17" i="1"/>
  <c r="X17" i="1" s="1"/>
  <c r="V13" i="1"/>
  <c r="X13" i="1" s="1"/>
  <c r="W38" i="1"/>
  <c r="Y38" i="1" s="1"/>
  <c r="Z38" i="1" s="1"/>
  <c r="AC15" i="1"/>
  <c r="AG15" i="1" s="1"/>
  <c r="Q15" i="1"/>
  <c r="AC6" i="1"/>
  <c r="AC7" i="1"/>
  <c r="Q30" i="1"/>
  <c r="AD44" i="1"/>
  <c r="Q51" i="1" l="1"/>
  <c r="AD51" i="1"/>
  <c r="AE51" i="1" s="1"/>
  <c r="Q35" i="1"/>
  <c r="AC39" i="1"/>
  <c r="AG39" i="1" s="1"/>
  <c r="AC48" i="1"/>
  <c r="AG48" i="1" s="1"/>
  <c r="Y48" i="1"/>
  <c r="Z48" i="1" s="1"/>
  <c r="Y31" i="1"/>
  <c r="Y49" i="1"/>
  <c r="Q33" i="1"/>
  <c r="Q7" i="1"/>
  <c r="Q48" i="1"/>
  <c r="AD48" i="1"/>
  <c r="AE48" i="1" s="1"/>
  <c r="Y8" i="1"/>
  <c r="Z8" i="1" s="1"/>
  <c r="Q8" i="1"/>
  <c r="AC20" i="1"/>
  <c r="AG20" i="1" s="1"/>
  <c r="Q50" i="1"/>
  <c r="AD50" i="1"/>
  <c r="AE50" i="1" s="1"/>
  <c r="Y39" i="1"/>
  <c r="Q26" i="1"/>
  <c r="Y46" i="1"/>
  <c r="AD46" i="1" s="1"/>
  <c r="AC31" i="1"/>
  <c r="AG31" i="1" s="1"/>
  <c r="Q40" i="1"/>
  <c r="AC35" i="1"/>
  <c r="AG35" i="1" s="1"/>
  <c r="Q27" i="1"/>
  <c r="Q49" i="1"/>
  <c r="AC27" i="1"/>
  <c r="AG27" i="1" s="1"/>
  <c r="AC28" i="1"/>
  <c r="AG28" i="1" s="1"/>
  <c r="AC26" i="1"/>
  <c r="AG26" i="1" s="1"/>
  <c r="Q14" i="1"/>
  <c r="Y33" i="1"/>
  <c r="Z33" i="1" s="1"/>
  <c r="Q18" i="1"/>
  <c r="Q36" i="1"/>
  <c r="AC42" i="1"/>
  <c r="AG42" i="1" s="1"/>
  <c r="Q20" i="1"/>
  <c r="AC13" i="1"/>
  <c r="AG13" i="1" s="1"/>
  <c r="Q34" i="1"/>
  <c r="AC32" i="1"/>
  <c r="AG32" i="1" s="1"/>
  <c r="AC36" i="1"/>
  <c r="AG36" i="1" s="1"/>
  <c r="AC14" i="1"/>
  <c r="AG14" i="1" s="1"/>
  <c r="AC33" i="1"/>
  <c r="AG33" i="1" s="1"/>
  <c r="AC9" i="1"/>
  <c r="AG9" i="1" s="1"/>
  <c r="Q43" i="1"/>
  <c r="Q41" i="1"/>
  <c r="Z46" i="1"/>
  <c r="AC11" i="1"/>
  <c r="AG11" i="1" s="1"/>
  <c r="O5" i="1"/>
  <c r="AC5" i="1" s="1"/>
  <c r="Q22" i="1"/>
  <c r="Y19" i="1"/>
  <c r="Z19" i="1" s="1"/>
  <c r="Q37" i="1"/>
  <c r="Q45" i="1"/>
  <c r="AE7" i="1"/>
  <c r="AG7" i="1"/>
  <c r="AC22" i="1"/>
  <c r="AG22" i="1" s="1"/>
  <c r="Y23" i="1"/>
  <c r="Z23" i="1" s="1"/>
  <c r="AC16" i="1"/>
  <c r="AG16" i="1" s="1"/>
  <c r="Y22" i="1"/>
  <c r="Z22" i="1" s="1"/>
  <c r="AC18" i="1"/>
  <c r="AG18" i="1" s="1"/>
  <c r="Q42" i="1"/>
  <c r="AC21" i="1"/>
  <c r="AG21" i="1" s="1"/>
  <c r="Y26" i="1"/>
  <c r="Z26" i="1" s="1"/>
  <c r="AE45" i="1"/>
  <c r="AC24" i="1"/>
  <c r="AG24" i="1" s="1"/>
  <c r="AE6" i="1"/>
  <c r="AG6" i="1"/>
  <c r="Q6" i="1"/>
  <c r="Q11" i="1"/>
  <c r="AC10" i="1"/>
  <c r="AG10" i="1" s="1"/>
  <c r="Y47" i="1"/>
  <c r="Z47" i="1" s="1"/>
  <c r="Y29" i="1"/>
  <c r="AC37" i="1"/>
  <c r="AG37" i="1" s="1"/>
  <c r="Y35" i="1"/>
  <c r="Z35" i="1" s="1"/>
  <c r="Q39" i="1"/>
  <c r="Q12" i="1"/>
  <c r="AD22" i="1"/>
  <c r="AE22" i="1" s="1"/>
  <c r="Y20" i="1"/>
  <c r="Z20" i="1" s="1"/>
  <c r="Y15" i="1"/>
  <c r="Z15" i="1" s="1"/>
  <c r="AD38" i="1"/>
  <c r="AE38" i="1" s="1"/>
  <c r="AC17" i="1"/>
  <c r="AG17" i="1" s="1"/>
  <c r="Y25" i="1"/>
  <c r="Z25" i="1" s="1"/>
  <c r="Y43" i="1"/>
  <c r="Z43" i="1" s="1"/>
  <c r="Y18" i="1"/>
  <c r="AC29" i="1"/>
  <c r="AG29" i="1" s="1"/>
  <c r="AE44" i="1"/>
  <c r="Y11" i="1"/>
  <c r="Z11" i="1" s="1"/>
  <c r="Y21" i="1"/>
  <c r="Z21" i="1" s="1"/>
  <c r="Y34" i="1"/>
  <c r="Y41" i="1"/>
  <c r="Z41" i="1" s="1"/>
  <c r="AD21" i="1"/>
  <c r="Y14" i="1"/>
  <c r="Y30" i="1"/>
  <c r="Y17" i="1"/>
  <c r="AD35" i="1"/>
  <c r="AE35" i="1" s="1"/>
  <c r="AD23" i="1"/>
  <c r="AE23" i="1" s="1"/>
  <c r="Y28" i="1"/>
  <c r="Y12" i="1"/>
  <c r="Y9" i="1"/>
  <c r="Z39" i="1"/>
  <c r="AD39" i="1"/>
  <c r="AE39" i="1" s="1"/>
  <c r="Y24" i="1"/>
  <c r="Y16" i="1"/>
  <c r="Y36" i="1"/>
  <c r="Y42" i="1"/>
  <c r="AD27" i="1"/>
  <c r="AE27" i="1"/>
  <c r="Y32" i="1"/>
  <c r="Y40" i="1"/>
  <c r="AD10" i="1"/>
  <c r="Y13" i="1"/>
  <c r="Y37" i="1"/>
  <c r="AD37" i="1" s="1"/>
  <c r="AE37" i="1" s="1"/>
  <c r="Z44" i="1"/>
  <c r="AD33" i="1" l="1"/>
  <c r="AE33" i="1" s="1"/>
  <c r="AD15" i="1"/>
  <c r="AE15" i="1" s="1"/>
  <c r="AD8" i="1"/>
  <c r="AE8" i="1" s="1"/>
  <c r="Z49" i="1"/>
  <c r="AD49" i="1"/>
  <c r="AE49" i="1" s="1"/>
  <c r="Z31" i="1"/>
  <c r="AD31" i="1"/>
  <c r="AE31" i="1" s="1"/>
  <c r="AD11" i="1"/>
  <c r="AE21" i="1"/>
  <c r="AE10" i="1"/>
  <c r="AE5" i="1"/>
  <c r="AG5" i="1"/>
  <c r="AE11" i="1"/>
  <c r="AD47" i="1"/>
  <c r="O46" i="1"/>
  <c r="AC46" i="1" s="1"/>
  <c r="AE46" i="1" s="1"/>
  <c r="O47" i="1"/>
  <c r="Q5" i="1"/>
  <c r="AD43" i="1"/>
  <c r="AE43" i="1" s="1"/>
  <c r="AD20" i="1"/>
  <c r="AE20" i="1" s="1"/>
  <c r="AD26" i="1"/>
  <c r="AE26" i="1" s="1"/>
  <c r="AD41" i="1"/>
  <c r="AE41" i="1" s="1"/>
  <c r="AD19" i="1"/>
  <c r="AE19" i="1" s="1"/>
  <c r="AD25" i="1"/>
  <c r="AE25" i="1" s="1"/>
  <c r="Z34" i="1"/>
  <c r="AD34" i="1"/>
  <c r="AE34" i="1" s="1"/>
  <c r="Z18" i="1"/>
  <c r="AD18" i="1"/>
  <c r="AE18" i="1" s="1"/>
  <c r="Z29" i="1"/>
  <c r="AD29" i="1"/>
  <c r="AE29" i="1" s="1"/>
  <c r="Z24" i="1"/>
  <c r="AD24" i="1"/>
  <c r="AE24" i="1" s="1"/>
  <c r="Z14" i="1"/>
  <c r="AD14" i="1"/>
  <c r="AE14" i="1" s="1"/>
  <c r="Z16" i="1"/>
  <c r="AD16" i="1"/>
  <c r="AE16" i="1" s="1"/>
  <c r="Z40" i="1"/>
  <c r="AD40" i="1"/>
  <c r="AE40" i="1" s="1"/>
  <c r="Z32" i="1"/>
  <c r="AD32" i="1"/>
  <c r="AE32" i="1" s="1"/>
  <c r="Z17" i="1"/>
  <c r="AD17" i="1"/>
  <c r="AE17" i="1" s="1"/>
  <c r="Z13" i="1"/>
  <c r="AD13" i="1"/>
  <c r="AE13" i="1" s="1"/>
  <c r="Z9" i="1"/>
  <c r="AD9" i="1"/>
  <c r="AE9" i="1" s="1"/>
  <c r="Z28" i="1"/>
  <c r="AD28" i="1"/>
  <c r="AE28" i="1" s="1"/>
  <c r="Z42" i="1"/>
  <c r="AD42" i="1"/>
  <c r="AE42" i="1" s="1"/>
  <c r="Z30" i="1"/>
  <c r="AD30" i="1"/>
  <c r="AE30" i="1" s="1"/>
  <c r="Z12" i="1"/>
  <c r="AD12" i="1"/>
  <c r="AE12" i="1" s="1"/>
  <c r="Z37" i="1"/>
  <c r="Z36" i="1"/>
  <c r="AD36" i="1"/>
  <c r="AE36" i="1" s="1"/>
  <c r="AC47" i="1" l="1"/>
  <c r="AG47" i="1" s="1"/>
  <c r="Q47" i="1"/>
  <c r="AE47" i="1"/>
  <c r="Q46" i="1"/>
  <c r="AG46" i="1" l="1"/>
</calcChain>
</file>

<file path=xl/sharedStrings.xml><?xml version="1.0" encoding="utf-8"?>
<sst xmlns="http://schemas.openxmlformats.org/spreadsheetml/2006/main" count="108" uniqueCount="44">
  <si>
    <t>Stock-specific harvest</t>
  </si>
  <si>
    <t>Commercial Fishery (NCI)</t>
  </si>
  <si>
    <t>Tyonek subsitence harvest</t>
  </si>
  <si>
    <t>90% CI</t>
  </si>
  <si>
    <t>Year</t>
  </si>
  <si>
    <t>Reporting Group</t>
  </si>
  <si>
    <t>Mean</t>
  </si>
  <si>
    <t>SD</t>
  </si>
  <si>
    <t>Kenai Peninsula</t>
  </si>
  <si>
    <t>Harvest represented</t>
  </si>
  <si>
    <t>Total harvest</t>
  </si>
  <si>
    <r>
      <t>1985</t>
    </r>
    <r>
      <rPr>
        <vertAlign val="superscript"/>
        <sz val="9"/>
        <rFont val="Times New Roman"/>
        <family val="1"/>
      </rPr>
      <t>a</t>
    </r>
  </si>
  <si>
    <r>
      <t>1986</t>
    </r>
    <r>
      <rPr>
        <vertAlign val="superscript"/>
        <sz val="9"/>
        <rFont val="Times New Roman"/>
        <family val="1"/>
      </rPr>
      <t>a</t>
    </r>
  </si>
  <si>
    <t>Year: 2016 (n=1,231)</t>
  </si>
  <si>
    <t>Stock composition (%)</t>
  </si>
  <si>
    <t>West</t>
  </si>
  <si>
    <t>Yentna</t>
  </si>
  <si>
    <t>Susitna</t>
  </si>
  <si>
    <t>Deshka</t>
  </si>
  <si>
    <t>Knik-Turnagain</t>
  </si>
  <si>
    <t>Harvest not represented</t>
  </si>
  <si>
    <t>Year: 2017 (n=940)</t>
  </si>
  <si>
    <t>Year: 2016 (n=279)</t>
  </si>
  <si>
    <t>Year: 2017 (n=245)</t>
  </si>
  <si>
    <t>Tyonek Subsitence harvest</t>
  </si>
  <si>
    <t>Total</t>
  </si>
  <si>
    <t>Harvest marine</t>
  </si>
  <si>
    <t>copied and reformated from .\data-rawCopy of Susitna Chinook harvest data.xlxs</t>
  </si>
  <si>
    <t>year</t>
  </si>
  <si>
    <t>pSusitna</t>
  </si>
  <si>
    <t>SE_pSusitna</t>
  </si>
  <si>
    <t>SE_Susitna</t>
  </si>
  <si>
    <t>CV_Susitna</t>
  </si>
  <si>
    <t>Note: Annual % Susitna estimates for 2016-2017, weighed average in other years</t>
  </si>
  <si>
    <t>Subsitence harvest expanded for unreturned permits but cv is small &lt;0.05 in 2016</t>
  </si>
  <si>
    <t>Se_Total</t>
  </si>
  <si>
    <t>pSRarea</t>
  </si>
  <si>
    <t>SusitnaSR</t>
  </si>
  <si>
    <t>CV_SusitnaSR</t>
  </si>
  <si>
    <t>added 10/9/20 (10/6/20 email from nick) pSRarea from radios</t>
  </si>
  <si>
    <t>added 1/6/21 (10/26/21 email from nick) pSRarea from raw radio counts (not sure if there is a weighterd output I should be using).</t>
  </si>
  <si>
    <t>added 11/23/2022 (email from nick 11/22/2023)</t>
  </si>
  <si>
    <t>added 10/23/2023 (10/3/2023 teams messaage form Nick). Updated 2019-2022 subsitence SWAGs to point estimates, personal comm from Dave Koster. 2023 still a SWAG.</t>
  </si>
  <si>
    <t>added 2/5/2025 (1/10/2024 teams message from Nick). Updated 2022 and 2023 subsitence SWAG to point estimates, added 2024 personal comm from Dave Koster.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</si>
</sst>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i/>
      <sz val="10"/>
      <color theme="1"/>
      <name val="Times New Roman"/>
      <family val="1"/>
    </font>
    <font>
      <vertAlign val="superscript"/>
      <sz val="9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2" fillId="0" borderId="0"/>
    <xf numFmtId="0" fontId="8" fillId="0" borderId="0"/>
    <xf numFmtId="0" fontId="8" fillId="0" borderId="0"/>
    <xf numFmtId="0" fontId="10" fillId="0" borderId="0"/>
  </cellStyleXfs>
  <cellXfs count="63">
    <xf numFmtId="0" fontId="0" fillId="0" borderId="0" xfId="0"/>
    <xf numFmtId="0" fontId="2" fillId="0" borderId="0" xfId="0" applyFont="1"/>
    <xf numFmtId="164" fontId="2" fillId="0" borderId="0" xfId="1" applyNumberFormat="1" applyFont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9" fontId="9" fillId="2" borderId="2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43" fontId="0" fillId="0" borderId="0" xfId="0" applyNumberFormat="1"/>
    <xf numFmtId="0" fontId="0" fillId="0" borderId="2" xfId="0" applyBorder="1"/>
    <xf numFmtId="1" fontId="0" fillId="0" borderId="0" xfId="0" applyNumberFormat="1"/>
    <xf numFmtId="0" fontId="4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41" fontId="0" fillId="0" borderId="0" xfId="0" applyNumberFormat="1"/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7" fontId="0" fillId="0" borderId="0" xfId="0" applyNumberForma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5" fillId="0" borderId="0" xfId="4" applyNumberFormat="1" applyFont="1" applyFill="1" applyBorder="1"/>
    <xf numFmtId="3" fontId="5" fillId="0" borderId="0" xfId="5" applyNumberFormat="1" applyFont="1" applyFill="1" applyBorder="1"/>
    <xf numFmtId="3" fontId="5" fillId="0" borderId="0" xfId="6" applyNumberFormat="1" applyFont="1" applyFill="1" applyBorder="1"/>
    <xf numFmtId="3" fontId="5" fillId="0" borderId="0" xfId="7" applyNumberFormat="1" applyFont="1" applyFill="1" applyBorder="1"/>
    <xf numFmtId="3" fontId="5" fillId="0" borderId="0" xfId="8" applyNumberFormat="1" applyFont="1" applyFill="1" applyBorder="1"/>
    <xf numFmtId="3" fontId="5" fillId="0" borderId="0" xfId="9" applyNumberFormat="1" applyFont="1" applyFill="1" applyBorder="1"/>
    <xf numFmtId="3" fontId="5" fillId="0" borderId="0" xfId="10" applyNumberFormat="1" applyFont="1" applyFill="1" applyBorder="1"/>
    <xf numFmtId="3" fontId="5" fillId="0" borderId="0" xfId="11" applyNumberFormat="1" applyFont="1" applyFill="1" applyBorder="1"/>
    <xf numFmtId="3" fontId="5" fillId="0" borderId="0" xfId="12" applyNumberFormat="1" applyFont="1" applyFill="1" applyBorder="1"/>
    <xf numFmtId="3" fontId="5" fillId="0" borderId="0" xfId="13" applyNumberFormat="1" applyFont="1" applyFill="1" applyBorder="1"/>
    <xf numFmtId="3" fontId="5" fillId="0" borderId="0" xfId="14" applyNumberFormat="1" applyFont="1" applyFill="1" applyBorder="1"/>
    <xf numFmtId="3" fontId="5" fillId="0" borderId="0" xfId="15" applyNumberFormat="1" applyFont="1" applyFill="1" applyBorder="1"/>
    <xf numFmtId="3" fontId="5" fillId="0" borderId="0" xfId="16" applyNumberFormat="1" applyFont="1" applyFill="1" applyBorder="1"/>
    <xf numFmtId="3" fontId="5" fillId="0" borderId="0" xfId="17" applyNumberFormat="1" applyFont="1" applyFill="1" applyBorder="1"/>
    <xf numFmtId="3" fontId="0" fillId="0" borderId="0" xfId="0" applyNumberFormat="1"/>
    <xf numFmtId="3" fontId="5" fillId="0" borderId="0" xfId="14" applyNumberFormat="1" applyFont="1" applyBorder="1"/>
    <xf numFmtId="3" fontId="5" fillId="0" borderId="0" xfId="15" applyNumberFormat="1" applyFont="1" applyBorder="1"/>
    <xf numFmtId="3" fontId="5" fillId="0" borderId="0" xfId="16" applyNumberFormat="1" applyFont="1" applyBorder="1"/>
    <xf numFmtId="3" fontId="5" fillId="0" borderId="0" xfId="17" applyNumberFormat="1" applyFont="1" applyBorder="1"/>
    <xf numFmtId="3" fontId="5" fillId="0" borderId="0" xfId="18" applyNumberFormat="1" applyFont="1"/>
    <xf numFmtId="0" fontId="3" fillId="3" borderId="0" xfId="0" applyFont="1" applyFill="1" applyAlignment="1">
      <alignment horizontal="right" vertical="center"/>
    </xf>
    <xf numFmtId="2" fontId="3" fillId="3" borderId="0" xfId="0" applyNumberFormat="1" applyFont="1" applyFill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37" fontId="2" fillId="0" borderId="0" xfId="23" applyNumberFormat="1" applyFont="1"/>
    <xf numFmtId="3" fontId="2" fillId="0" borderId="0" xfId="0" applyNumberFormat="1" applyFont="1"/>
    <xf numFmtId="3" fontId="5" fillId="0" borderId="0" xfId="18" applyNumberFormat="1" applyFont="1" applyFill="1"/>
    <xf numFmtId="0" fontId="3" fillId="0" borderId="0" xfId="0" applyFont="1"/>
    <xf numFmtId="2" fontId="0" fillId="0" borderId="0" xfId="0" applyNumberFormat="1"/>
    <xf numFmtId="165" fontId="3" fillId="4" borderId="0" xfId="0" applyNumberFormat="1" applyFont="1" applyFill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5">
    <cellStyle name="Comma" xfId="1" builtinId="3"/>
    <cellStyle name="Comma 2" xfId="19" xr:uid="{00000000-0005-0000-0000-000001000000}"/>
    <cellStyle name="Normal" xfId="0" builtinId="0"/>
    <cellStyle name="Normal 10 2 2 2" xfId="2" xr:uid="{00000000-0005-0000-0000-000003000000}"/>
    <cellStyle name="Normal 14" xfId="18" xr:uid="{00000000-0005-0000-0000-000004000000}"/>
    <cellStyle name="Normal 15" xfId="3" xr:uid="{00000000-0005-0000-0000-000005000000}"/>
    <cellStyle name="Normal 16" xfId="17" xr:uid="{00000000-0005-0000-0000-000006000000}"/>
    <cellStyle name="Normal 17" xfId="16" xr:uid="{00000000-0005-0000-0000-000007000000}"/>
    <cellStyle name="Normal 18" xfId="15" xr:uid="{00000000-0005-0000-0000-000008000000}"/>
    <cellStyle name="Normal 19" xfId="14" xr:uid="{00000000-0005-0000-0000-000009000000}"/>
    <cellStyle name="Normal 2" xfId="20" xr:uid="{00000000-0005-0000-0000-00000A000000}"/>
    <cellStyle name="Normal 20" xfId="12" xr:uid="{00000000-0005-0000-0000-00000B000000}"/>
    <cellStyle name="Normal 21" xfId="11" xr:uid="{00000000-0005-0000-0000-00000C000000}"/>
    <cellStyle name="Normal 22" xfId="10" xr:uid="{00000000-0005-0000-0000-00000D000000}"/>
    <cellStyle name="Normal 23" xfId="9" xr:uid="{00000000-0005-0000-0000-00000E000000}"/>
    <cellStyle name="Normal 24" xfId="8" xr:uid="{00000000-0005-0000-0000-00000F000000}"/>
    <cellStyle name="Normal 25" xfId="7" xr:uid="{00000000-0005-0000-0000-000010000000}"/>
    <cellStyle name="Normal 26" xfId="6" xr:uid="{00000000-0005-0000-0000-000011000000}"/>
    <cellStyle name="Normal 27" xfId="5" xr:uid="{00000000-0005-0000-0000-000012000000}"/>
    <cellStyle name="Normal 28" xfId="4" xr:uid="{00000000-0005-0000-0000-000013000000}"/>
    <cellStyle name="Normal 29" xfId="13" xr:uid="{00000000-0005-0000-0000-000014000000}"/>
    <cellStyle name="Normal 3" xfId="21" xr:uid="{00000000-0005-0000-0000-000015000000}"/>
    <cellStyle name="Normal 4" xfId="24" xr:uid="{9764E015-CEB9-4FB9-A0DC-AC491AF32829}"/>
    <cellStyle name="Normal 7" xfId="22" xr:uid="{00000000-0005-0000-0000-000016000000}"/>
    <cellStyle name="Normal_1998 AMR Tables and Appendices" xfId="23" xr:uid="{00000000-0005-0000-0000-000017000000}"/>
  </cellStyles>
  <dxfs count="4">
    <dxf>
      <font>
        <color theme="0" tint="-0.34995574816125979"/>
      </font>
    </dxf>
    <dxf>
      <font>
        <color theme="0" tint="-0.34995574816125979"/>
      </font>
    </dxf>
    <dxf>
      <font>
        <color theme="0" tint="-0.34995574816125979"/>
      </font>
    </dxf>
    <dxf>
      <font>
        <color theme="0" tint="-0.349955748161259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"/>
  <sheetViews>
    <sheetView tabSelected="1" zoomScaleNormal="100" workbookViewId="0">
      <pane xSplit="9" ySplit="4" topLeftCell="J41" activePane="bottomRight" state="frozen"/>
      <selection pane="topRight" activeCell="J1" sqref="J1"/>
      <selection pane="bottomLeft" activeCell="A5" sqref="A5"/>
      <selection pane="bottomRight" activeCell="X66" sqref="X66"/>
    </sheetView>
  </sheetViews>
  <sheetFormatPr defaultRowHeight="15" x14ac:dyDescent="0.25"/>
  <cols>
    <col min="1" max="1" width="14.7109375" customWidth="1"/>
    <col min="7" max="7" width="14" customWidth="1"/>
    <col min="10" max="10" width="10.28515625" customWidth="1"/>
    <col min="14" max="14" width="9.7109375" bestFit="1" customWidth="1"/>
    <col min="18" max="18" width="11.7109375" customWidth="1"/>
    <col min="34" max="34" width="13.140625" bestFit="1" customWidth="1"/>
  </cols>
  <sheetData>
    <row r="1" spans="1:34" x14ac:dyDescent="0.25">
      <c r="A1" t="s">
        <v>27</v>
      </c>
      <c r="K1" t="s">
        <v>33</v>
      </c>
    </row>
    <row r="3" spans="1:34" x14ac:dyDescent="0.25">
      <c r="A3" s="1"/>
      <c r="B3" s="1"/>
      <c r="C3" s="1"/>
      <c r="D3" s="1"/>
      <c r="E3" s="1"/>
      <c r="F3" s="1"/>
      <c r="G3" s="2"/>
      <c r="H3" s="2"/>
      <c r="I3" s="2"/>
      <c r="K3" t="s">
        <v>1</v>
      </c>
      <c r="S3" t="s">
        <v>2</v>
      </c>
      <c r="AB3" t="s">
        <v>26</v>
      </c>
    </row>
    <row r="4" spans="1:34" x14ac:dyDescent="0.25">
      <c r="A4" s="3" t="s">
        <v>13</v>
      </c>
      <c r="B4" s="61" t="s">
        <v>14</v>
      </c>
      <c r="C4" s="61"/>
      <c r="D4" s="61"/>
      <c r="E4" s="61"/>
      <c r="F4" s="4"/>
      <c r="G4" s="62" t="s">
        <v>0</v>
      </c>
      <c r="H4" s="62"/>
      <c r="I4" s="62"/>
      <c r="K4" s="18" t="s">
        <v>4</v>
      </c>
      <c r="L4" s="19" t="s">
        <v>25</v>
      </c>
      <c r="M4" s="19" t="s">
        <v>29</v>
      </c>
      <c r="N4" s="19" t="s">
        <v>30</v>
      </c>
      <c r="O4" s="16" t="s">
        <v>17</v>
      </c>
      <c r="P4" s="19" t="s">
        <v>31</v>
      </c>
      <c r="Q4" s="19" t="s">
        <v>32</v>
      </c>
      <c r="S4" s="18" t="s">
        <v>4</v>
      </c>
      <c r="T4" s="19" t="s">
        <v>25</v>
      </c>
      <c r="U4" s="19" t="s">
        <v>35</v>
      </c>
      <c r="V4" s="19" t="s">
        <v>29</v>
      </c>
      <c r="W4" s="19" t="s">
        <v>30</v>
      </c>
      <c r="X4" s="16" t="s">
        <v>17</v>
      </c>
      <c r="Y4" s="19" t="s">
        <v>31</v>
      </c>
      <c r="Z4" s="19" t="s">
        <v>32</v>
      </c>
      <c r="AB4" s="16" t="s">
        <v>28</v>
      </c>
      <c r="AC4" s="16" t="s">
        <v>17</v>
      </c>
      <c r="AD4" s="19" t="s">
        <v>31</v>
      </c>
      <c r="AE4" s="19" t="s">
        <v>32</v>
      </c>
      <c r="AF4" s="16" t="s">
        <v>36</v>
      </c>
      <c r="AG4" s="16" t="s">
        <v>37</v>
      </c>
      <c r="AH4" s="16" t="s">
        <v>38</v>
      </c>
    </row>
    <row r="5" spans="1:34" x14ac:dyDescent="0.25">
      <c r="A5" s="5"/>
      <c r="B5" s="5"/>
      <c r="C5" s="62" t="s">
        <v>3</v>
      </c>
      <c r="D5" s="62"/>
      <c r="E5" s="5"/>
      <c r="F5" s="3"/>
      <c r="G5" s="5"/>
      <c r="H5" s="62" t="s">
        <v>3</v>
      </c>
      <c r="I5" s="62"/>
      <c r="K5" s="20">
        <v>1977</v>
      </c>
      <c r="L5" s="55">
        <v>565</v>
      </c>
      <c r="M5" s="59">
        <f t="shared" ref="M5:M42" si="0">AVERAGE($M$44:$M$45)</f>
        <v>0.51656657430391151</v>
      </c>
      <c r="N5" s="52">
        <f t="shared" ref="N5:N42" si="1">_xlfn.STDEV.S($M$44:$M$45)</f>
        <v>5.2164797144424936E-2</v>
      </c>
      <c r="O5" s="22">
        <f>L5*M5</f>
        <v>291.86011448171001</v>
      </c>
      <c r="P5" s="22">
        <f>SQRT(L5^2*N5^2)</f>
        <v>29.473110386600087</v>
      </c>
      <c r="Q5" s="15">
        <f>P5/O5</f>
        <v>0.10098368678755204</v>
      </c>
      <c r="S5" s="23"/>
      <c r="T5" s="24"/>
      <c r="U5" s="24"/>
      <c r="V5" s="21"/>
      <c r="W5" s="21"/>
      <c r="AB5" s="20">
        <v>1977</v>
      </c>
      <c r="AC5" s="22">
        <f t="shared" ref="AC5:AC45" si="2">O5+X5</f>
        <v>291.86011448171001</v>
      </c>
      <c r="AD5" s="17">
        <f t="shared" ref="AD5:AD45" si="3">SQRT(SUMSQ(P5,Y5))</f>
        <v>29.473110386600087</v>
      </c>
      <c r="AE5" s="15">
        <f t="shared" ref="AE5:AE45" si="4">AD5/AC5</f>
        <v>0.10098368678755204</v>
      </c>
      <c r="AF5" s="52">
        <f>AVERAGE($AF$42:$AF$45)</f>
        <v>0.15166255389843397</v>
      </c>
      <c r="AG5" s="14">
        <f>AC5*(1-AF5)</f>
        <v>247.59586413832457</v>
      </c>
      <c r="AH5" s="58">
        <v>0.15</v>
      </c>
    </row>
    <row r="6" spans="1:34" x14ac:dyDescent="0.25">
      <c r="A6" s="6" t="s">
        <v>5</v>
      </c>
      <c r="B6" s="7" t="s">
        <v>6</v>
      </c>
      <c r="C6" s="8">
        <v>0.05</v>
      </c>
      <c r="D6" s="8">
        <v>0.95</v>
      </c>
      <c r="E6" s="7" t="s">
        <v>7</v>
      </c>
      <c r="F6" s="9"/>
      <c r="G6" s="7" t="s">
        <v>6</v>
      </c>
      <c r="H6" s="8">
        <v>0.05</v>
      </c>
      <c r="I6" s="8">
        <v>0.95</v>
      </c>
      <c r="K6" s="20">
        <v>1978</v>
      </c>
      <c r="L6" s="55">
        <v>666</v>
      </c>
      <c r="M6" s="59">
        <f t="shared" si="0"/>
        <v>0.51656657430391151</v>
      </c>
      <c r="N6" s="52">
        <f t="shared" si="1"/>
        <v>5.2164797144424936E-2</v>
      </c>
      <c r="O6" s="22">
        <f t="shared" ref="O6:O48" si="5">L6*M6</f>
        <v>344.03333848640506</v>
      </c>
      <c r="P6" s="22">
        <f t="shared" ref="P6:P44" si="6">SQRT(L6^2*N6^2)</f>
        <v>34.741754898187011</v>
      </c>
      <c r="Q6" s="15">
        <f t="shared" ref="Q6:Q42" si="7">P6/O6</f>
        <v>0.10098368678755207</v>
      </c>
      <c r="S6" s="23"/>
      <c r="T6" s="24"/>
      <c r="U6" s="24"/>
      <c r="V6" s="21"/>
      <c r="W6" s="21"/>
      <c r="AB6" s="20">
        <v>1978</v>
      </c>
      <c r="AC6" s="22">
        <f t="shared" si="2"/>
        <v>344.03333848640506</v>
      </c>
      <c r="AD6" s="17">
        <f t="shared" si="3"/>
        <v>34.741754898187011</v>
      </c>
      <c r="AE6" s="15">
        <f t="shared" si="4"/>
        <v>0.10098368678755207</v>
      </c>
      <c r="AF6" s="52">
        <f t="shared" ref="AF6:AF40" si="8">AVERAGE($AF$42:$AF$45)</f>
        <v>0.15166255389843397</v>
      </c>
      <c r="AG6" s="14">
        <f t="shared" ref="AG6:AG44" si="9">AC6*(1-AF6)</f>
        <v>291.8563637453525</v>
      </c>
      <c r="AH6" s="58">
        <v>0.15</v>
      </c>
    </row>
    <row r="7" spans="1:34" x14ac:dyDescent="0.25">
      <c r="A7" s="10" t="s">
        <v>15</v>
      </c>
      <c r="B7">
        <v>17.104824255922701</v>
      </c>
      <c r="C7">
        <v>14.395982090897499</v>
      </c>
      <c r="D7">
        <v>19.917532077323902</v>
      </c>
      <c r="E7">
        <v>1.6712191318551699</v>
      </c>
      <c r="F7" s="9"/>
      <c r="G7">
        <v>365.53009434906897</v>
      </c>
      <c r="H7">
        <v>307.64213728248001</v>
      </c>
      <c r="I7">
        <v>425.63766049241298</v>
      </c>
      <c r="K7" s="20">
        <v>1979</v>
      </c>
      <c r="L7" s="55">
        <v>1714</v>
      </c>
      <c r="M7" s="59">
        <f t="shared" si="0"/>
        <v>0.51656657430391151</v>
      </c>
      <c r="N7" s="52">
        <f t="shared" si="1"/>
        <v>5.2164797144424936E-2</v>
      </c>
      <c r="O7" s="22">
        <f t="shared" si="5"/>
        <v>885.3951083569043</v>
      </c>
      <c r="P7" s="22">
        <f t="shared" si="6"/>
        <v>89.410462305544343</v>
      </c>
      <c r="Q7" s="15">
        <f t="shared" si="7"/>
        <v>0.10098368678755205</v>
      </c>
      <c r="S7" s="23"/>
      <c r="T7" s="24"/>
      <c r="U7" s="24"/>
      <c r="V7" s="21"/>
      <c r="W7" s="21"/>
      <c r="AB7" s="20">
        <v>1979</v>
      </c>
      <c r="AC7" s="22">
        <f t="shared" si="2"/>
        <v>885.3951083569043</v>
      </c>
      <c r="AD7" s="17">
        <f t="shared" si="3"/>
        <v>89.410462305544343</v>
      </c>
      <c r="AE7" s="15">
        <f t="shared" si="4"/>
        <v>0.10098368678755205</v>
      </c>
      <c r="AF7" s="52">
        <f t="shared" si="8"/>
        <v>0.15166255389843397</v>
      </c>
      <c r="AG7" s="14">
        <f t="shared" si="9"/>
        <v>751.11382501431547</v>
      </c>
      <c r="AH7" s="58">
        <v>0.15</v>
      </c>
    </row>
    <row r="8" spans="1:34" x14ac:dyDescent="0.25">
      <c r="A8" s="10" t="s">
        <v>16</v>
      </c>
      <c r="B8">
        <v>26.290530809342702</v>
      </c>
      <c r="C8">
        <v>23.590144314485102</v>
      </c>
      <c r="D8">
        <v>29.133763785285598</v>
      </c>
      <c r="E8">
        <v>1.7050362792509699</v>
      </c>
      <c r="F8" s="9"/>
      <c r="G8">
        <v>561.82864339565401</v>
      </c>
      <c r="H8">
        <v>504.12138400054698</v>
      </c>
      <c r="I8">
        <v>622.58853209155302</v>
      </c>
      <c r="K8" s="20">
        <v>1980</v>
      </c>
      <c r="L8" s="55">
        <v>993</v>
      </c>
      <c r="M8" s="59">
        <f t="shared" si="0"/>
        <v>0.51656657430391151</v>
      </c>
      <c r="N8" s="52">
        <f t="shared" si="1"/>
        <v>5.2164797144424936E-2</v>
      </c>
      <c r="O8" s="22">
        <f t="shared" si="5"/>
        <v>512.95060828378416</v>
      </c>
      <c r="P8" s="22">
        <f t="shared" si="6"/>
        <v>51.799643564413962</v>
      </c>
      <c r="Q8" s="15">
        <f t="shared" si="7"/>
        <v>0.10098368678755205</v>
      </c>
      <c r="S8" s="25">
        <v>1980</v>
      </c>
      <c r="T8" s="26">
        <v>1936</v>
      </c>
      <c r="U8" s="26">
        <f>T8*0.05</f>
        <v>96.800000000000011</v>
      </c>
      <c r="V8" s="21">
        <f t="shared" ref="V8:V42" si="10">AVERAGE($V$44:$V$45)</f>
        <v>0.61074344530524804</v>
      </c>
      <c r="W8" s="52">
        <f t="shared" ref="W8:W42" si="11">_xlfn.STDEV.S($V$44:$V$45)</f>
        <v>7.3659157462274485E-2</v>
      </c>
      <c r="X8" s="27">
        <f t="shared" ref="X8:X45" si="12">T8*V8</f>
        <v>1182.3993101109602</v>
      </c>
      <c r="Y8" s="22">
        <f>SQRT(T8^2*W8^2+V8^2*U8^2-U8^2*W8^2)</f>
        <v>154.20852130043923</v>
      </c>
      <c r="Z8" s="15">
        <f>Y8/X8</f>
        <v>0.13042000277044125</v>
      </c>
      <c r="AA8" s="27"/>
      <c r="AB8" s="20">
        <v>1980</v>
      </c>
      <c r="AC8" s="22">
        <f t="shared" si="2"/>
        <v>1695.3499183947442</v>
      </c>
      <c r="AD8" s="17">
        <f t="shared" si="3"/>
        <v>162.67596969149545</v>
      </c>
      <c r="AE8" s="15">
        <f t="shared" si="4"/>
        <v>9.5954214481884958E-2</v>
      </c>
      <c r="AF8" s="52">
        <f t="shared" si="8"/>
        <v>0.15166255389843397</v>
      </c>
      <c r="AG8" s="14">
        <f t="shared" si="9"/>
        <v>1438.2288200194957</v>
      </c>
      <c r="AH8" s="58">
        <v>0.15</v>
      </c>
    </row>
    <row r="9" spans="1:34" x14ac:dyDescent="0.25">
      <c r="A9" s="10" t="s">
        <v>17</v>
      </c>
      <c r="B9">
        <v>10.8308667348153</v>
      </c>
      <c r="C9">
        <v>9.1234874759855895</v>
      </c>
      <c r="D9">
        <v>12.642533072511901</v>
      </c>
      <c r="E9">
        <v>1.06865499449706</v>
      </c>
      <c r="F9" s="3"/>
      <c r="G9">
        <v>231.455622123003</v>
      </c>
      <c r="H9">
        <v>194.96892736181201</v>
      </c>
      <c r="I9">
        <v>270.17093175957899</v>
      </c>
      <c r="K9" s="20">
        <v>1981</v>
      </c>
      <c r="L9" s="55">
        <v>725</v>
      </c>
      <c r="M9" s="59">
        <f t="shared" si="0"/>
        <v>0.51656657430391151</v>
      </c>
      <c r="N9" s="52">
        <f t="shared" si="1"/>
        <v>5.2164797144424936E-2</v>
      </c>
      <c r="O9" s="22">
        <f t="shared" si="5"/>
        <v>374.51076637033583</v>
      </c>
      <c r="P9" s="22">
        <f t="shared" si="6"/>
        <v>37.819477929708079</v>
      </c>
      <c r="Q9" s="15">
        <f t="shared" si="7"/>
        <v>0.10098368678755205</v>
      </c>
      <c r="S9" s="28">
        <v>1981</v>
      </c>
      <c r="T9" s="29">
        <v>2002</v>
      </c>
      <c r="U9" s="26">
        <f t="shared" ref="U9:U40" si="13">T9*0.05</f>
        <v>100.10000000000001</v>
      </c>
      <c r="V9" s="21">
        <f t="shared" si="10"/>
        <v>0.61074344530524804</v>
      </c>
      <c r="W9" s="52">
        <f t="shared" si="11"/>
        <v>7.3659157462274485E-2</v>
      </c>
      <c r="X9" s="27">
        <f t="shared" si="12"/>
        <v>1222.7083775011065</v>
      </c>
      <c r="Y9" s="22">
        <f t="shared" ref="Y9:Y45" si="14">SQRT(T9^2*W9^2+V9^2*U9^2-U9^2*W9^2)</f>
        <v>159.46562998113603</v>
      </c>
      <c r="Z9" s="15">
        <f t="shared" ref="Z9:Z45" si="15">Y9/X9</f>
        <v>0.13042000277044125</v>
      </c>
      <c r="AA9" s="27"/>
      <c r="AB9" s="20">
        <v>1981</v>
      </c>
      <c r="AC9" s="22">
        <f t="shared" si="2"/>
        <v>1597.2191438714424</v>
      </c>
      <c r="AD9" s="17">
        <f t="shared" si="3"/>
        <v>163.88898698862064</v>
      </c>
      <c r="AE9" s="15">
        <f t="shared" si="4"/>
        <v>0.10260895483094197</v>
      </c>
      <c r="AF9" s="52">
        <f t="shared" si="8"/>
        <v>0.15166255389843397</v>
      </c>
      <c r="AG9" s="14">
        <f t="shared" si="9"/>
        <v>1354.9808093764291</v>
      </c>
      <c r="AH9" s="58">
        <v>0.15</v>
      </c>
    </row>
    <row r="10" spans="1:34" x14ac:dyDescent="0.25">
      <c r="A10" s="10" t="s">
        <v>18</v>
      </c>
      <c r="B10">
        <v>10.846651706228799</v>
      </c>
      <c r="C10">
        <v>8.8809626478547692</v>
      </c>
      <c r="D10">
        <v>12.9523745683095</v>
      </c>
      <c r="E10">
        <v>1.2421287794514699</v>
      </c>
      <c r="F10" s="3"/>
      <c r="G10">
        <v>231.79294696210999</v>
      </c>
      <c r="H10">
        <v>189.78617178465601</v>
      </c>
      <c r="I10">
        <v>276.79224452477399</v>
      </c>
      <c r="K10" s="20">
        <v>1982</v>
      </c>
      <c r="L10" s="55">
        <v>2716</v>
      </c>
      <c r="M10" s="59">
        <f t="shared" si="0"/>
        <v>0.51656657430391151</v>
      </c>
      <c r="N10" s="52">
        <f t="shared" si="1"/>
        <v>5.2164797144424936E-2</v>
      </c>
      <c r="O10" s="22">
        <f t="shared" si="5"/>
        <v>1402.9948158094237</v>
      </c>
      <c r="P10" s="22">
        <f t="shared" si="6"/>
        <v>141.67958904425814</v>
      </c>
      <c r="Q10" s="15">
        <f t="shared" si="7"/>
        <v>0.10098368678755205</v>
      </c>
      <c r="S10" s="28">
        <v>1982</v>
      </c>
      <c r="T10" s="29">
        <v>1590</v>
      </c>
      <c r="U10" s="26">
        <f t="shared" si="13"/>
        <v>79.5</v>
      </c>
      <c r="V10" s="21">
        <f t="shared" si="10"/>
        <v>0.61074344530524804</v>
      </c>
      <c r="W10" s="52">
        <f t="shared" si="11"/>
        <v>7.3659157462274485E-2</v>
      </c>
      <c r="X10" s="27">
        <f t="shared" si="12"/>
        <v>971.08207803534435</v>
      </c>
      <c r="Y10" s="22">
        <f t="shared" si="14"/>
        <v>126.64852730769546</v>
      </c>
      <c r="Z10" s="15">
        <f t="shared" si="15"/>
        <v>0.13042000277044125</v>
      </c>
      <c r="AA10" s="27"/>
      <c r="AB10" s="20">
        <v>1982</v>
      </c>
      <c r="AC10" s="22">
        <f t="shared" si="2"/>
        <v>2374.0768938447682</v>
      </c>
      <c r="AD10" s="17">
        <f t="shared" si="3"/>
        <v>190.03409015478763</v>
      </c>
      <c r="AE10" s="15">
        <f t="shared" si="4"/>
        <v>8.0045465522825321E-2</v>
      </c>
      <c r="AF10" s="52">
        <f t="shared" si="8"/>
        <v>0.15166255389843397</v>
      </c>
      <c r="AG10" s="14">
        <f t="shared" si="9"/>
        <v>2014.0183289730094</v>
      </c>
      <c r="AH10" s="58">
        <v>0.15</v>
      </c>
    </row>
    <row r="11" spans="1:34" x14ac:dyDescent="0.25">
      <c r="A11" s="10" t="s">
        <v>19</v>
      </c>
      <c r="B11">
        <v>34.875262822990997</v>
      </c>
      <c r="C11">
        <v>32.969464073950803</v>
      </c>
      <c r="D11">
        <v>36.828611859748001</v>
      </c>
      <c r="E11">
        <v>1.1827369614530201</v>
      </c>
      <c r="F11" s="3"/>
      <c r="G11">
        <v>745.28436652731898</v>
      </c>
      <c r="H11">
        <v>704.55744726032901</v>
      </c>
      <c r="I11">
        <v>787.02743544281498</v>
      </c>
      <c r="J11" s="15"/>
      <c r="K11" s="20">
        <v>1983</v>
      </c>
      <c r="L11" s="55">
        <v>933</v>
      </c>
      <c r="M11" s="59">
        <f t="shared" si="0"/>
        <v>0.51656657430391151</v>
      </c>
      <c r="N11" s="52">
        <f t="shared" si="1"/>
        <v>5.2164797144424936E-2</v>
      </c>
      <c r="O11" s="22">
        <f t="shared" si="5"/>
        <v>481.95661382554943</v>
      </c>
      <c r="P11" s="22">
        <f t="shared" si="6"/>
        <v>48.669755735748467</v>
      </c>
      <c r="Q11" s="15">
        <f>P11/O11</f>
        <v>0.10098368678755207</v>
      </c>
      <c r="S11" s="28">
        <v>1983</v>
      </c>
      <c r="T11" s="29">
        <v>2755</v>
      </c>
      <c r="U11" s="26">
        <f t="shared" si="13"/>
        <v>137.75</v>
      </c>
      <c r="V11" s="21">
        <f t="shared" si="10"/>
        <v>0.61074344530524804</v>
      </c>
      <c r="W11" s="52">
        <f t="shared" si="11"/>
        <v>7.3659157462274485E-2</v>
      </c>
      <c r="X11" s="27">
        <f t="shared" si="12"/>
        <v>1682.5981918159584</v>
      </c>
      <c r="Y11" s="22">
        <f t="shared" si="14"/>
        <v>219.44446083817672</v>
      </c>
      <c r="Z11" s="15">
        <f t="shared" si="15"/>
        <v>0.13042000277044125</v>
      </c>
      <c r="AA11" s="27"/>
      <c r="AB11" s="20">
        <v>1983</v>
      </c>
      <c r="AC11" s="22">
        <f t="shared" si="2"/>
        <v>2164.5548056415078</v>
      </c>
      <c r="AD11" s="17">
        <f t="shared" si="3"/>
        <v>224.77681489854663</v>
      </c>
      <c r="AE11" s="15">
        <f t="shared" si="4"/>
        <v>0.10384436296679014</v>
      </c>
      <c r="AF11" s="52">
        <f t="shared" si="8"/>
        <v>0.15166255389843397</v>
      </c>
      <c r="AG11" s="14">
        <f t="shared" si="9"/>
        <v>1836.2728957647882</v>
      </c>
      <c r="AH11" s="58">
        <v>0.15</v>
      </c>
    </row>
    <row r="12" spans="1:34" x14ac:dyDescent="0.25">
      <c r="A12" s="11" t="s">
        <v>8</v>
      </c>
      <c r="B12">
        <v>5.1863670699252698E-2</v>
      </c>
      <c r="C12">
        <v>0</v>
      </c>
      <c r="D12">
        <v>0.35377481317808002</v>
      </c>
      <c r="E12">
        <v>0.167151892515849</v>
      </c>
      <c r="F12" s="3"/>
      <c r="G12">
        <v>1.1083266428430301</v>
      </c>
      <c r="H12">
        <v>0</v>
      </c>
      <c r="I12">
        <v>7.5601677576155799</v>
      </c>
      <c r="K12" s="20">
        <v>1984</v>
      </c>
      <c r="L12" s="55">
        <v>1004</v>
      </c>
      <c r="M12" s="59">
        <f t="shared" si="0"/>
        <v>0.51656657430391151</v>
      </c>
      <c r="N12" s="52">
        <f t="shared" si="1"/>
        <v>5.2164797144424936E-2</v>
      </c>
      <c r="O12" s="22">
        <f t="shared" si="5"/>
        <v>518.6328406011271</v>
      </c>
      <c r="P12" s="22">
        <f t="shared" si="6"/>
        <v>52.373456333002636</v>
      </c>
      <c r="Q12" s="15">
        <f t="shared" si="7"/>
        <v>0.10098368678755207</v>
      </c>
      <c r="S12" s="28">
        <v>1984</v>
      </c>
      <c r="T12" s="29">
        <v>2364</v>
      </c>
      <c r="U12" s="26">
        <f t="shared" si="13"/>
        <v>118.2</v>
      </c>
      <c r="V12" s="21">
        <f t="shared" si="10"/>
        <v>0.61074344530524804</v>
      </c>
      <c r="W12" s="52">
        <f>_xlfn.STDEV.S($V$44:$V$45)</f>
        <v>7.3659157462274485E-2</v>
      </c>
      <c r="X12" s="27">
        <f t="shared" si="12"/>
        <v>1443.7975047016064</v>
      </c>
      <c r="Y12" s="22">
        <f t="shared" si="14"/>
        <v>188.30007456313965</v>
      </c>
      <c r="Z12" s="15">
        <f t="shared" si="15"/>
        <v>0.13042000277044125</v>
      </c>
      <c r="AA12" s="27"/>
      <c r="AB12" s="20">
        <v>1984</v>
      </c>
      <c r="AC12" s="22">
        <f t="shared" si="2"/>
        <v>1962.4303453027335</v>
      </c>
      <c r="AD12" s="17">
        <f t="shared" si="3"/>
        <v>195.44793938220195</v>
      </c>
      <c r="AE12" s="15">
        <f t="shared" si="4"/>
        <v>9.959484159528284E-2</v>
      </c>
      <c r="AF12" s="52">
        <f t="shared" si="8"/>
        <v>0.15166255389843397</v>
      </c>
      <c r="AG12" s="14">
        <f t="shared" si="9"/>
        <v>1664.8031472863354</v>
      </c>
      <c r="AH12" s="58">
        <v>0.15</v>
      </c>
    </row>
    <row r="13" spans="1:34" x14ac:dyDescent="0.25">
      <c r="A13" s="3" t="s">
        <v>9</v>
      </c>
      <c r="B13" s="3"/>
      <c r="C13" s="3"/>
      <c r="D13" s="3"/>
      <c r="E13" s="3"/>
      <c r="F13" s="3"/>
      <c r="G13" s="12">
        <f>SUM(G7:G12)</f>
        <v>2136.9999999999982</v>
      </c>
      <c r="H13" s="3"/>
      <c r="I13" s="3"/>
      <c r="K13" s="20">
        <v>1985</v>
      </c>
      <c r="L13" s="55">
        <v>1890</v>
      </c>
      <c r="M13" s="59">
        <f t="shared" si="0"/>
        <v>0.51656657430391151</v>
      </c>
      <c r="N13" s="52">
        <f t="shared" si="1"/>
        <v>5.2164797144424936E-2</v>
      </c>
      <c r="O13" s="22">
        <f t="shared" si="5"/>
        <v>976.31082543439277</v>
      </c>
      <c r="P13" s="22">
        <f t="shared" si="6"/>
        <v>98.591466602963123</v>
      </c>
      <c r="Q13" s="15">
        <f t="shared" si="7"/>
        <v>0.10098368678755205</v>
      </c>
      <c r="S13" s="28" t="s">
        <v>11</v>
      </c>
      <c r="T13" s="29">
        <v>1967</v>
      </c>
      <c r="U13" s="26">
        <f t="shared" si="13"/>
        <v>98.350000000000009</v>
      </c>
      <c r="V13" s="21">
        <f t="shared" si="10"/>
        <v>0.61074344530524804</v>
      </c>
      <c r="W13" s="52">
        <f t="shared" si="11"/>
        <v>7.3659157462274485E-2</v>
      </c>
      <c r="X13" s="27">
        <f t="shared" si="12"/>
        <v>1201.3323569154229</v>
      </c>
      <c r="Y13" s="22">
        <f t="shared" si="14"/>
        <v>156.67776931713016</v>
      </c>
      <c r="Z13" s="15">
        <f t="shared" si="15"/>
        <v>0.13042000277044125</v>
      </c>
      <c r="AA13" s="27"/>
      <c r="AB13" s="20">
        <v>1985</v>
      </c>
      <c r="AC13" s="22">
        <f t="shared" si="2"/>
        <v>2177.6431823498156</v>
      </c>
      <c r="AD13" s="17">
        <f t="shared" si="3"/>
        <v>185.11672178686356</v>
      </c>
      <c r="AE13" s="15">
        <f t="shared" si="4"/>
        <v>8.5007830156596562E-2</v>
      </c>
      <c r="AF13" s="52">
        <f t="shared" si="8"/>
        <v>0.15166255389843397</v>
      </c>
      <c r="AG13" s="14">
        <f t="shared" si="9"/>
        <v>1847.3762558351293</v>
      </c>
      <c r="AH13" s="58">
        <v>0.15</v>
      </c>
    </row>
    <row r="14" spans="1:34" x14ac:dyDescent="0.25">
      <c r="A14" s="3" t="s">
        <v>20</v>
      </c>
      <c r="B14" s="3"/>
      <c r="C14" s="3"/>
      <c r="D14" s="3"/>
      <c r="E14" s="3"/>
      <c r="F14" s="3"/>
      <c r="G14" s="9">
        <v>0</v>
      </c>
      <c r="H14" s="3"/>
      <c r="I14" s="3"/>
      <c r="K14" s="20">
        <v>1986</v>
      </c>
      <c r="L14" s="55">
        <v>15488</v>
      </c>
      <c r="M14" s="59">
        <f t="shared" si="0"/>
        <v>0.51656657430391151</v>
      </c>
      <c r="N14" s="52">
        <f t="shared" si="1"/>
        <v>5.2164797144424936E-2</v>
      </c>
      <c r="O14" s="22">
        <f t="shared" si="5"/>
        <v>8000.5831028189814</v>
      </c>
      <c r="P14" s="22">
        <f>SQRT(L14^2*N14^2)</f>
        <v>807.9283781728534</v>
      </c>
      <c r="Q14" s="15">
        <f t="shared" si="7"/>
        <v>0.10098368678755205</v>
      </c>
      <c r="S14" s="28" t="s">
        <v>12</v>
      </c>
      <c r="T14" s="29">
        <v>1674</v>
      </c>
      <c r="U14" s="26">
        <f t="shared" si="13"/>
        <v>83.7</v>
      </c>
      <c r="V14" s="21">
        <f t="shared" si="10"/>
        <v>0.61074344530524804</v>
      </c>
      <c r="W14" s="52">
        <f t="shared" si="11"/>
        <v>7.3659157462274485E-2</v>
      </c>
      <c r="X14" s="27">
        <f t="shared" si="12"/>
        <v>1022.3845274409853</v>
      </c>
      <c r="Y14" s="22">
        <f t="shared" si="14"/>
        <v>133.33939290130957</v>
      </c>
      <c r="Z14" s="15">
        <f t="shared" si="15"/>
        <v>0.13042000277044125</v>
      </c>
      <c r="AA14" s="27"/>
      <c r="AB14" s="20">
        <v>1986</v>
      </c>
      <c r="AC14" s="22">
        <f t="shared" si="2"/>
        <v>9022.9676302599673</v>
      </c>
      <c r="AD14" s="17">
        <f t="shared" si="3"/>
        <v>818.85753214848489</v>
      </c>
      <c r="AE14" s="15">
        <f t="shared" si="4"/>
        <v>9.0752573399722175E-2</v>
      </c>
      <c r="AF14" s="52">
        <f t="shared" si="8"/>
        <v>0.15166255389843397</v>
      </c>
      <c r="AG14" s="14">
        <f t="shared" si="9"/>
        <v>7654.5213157118396</v>
      </c>
      <c r="AH14" s="58">
        <v>0.15</v>
      </c>
    </row>
    <row r="15" spans="1:34" x14ac:dyDescent="0.25">
      <c r="A15" s="6" t="s">
        <v>10</v>
      </c>
      <c r="B15" s="6"/>
      <c r="C15" s="6"/>
      <c r="D15" s="6"/>
      <c r="E15" s="6"/>
      <c r="F15" s="6"/>
      <c r="G15" s="13">
        <f>SUM(G13:G14)</f>
        <v>2136.9999999999982</v>
      </c>
      <c r="H15" s="6"/>
      <c r="I15" s="6"/>
      <c r="K15" s="20">
        <v>1987</v>
      </c>
      <c r="L15" s="55">
        <v>12701</v>
      </c>
      <c r="M15" s="59">
        <f t="shared" si="0"/>
        <v>0.51656657430391151</v>
      </c>
      <c r="N15" s="52">
        <f t="shared" si="1"/>
        <v>5.2164797144424936E-2</v>
      </c>
      <c r="O15" s="22">
        <f t="shared" si="5"/>
        <v>6560.9120602339799</v>
      </c>
      <c r="P15" s="22">
        <f t="shared" si="6"/>
        <v>662.54508853134109</v>
      </c>
      <c r="Q15" s="15">
        <f t="shared" si="7"/>
        <v>0.10098368678755205</v>
      </c>
      <c r="S15" s="28">
        <v>1987</v>
      </c>
      <c r="T15" s="29">
        <v>1688.89</v>
      </c>
      <c r="U15" s="26">
        <f t="shared" si="13"/>
        <v>84.444500000000005</v>
      </c>
      <c r="V15" s="21">
        <f t="shared" si="10"/>
        <v>0.61074344530524804</v>
      </c>
      <c r="W15" s="52">
        <f t="shared" si="11"/>
        <v>7.3659157462274485E-2</v>
      </c>
      <c r="X15" s="27">
        <f t="shared" si="12"/>
        <v>1031.4784973415804</v>
      </c>
      <c r="Y15" s="22">
        <f t="shared" si="14"/>
        <v>134.5254284809395</v>
      </c>
      <c r="Z15" s="15">
        <f t="shared" si="15"/>
        <v>0.13042000277044125</v>
      </c>
      <c r="AA15" s="27"/>
      <c r="AB15" s="20">
        <v>1987</v>
      </c>
      <c r="AC15" s="22">
        <f t="shared" si="2"/>
        <v>7592.3905575755598</v>
      </c>
      <c r="AD15" s="17">
        <f t="shared" si="3"/>
        <v>676.0644090950085</v>
      </c>
      <c r="AE15" s="15">
        <f t="shared" si="4"/>
        <v>8.9044998932575031E-2</v>
      </c>
      <c r="AF15" s="52">
        <f t="shared" si="8"/>
        <v>0.15166255389843397</v>
      </c>
      <c r="AG15" s="14">
        <f t="shared" si="9"/>
        <v>6440.9092154192949</v>
      </c>
      <c r="AH15" s="58">
        <v>0.15</v>
      </c>
    </row>
    <row r="16" spans="1:34" x14ac:dyDescent="0.25">
      <c r="A16" s="6"/>
      <c r="B16" s="6"/>
      <c r="C16" s="6"/>
      <c r="D16" s="6"/>
      <c r="E16" s="6"/>
      <c r="F16" s="6"/>
      <c r="G16" s="6"/>
      <c r="H16" s="6"/>
      <c r="I16" s="6"/>
      <c r="K16" s="20">
        <v>1988</v>
      </c>
      <c r="L16" s="55">
        <v>12836</v>
      </c>
      <c r="M16" s="59">
        <f t="shared" si="0"/>
        <v>0.51656657430391151</v>
      </c>
      <c r="N16" s="52">
        <f t="shared" si="1"/>
        <v>5.2164797144424936E-2</v>
      </c>
      <c r="O16" s="22">
        <f t="shared" si="5"/>
        <v>6630.6485477650085</v>
      </c>
      <c r="P16" s="22">
        <f t="shared" si="6"/>
        <v>669.58733614583844</v>
      </c>
      <c r="Q16" s="15">
        <f t="shared" si="7"/>
        <v>0.10098368678755204</v>
      </c>
      <c r="S16" s="28">
        <v>1988</v>
      </c>
      <c r="T16" s="29">
        <v>1775.8530000000001</v>
      </c>
      <c r="U16" s="26">
        <f t="shared" si="13"/>
        <v>88.792650000000009</v>
      </c>
      <c r="V16" s="21">
        <f t="shared" si="10"/>
        <v>0.61074344530524804</v>
      </c>
      <c r="W16" s="52">
        <f t="shared" si="11"/>
        <v>7.3659157462274485E-2</v>
      </c>
      <c r="X16" s="27">
        <f t="shared" si="12"/>
        <v>1084.5905795756607</v>
      </c>
      <c r="Y16" s="22">
        <f t="shared" si="14"/>
        <v>141.45230639305214</v>
      </c>
      <c r="Z16" s="15">
        <f t="shared" si="15"/>
        <v>0.13042000277044125</v>
      </c>
      <c r="AA16" s="27"/>
      <c r="AB16" s="20">
        <v>1988</v>
      </c>
      <c r="AC16" s="22">
        <f t="shared" si="2"/>
        <v>7715.2391273406693</v>
      </c>
      <c r="AD16" s="17">
        <f t="shared" si="3"/>
        <v>684.36536711817462</v>
      </c>
      <c r="AE16" s="15">
        <f t="shared" si="4"/>
        <v>8.8703066207367884E-2</v>
      </c>
      <c r="AF16" s="52">
        <f t="shared" si="8"/>
        <v>0.15166255389843397</v>
      </c>
      <c r="AG16" s="14">
        <f t="shared" si="9"/>
        <v>6545.1262573510585</v>
      </c>
      <c r="AH16" s="58">
        <v>0.15</v>
      </c>
    </row>
    <row r="17" spans="1:34" x14ac:dyDescent="0.25">
      <c r="A17" s="3" t="s">
        <v>21</v>
      </c>
      <c r="B17" s="62" t="s">
        <v>14</v>
      </c>
      <c r="C17" s="62"/>
      <c r="D17" s="62"/>
      <c r="E17" s="62"/>
      <c r="F17" s="4"/>
      <c r="G17" s="62" t="s">
        <v>0</v>
      </c>
      <c r="H17" s="62"/>
      <c r="I17" s="62"/>
      <c r="K17" s="20">
        <v>1989</v>
      </c>
      <c r="L17" s="55">
        <v>12731</v>
      </c>
      <c r="M17" s="59">
        <f t="shared" si="0"/>
        <v>0.51656657430391151</v>
      </c>
      <c r="N17" s="52">
        <f t="shared" si="1"/>
        <v>5.2164797144424936E-2</v>
      </c>
      <c r="O17" s="22">
        <f t="shared" si="5"/>
        <v>6576.4090574630973</v>
      </c>
      <c r="P17" s="22">
        <f t="shared" si="6"/>
        <v>664.11003244567382</v>
      </c>
      <c r="Q17" s="15">
        <f t="shared" si="7"/>
        <v>0.10098368678755205</v>
      </c>
      <c r="S17" s="28">
        <v>1989</v>
      </c>
      <c r="T17" s="29">
        <v>1303.25</v>
      </c>
      <c r="U17" s="26">
        <f t="shared" si="13"/>
        <v>65.162500000000009</v>
      </c>
      <c r="V17" s="21">
        <f t="shared" si="10"/>
        <v>0.61074344530524804</v>
      </c>
      <c r="W17" s="52">
        <f t="shared" si="11"/>
        <v>7.3659157462274485E-2</v>
      </c>
      <c r="X17" s="27">
        <f t="shared" si="12"/>
        <v>795.95139509406454</v>
      </c>
      <c r="Y17" s="22">
        <f t="shared" si="14"/>
        <v>103.80798315330446</v>
      </c>
      <c r="Z17" s="15">
        <f t="shared" si="15"/>
        <v>0.13042000277044125</v>
      </c>
      <c r="AA17" s="27"/>
      <c r="AB17" s="20">
        <v>1989</v>
      </c>
      <c r="AC17" s="22">
        <f t="shared" si="2"/>
        <v>7372.3604525571618</v>
      </c>
      <c r="AD17" s="17">
        <f t="shared" si="3"/>
        <v>672.17425758604497</v>
      </c>
      <c r="AE17" s="15">
        <f t="shared" si="4"/>
        <v>9.1174904145238309E-2</v>
      </c>
      <c r="AF17" s="52">
        <f t="shared" si="8"/>
        <v>0.15166255389843397</v>
      </c>
      <c r="AG17" s="14">
        <f t="shared" si="9"/>
        <v>6254.2494380625285</v>
      </c>
      <c r="AH17" s="58">
        <v>0.15</v>
      </c>
    </row>
    <row r="18" spans="1:34" x14ac:dyDescent="0.25">
      <c r="A18" s="5"/>
      <c r="B18" s="5"/>
      <c r="C18" s="62" t="s">
        <v>3</v>
      </c>
      <c r="D18" s="62"/>
      <c r="E18" s="5"/>
      <c r="F18" s="3"/>
      <c r="G18" s="5"/>
      <c r="H18" s="62" t="s">
        <v>3</v>
      </c>
      <c r="I18" s="62"/>
      <c r="K18" s="20">
        <v>1990</v>
      </c>
      <c r="L18" s="55">
        <v>9582</v>
      </c>
      <c r="M18" s="59">
        <f t="shared" si="0"/>
        <v>0.51656657430391151</v>
      </c>
      <c r="N18" s="52">
        <f t="shared" si="1"/>
        <v>5.2164797144424936E-2</v>
      </c>
      <c r="O18" s="22">
        <f t="shared" si="5"/>
        <v>4949.7409149800797</v>
      </c>
      <c r="P18" s="22">
        <f t="shared" si="6"/>
        <v>499.84308623787973</v>
      </c>
      <c r="Q18" s="15">
        <f t="shared" si="7"/>
        <v>0.10098368678755207</v>
      </c>
      <c r="S18" s="28">
        <v>1990</v>
      </c>
      <c r="T18" s="29">
        <v>886.43500000000006</v>
      </c>
      <c r="U18" s="26">
        <f t="shared" si="13"/>
        <v>44.321750000000009</v>
      </c>
      <c r="V18" s="21">
        <f t="shared" si="10"/>
        <v>0.61074344530524804</v>
      </c>
      <c r="W18" s="52">
        <f t="shared" si="11"/>
        <v>7.3659157462274485E-2</v>
      </c>
      <c r="X18" s="27">
        <f t="shared" si="12"/>
        <v>541.38436593915753</v>
      </c>
      <c r="Y18" s="22">
        <f t="shared" si="14"/>
        <v>70.607350505658516</v>
      </c>
      <c r="Z18" s="15">
        <f t="shared" si="15"/>
        <v>0.13042000277044127</v>
      </c>
      <c r="AA18" s="27"/>
      <c r="AB18" s="20">
        <v>1990</v>
      </c>
      <c r="AC18" s="22">
        <f t="shared" si="2"/>
        <v>5491.1252809192374</v>
      </c>
      <c r="AD18" s="17">
        <f t="shared" si="3"/>
        <v>504.80541677485729</v>
      </c>
      <c r="AE18" s="15">
        <f t="shared" si="4"/>
        <v>9.1931141787817805E-2</v>
      </c>
      <c r="AF18" s="52">
        <f t="shared" si="8"/>
        <v>0.15166255389843397</v>
      </c>
      <c r="AG18" s="14">
        <f t="shared" si="9"/>
        <v>4658.3271970387705</v>
      </c>
      <c r="AH18" s="58">
        <v>0.15</v>
      </c>
    </row>
    <row r="19" spans="1:34" x14ac:dyDescent="0.25">
      <c r="A19" s="6" t="s">
        <v>5</v>
      </c>
      <c r="B19" s="7" t="s">
        <v>6</v>
      </c>
      <c r="C19" s="8">
        <v>0.05</v>
      </c>
      <c r="D19" s="8">
        <v>0.95</v>
      </c>
      <c r="E19" s="7" t="s">
        <v>7</v>
      </c>
      <c r="F19" s="9"/>
      <c r="G19" s="7" t="s">
        <v>6</v>
      </c>
      <c r="H19" s="8">
        <v>0.05</v>
      </c>
      <c r="I19" s="8">
        <v>0.95</v>
      </c>
      <c r="K19" s="20">
        <v>1991</v>
      </c>
      <c r="L19" s="55">
        <v>6859</v>
      </c>
      <c r="M19" s="59">
        <f t="shared" si="0"/>
        <v>0.51656657430391151</v>
      </c>
      <c r="N19" s="52">
        <f t="shared" si="1"/>
        <v>5.2164797144424936E-2</v>
      </c>
      <c r="O19" s="22">
        <f t="shared" si="5"/>
        <v>3543.1301331505292</v>
      </c>
      <c r="P19" s="22">
        <f t="shared" si="6"/>
        <v>357.79834361361065</v>
      </c>
      <c r="Q19" s="15">
        <f t="shared" si="7"/>
        <v>0.10098368678755205</v>
      </c>
      <c r="S19" s="28">
        <v>1991</v>
      </c>
      <c r="T19" s="30">
        <v>924.90566037735846</v>
      </c>
      <c r="U19" s="26">
        <f t="shared" si="13"/>
        <v>46.245283018867923</v>
      </c>
      <c r="V19" s="21">
        <f t="shared" si="10"/>
        <v>0.61074344530524804</v>
      </c>
      <c r="W19" s="52">
        <f t="shared" si="11"/>
        <v>7.3659157462274485E-2</v>
      </c>
      <c r="X19" s="27">
        <f t="shared" si="12"/>
        <v>564.88006960119355</v>
      </c>
      <c r="Y19" s="22">
        <f t="shared" si="14"/>
        <v>73.671660242354704</v>
      </c>
      <c r="Z19" s="15">
        <f t="shared" si="15"/>
        <v>0.13042000277044125</v>
      </c>
      <c r="AA19" s="27"/>
      <c r="AB19" s="20">
        <v>1991</v>
      </c>
      <c r="AC19" s="22">
        <f t="shared" si="2"/>
        <v>4108.0102027517223</v>
      </c>
      <c r="AD19" s="17">
        <f t="shared" si="3"/>
        <v>365.30421324631385</v>
      </c>
      <c r="AE19" s="15">
        <f t="shared" si="4"/>
        <v>8.8924855396322375E-2</v>
      </c>
      <c r="AF19" s="52">
        <f t="shared" si="8"/>
        <v>0.15166255389843397</v>
      </c>
      <c r="AG19" s="14">
        <f t="shared" si="9"/>
        <v>3484.9788839615726</v>
      </c>
      <c r="AH19" s="58">
        <v>0.15</v>
      </c>
    </row>
    <row r="20" spans="1:34" x14ac:dyDescent="0.25">
      <c r="A20" s="10" t="s">
        <v>15</v>
      </c>
      <c r="B20">
        <v>12.743905401829601</v>
      </c>
      <c r="C20">
        <v>10.3061032514562</v>
      </c>
      <c r="D20">
        <v>15.3348263158072</v>
      </c>
      <c r="E20">
        <v>1.53567294966677</v>
      </c>
      <c r="F20" s="9"/>
      <c r="G20">
        <v>274.12140519335401</v>
      </c>
      <c r="H20">
        <v>221.68428093882301</v>
      </c>
      <c r="I20">
        <v>329.85211405301402</v>
      </c>
      <c r="K20" s="20">
        <v>1992</v>
      </c>
      <c r="L20" s="55">
        <v>4554</v>
      </c>
      <c r="M20" s="59">
        <f t="shared" si="0"/>
        <v>0.51656657430391151</v>
      </c>
      <c r="N20" s="52">
        <f t="shared" si="1"/>
        <v>5.2164797144424936E-2</v>
      </c>
      <c r="O20" s="22">
        <f t="shared" si="5"/>
        <v>2352.4441793800129</v>
      </c>
      <c r="P20" s="22">
        <f t="shared" si="6"/>
        <v>237.55848619571117</v>
      </c>
      <c r="Q20" s="15">
        <f t="shared" si="7"/>
        <v>0.10098368678755207</v>
      </c>
      <c r="S20" s="28">
        <v>1992</v>
      </c>
      <c r="T20" s="31">
        <v>1170.4285714285716</v>
      </c>
      <c r="U20" s="26">
        <f t="shared" si="13"/>
        <v>58.521428571428579</v>
      </c>
      <c r="V20" s="21">
        <f t="shared" si="10"/>
        <v>0.61074344530524804</v>
      </c>
      <c r="W20" s="52">
        <f t="shared" si="11"/>
        <v>7.3659157462274485E-2</v>
      </c>
      <c r="X20" s="27">
        <f t="shared" si="12"/>
        <v>714.83157819798544</v>
      </c>
      <c r="Y20" s="22">
        <f t="shared" si="14"/>
        <v>93.228336408980155</v>
      </c>
      <c r="Z20" s="15">
        <f t="shared" si="15"/>
        <v>0.13042000277044125</v>
      </c>
      <c r="AA20" s="27"/>
      <c r="AB20" s="20">
        <v>1992</v>
      </c>
      <c r="AC20" s="22">
        <f t="shared" si="2"/>
        <v>3067.2757575779983</v>
      </c>
      <c r="AD20" s="17">
        <f t="shared" si="3"/>
        <v>255.19709456258289</v>
      </c>
      <c r="AE20" s="15">
        <f t="shared" si="4"/>
        <v>8.3199918993945701E-2</v>
      </c>
      <c r="AF20" s="52">
        <f t="shared" si="8"/>
        <v>0.15166255389843397</v>
      </c>
      <c r="AG20" s="14">
        <f t="shared" si="9"/>
        <v>2602.0848826729653</v>
      </c>
      <c r="AH20" s="58">
        <v>0.15</v>
      </c>
    </row>
    <row r="21" spans="1:34" x14ac:dyDescent="0.25">
      <c r="A21" s="10" t="s">
        <v>16</v>
      </c>
      <c r="B21">
        <v>30.105156724925902</v>
      </c>
      <c r="C21">
        <v>27.351318903254398</v>
      </c>
      <c r="D21">
        <v>32.9572507907573</v>
      </c>
      <c r="E21">
        <v>1.6854171770180899</v>
      </c>
      <c r="F21" s="9"/>
      <c r="G21">
        <v>647.56192115315605</v>
      </c>
      <c r="H21">
        <v>588.32686960900196</v>
      </c>
      <c r="I21">
        <v>708.91046450918998</v>
      </c>
      <c r="K21" s="20">
        <v>1993</v>
      </c>
      <c r="L21" s="55">
        <v>3307</v>
      </c>
      <c r="M21" s="59">
        <f t="shared" si="0"/>
        <v>0.51656657430391151</v>
      </c>
      <c r="N21" s="52">
        <f t="shared" si="1"/>
        <v>5.2164797144424936E-2</v>
      </c>
      <c r="O21" s="22">
        <f t="shared" si="5"/>
        <v>1708.2856612230353</v>
      </c>
      <c r="P21" s="22">
        <f t="shared" si="6"/>
        <v>172.50898415661325</v>
      </c>
      <c r="Q21" s="15">
        <f t="shared" si="7"/>
        <v>0.10098368678755205</v>
      </c>
      <c r="S21" s="28">
        <v>1993</v>
      </c>
      <c r="T21" s="32">
        <v>1566.3682170542636</v>
      </c>
      <c r="U21" s="26">
        <f t="shared" si="13"/>
        <v>78.318410852713185</v>
      </c>
      <c r="V21" s="21">
        <f t="shared" si="10"/>
        <v>0.61074344530524804</v>
      </c>
      <c r="W21" s="52">
        <f t="shared" si="11"/>
        <v>7.3659157462274485E-2</v>
      </c>
      <c r="X21" s="27">
        <f t="shared" si="12"/>
        <v>956.64912150035957</v>
      </c>
      <c r="Y21" s="22">
        <f t="shared" si="14"/>
        <v>124.76618107641708</v>
      </c>
      <c r="Z21" s="15">
        <f t="shared" si="15"/>
        <v>0.13042000277044125</v>
      </c>
      <c r="AA21" s="27"/>
      <c r="AB21" s="20">
        <v>1993</v>
      </c>
      <c r="AC21" s="22">
        <f t="shared" si="2"/>
        <v>2664.9347827233951</v>
      </c>
      <c r="AD21" s="17">
        <f t="shared" si="3"/>
        <v>212.89891863309202</v>
      </c>
      <c r="AE21" s="15">
        <f t="shared" si="4"/>
        <v>7.988897890233651E-2</v>
      </c>
      <c r="AF21" s="52">
        <f t="shared" si="8"/>
        <v>0.15166255389843397</v>
      </c>
      <c r="AG21" s="14">
        <f t="shared" si="9"/>
        <v>2260.7639676027966</v>
      </c>
      <c r="AH21" s="58">
        <v>0.15</v>
      </c>
    </row>
    <row r="22" spans="1:34" x14ac:dyDescent="0.25">
      <c r="A22" s="10" t="s">
        <v>17</v>
      </c>
      <c r="B22">
        <v>13.9409273683788</v>
      </c>
      <c r="C22">
        <v>11.8975006669121</v>
      </c>
      <c r="D22">
        <v>16.069622946345401</v>
      </c>
      <c r="E22">
        <v>1.27977637734271</v>
      </c>
      <c r="F22" s="3"/>
      <c r="G22">
        <v>299.86934769382799</v>
      </c>
      <c r="H22">
        <v>255.91523934528101</v>
      </c>
      <c r="I22">
        <v>345.657589575891</v>
      </c>
      <c r="K22" s="20">
        <v>1994</v>
      </c>
      <c r="L22" s="55">
        <v>3185</v>
      </c>
      <c r="M22" s="59">
        <f t="shared" si="0"/>
        <v>0.51656657430391151</v>
      </c>
      <c r="N22" s="52">
        <f t="shared" si="1"/>
        <v>5.2164797144424936E-2</v>
      </c>
      <c r="O22" s="22">
        <f t="shared" si="5"/>
        <v>1645.2645391579581</v>
      </c>
      <c r="P22" s="22">
        <f t="shared" si="6"/>
        <v>166.14487890499342</v>
      </c>
      <c r="Q22" s="15">
        <f t="shared" si="7"/>
        <v>0.10098368678755205</v>
      </c>
      <c r="S22" s="28">
        <v>1994</v>
      </c>
      <c r="T22" s="33">
        <v>904.79545454545462</v>
      </c>
      <c r="U22" s="26">
        <f t="shared" si="13"/>
        <v>45.239772727272737</v>
      </c>
      <c r="V22" s="21">
        <f t="shared" si="10"/>
        <v>0.61074344530524804</v>
      </c>
      <c r="W22" s="52">
        <f t="shared" si="11"/>
        <v>7.3659157462274485E-2</v>
      </c>
      <c r="X22" s="27">
        <f t="shared" si="12"/>
        <v>552.5978932056189</v>
      </c>
      <c r="Y22" s="22">
        <f t="shared" si="14"/>
        <v>72.069818762816823</v>
      </c>
      <c r="Z22" s="15">
        <f t="shared" si="15"/>
        <v>0.13042000277044127</v>
      </c>
      <c r="AA22" s="27"/>
      <c r="AB22" s="20">
        <v>1994</v>
      </c>
      <c r="AC22" s="22">
        <f t="shared" si="2"/>
        <v>2197.8624323635768</v>
      </c>
      <c r="AD22" s="17">
        <f t="shared" si="3"/>
        <v>181.10267685172462</v>
      </c>
      <c r="AE22" s="15">
        <f t="shared" si="4"/>
        <v>8.239945966816821E-2</v>
      </c>
      <c r="AF22" s="52">
        <f t="shared" si="8"/>
        <v>0.15166255389843397</v>
      </c>
      <c r="AG22" s="14">
        <f t="shared" si="9"/>
        <v>1864.5290027538927</v>
      </c>
      <c r="AH22" s="58">
        <v>0.15</v>
      </c>
    </row>
    <row r="23" spans="1:34" x14ac:dyDescent="0.25">
      <c r="A23" s="10" t="s">
        <v>18</v>
      </c>
      <c r="B23">
        <v>11.299181517090799</v>
      </c>
      <c r="C23">
        <v>9.1952374227767706</v>
      </c>
      <c r="D23">
        <v>13.5977308301688</v>
      </c>
      <c r="E23">
        <v>1.3262684837984999</v>
      </c>
      <c r="F23" s="3"/>
      <c r="G23">
        <v>243.04539443262399</v>
      </c>
      <c r="H23">
        <v>197.78955696392799</v>
      </c>
      <c r="I23">
        <v>292.48719015693098</v>
      </c>
      <c r="K23" s="20">
        <v>1995</v>
      </c>
      <c r="L23" s="55">
        <v>4130</v>
      </c>
      <c r="M23" s="59">
        <f t="shared" si="0"/>
        <v>0.51656657430391151</v>
      </c>
      <c r="N23" s="52">
        <f t="shared" si="1"/>
        <v>5.2164797144424936E-2</v>
      </c>
      <c r="O23" s="22">
        <f t="shared" si="5"/>
        <v>2133.4199518751543</v>
      </c>
      <c r="P23" s="22">
        <f t="shared" si="6"/>
        <v>215.44061220647498</v>
      </c>
      <c r="Q23" s="15">
        <f t="shared" si="7"/>
        <v>0.10098368678755207</v>
      </c>
      <c r="S23" s="28">
        <v>1995</v>
      </c>
      <c r="T23" s="34">
        <v>1632.313725490196</v>
      </c>
      <c r="U23" s="26">
        <f t="shared" si="13"/>
        <v>81.615686274509812</v>
      </c>
      <c r="V23" s="21">
        <f t="shared" si="10"/>
        <v>0.61074344530524804</v>
      </c>
      <c r="W23" s="52">
        <f t="shared" si="11"/>
        <v>7.3659157462274485E-2</v>
      </c>
      <c r="X23" s="27">
        <f t="shared" si="12"/>
        <v>996.92490852492722</v>
      </c>
      <c r="Y23" s="22">
        <f t="shared" si="14"/>
        <v>130.0189493317429</v>
      </c>
      <c r="Z23" s="15">
        <f t="shared" si="15"/>
        <v>0.13042000277044125</v>
      </c>
      <c r="AA23" s="27"/>
      <c r="AB23" s="20">
        <v>1995</v>
      </c>
      <c r="AC23" s="22">
        <f t="shared" si="2"/>
        <v>3130.3448604000814</v>
      </c>
      <c r="AD23" s="17">
        <f t="shared" si="3"/>
        <v>251.63383034328086</v>
      </c>
      <c r="AE23" s="15">
        <f t="shared" si="4"/>
        <v>8.0385338218332977E-2</v>
      </c>
      <c r="AF23" s="52">
        <f t="shared" si="8"/>
        <v>0.15166255389843397</v>
      </c>
      <c r="AG23" s="14">
        <f t="shared" si="9"/>
        <v>2655.5887642889684</v>
      </c>
      <c r="AH23" s="58">
        <v>0.15</v>
      </c>
    </row>
    <row r="24" spans="1:34" x14ac:dyDescent="0.25">
      <c r="A24" s="10" t="s">
        <v>19</v>
      </c>
      <c r="B24">
        <v>31.661859129600199</v>
      </c>
      <c r="C24">
        <v>29.4098697088099</v>
      </c>
      <c r="D24">
        <v>33.932023119589701</v>
      </c>
      <c r="E24">
        <v>1.38003458743941</v>
      </c>
      <c r="F24" s="3"/>
      <c r="G24">
        <v>681.04658987770097</v>
      </c>
      <c r="H24">
        <v>632.60629743650099</v>
      </c>
      <c r="I24">
        <v>729.877817302376</v>
      </c>
      <c r="K24" s="20">
        <v>1996</v>
      </c>
      <c r="L24" s="55">
        <v>1958</v>
      </c>
      <c r="M24" s="59">
        <f t="shared" si="0"/>
        <v>0.51656657430391151</v>
      </c>
      <c r="N24" s="52">
        <f>_xlfn.STDEV.S($M$44:$M$45)</f>
        <v>5.2164797144424936E-2</v>
      </c>
      <c r="O24" s="22">
        <f t="shared" si="5"/>
        <v>1011.4373524870588</v>
      </c>
      <c r="P24" s="22">
        <f t="shared" si="6"/>
        <v>102.13867280878402</v>
      </c>
      <c r="Q24" s="15">
        <f t="shared" si="7"/>
        <v>0.10098368678755205</v>
      </c>
      <c r="S24" s="28">
        <v>1996</v>
      </c>
      <c r="T24" s="35">
        <v>1614.9545454545455</v>
      </c>
      <c r="U24" s="26">
        <f t="shared" si="13"/>
        <v>80.747727272727275</v>
      </c>
      <c r="V24" s="21">
        <f t="shared" si="10"/>
        <v>0.61074344530524804</v>
      </c>
      <c r="W24" s="52">
        <f t="shared" si="11"/>
        <v>7.3659157462274485E-2</v>
      </c>
      <c r="X24" s="27">
        <f t="shared" si="12"/>
        <v>986.32290310227995</v>
      </c>
      <c r="Y24" s="22">
        <f t="shared" si="14"/>
        <v>128.63623575514899</v>
      </c>
      <c r="Z24" s="15">
        <f t="shared" si="15"/>
        <v>0.13042000277044122</v>
      </c>
      <c r="AA24" s="27"/>
      <c r="AB24" s="20">
        <v>1996</v>
      </c>
      <c r="AC24" s="22">
        <f t="shared" si="2"/>
        <v>1997.7602555893386</v>
      </c>
      <c r="AD24" s="17">
        <f t="shared" si="3"/>
        <v>164.25464873906645</v>
      </c>
      <c r="AE24" s="15">
        <f t="shared" si="4"/>
        <v>8.2219399589872899E-2</v>
      </c>
      <c r="AF24" s="52">
        <f t="shared" si="8"/>
        <v>0.15166255389843397</v>
      </c>
      <c r="AG24" s="14">
        <f t="shared" si="9"/>
        <v>1694.7748331498713</v>
      </c>
      <c r="AH24" s="58">
        <v>0.15</v>
      </c>
    </row>
    <row r="25" spans="1:34" x14ac:dyDescent="0.25">
      <c r="A25" s="11" t="s">
        <v>8</v>
      </c>
      <c r="B25">
        <v>0.24896985817453501</v>
      </c>
      <c r="C25">
        <v>0</v>
      </c>
      <c r="D25">
        <v>0.634646133735838</v>
      </c>
      <c r="E25">
        <v>0.20302375879717399</v>
      </c>
      <c r="F25" s="3"/>
      <c r="G25">
        <v>5.3553416493342603</v>
      </c>
      <c r="H25">
        <v>0</v>
      </c>
      <c r="I25">
        <v>13.6512383366578</v>
      </c>
      <c r="K25" s="20">
        <v>1997</v>
      </c>
      <c r="L25" s="55">
        <v>1133</v>
      </c>
      <c r="M25" s="59">
        <f t="shared" si="0"/>
        <v>0.51656657430391151</v>
      </c>
      <c r="N25" s="52">
        <f t="shared" si="1"/>
        <v>5.2164797144424936E-2</v>
      </c>
      <c r="O25" s="22">
        <f t="shared" si="5"/>
        <v>585.2699286863317</v>
      </c>
      <c r="P25" s="22">
        <f t="shared" si="6"/>
        <v>59.102715164633452</v>
      </c>
      <c r="Q25" s="15">
        <f t="shared" si="7"/>
        <v>0.10098368678755207</v>
      </c>
      <c r="S25" s="28">
        <v>1997</v>
      </c>
      <c r="T25" s="36">
        <v>1051.1363636363635</v>
      </c>
      <c r="U25" s="26">
        <f t="shared" si="13"/>
        <v>52.55681818181818</v>
      </c>
      <c r="V25" s="21">
        <f t="shared" si="10"/>
        <v>0.61074344530524804</v>
      </c>
      <c r="W25" s="52">
        <f t="shared" si="11"/>
        <v>7.3659157462274485E-2</v>
      </c>
      <c r="X25" s="27">
        <f t="shared" si="12"/>
        <v>641.97464421290272</v>
      </c>
      <c r="Y25" s="22">
        <f t="shared" si="14"/>
        <v>83.726334876799811</v>
      </c>
      <c r="Z25" s="15">
        <f t="shared" si="15"/>
        <v>0.13042000277044125</v>
      </c>
      <c r="AA25" s="27"/>
      <c r="AB25" s="20">
        <v>1997</v>
      </c>
      <c r="AC25" s="22">
        <f t="shared" si="2"/>
        <v>1227.2445728992343</v>
      </c>
      <c r="AD25" s="17">
        <f t="shared" si="3"/>
        <v>102.48526768142736</v>
      </c>
      <c r="AE25" s="15">
        <f t="shared" si="4"/>
        <v>8.3508430140633541E-2</v>
      </c>
      <c r="AF25" s="52">
        <f t="shared" si="8"/>
        <v>0.15166255389843397</v>
      </c>
      <c r="AG25" s="14">
        <f t="shared" si="9"/>
        <v>1041.1175267153435</v>
      </c>
      <c r="AH25" s="58">
        <v>0.15</v>
      </c>
    </row>
    <row r="26" spans="1:34" x14ac:dyDescent="0.25">
      <c r="A26" s="3" t="s">
        <v>9</v>
      </c>
      <c r="B26" s="3"/>
      <c r="C26" s="3"/>
      <c r="D26" s="3"/>
      <c r="E26" s="3"/>
      <c r="F26" s="3"/>
      <c r="G26" s="12">
        <f>SUM(G20:G25)</f>
        <v>2150.9999999999973</v>
      </c>
      <c r="H26" s="3"/>
      <c r="I26" s="3"/>
      <c r="K26" s="20">
        <v>1998</v>
      </c>
      <c r="L26" s="55">
        <v>2547</v>
      </c>
      <c r="M26" s="59">
        <f t="shared" si="0"/>
        <v>0.51656657430391151</v>
      </c>
      <c r="N26" s="52">
        <f t="shared" si="1"/>
        <v>5.2164797144424936E-2</v>
      </c>
      <c r="O26" s="22">
        <f t="shared" si="5"/>
        <v>1315.6950647520625</v>
      </c>
      <c r="P26" s="22">
        <f t="shared" si="6"/>
        <v>132.86373832685032</v>
      </c>
      <c r="Q26" s="15">
        <f t="shared" si="7"/>
        <v>0.10098368678755207</v>
      </c>
      <c r="S26" s="28">
        <v>1998</v>
      </c>
      <c r="T26" s="37">
        <v>1429.9024390243903</v>
      </c>
      <c r="U26" s="26">
        <f t="shared" si="13"/>
        <v>71.495121951219517</v>
      </c>
      <c r="V26" s="21">
        <f t="shared" si="10"/>
        <v>0.61074344530524804</v>
      </c>
      <c r="W26" s="52">
        <f t="shared" si="11"/>
        <v>7.3659157462274485E-2</v>
      </c>
      <c r="X26" s="27">
        <f t="shared" si="12"/>
        <v>873.30354206013351</v>
      </c>
      <c r="Y26" s="22">
        <f t="shared" si="14"/>
        <v>113.89625037491876</v>
      </c>
      <c r="Z26" s="15">
        <f t="shared" si="15"/>
        <v>0.13042000277044125</v>
      </c>
      <c r="AA26" s="27"/>
      <c r="AB26" s="20">
        <v>1998</v>
      </c>
      <c r="AC26" s="22">
        <f t="shared" si="2"/>
        <v>2188.9986068121962</v>
      </c>
      <c r="AD26" s="17">
        <f t="shared" si="3"/>
        <v>175.00036803290425</v>
      </c>
      <c r="AE26" s="15">
        <f t="shared" si="4"/>
        <v>7.9945399457222358E-2</v>
      </c>
      <c r="AF26" s="52">
        <f t="shared" si="8"/>
        <v>0.15166255389843397</v>
      </c>
      <c r="AG26" s="14">
        <f t="shared" si="9"/>
        <v>1857.0094876229446</v>
      </c>
      <c r="AH26" s="58">
        <v>0.15</v>
      </c>
    </row>
    <row r="27" spans="1:34" x14ac:dyDescent="0.25">
      <c r="A27" s="3" t="s">
        <v>20</v>
      </c>
      <c r="B27" s="3"/>
      <c r="C27" s="3"/>
      <c r="D27" s="3"/>
      <c r="E27" s="3"/>
      <c r="F27" s="3"/>
      <c r="G27" s="9">
        <v>0</v>
      </c>
      <c r="H27" s="3"/>
      <c r="I27" s="3"/>
      <c r="K27" s="20">
        <v>1999</v>
      </c>
      <c r="L27" s="55">
        <v>2812</v>
      </c>
      <c r="M27" s="59">
        <f t="shared" si="0"/>
        <v>0.51656657430391151</v>
      </c>
      <c r="N27" s="52">
        <f t="shared" si="1"/>
        <v>5.2164797144424936E-2</v>
      </c>
      <c r="O27" s="22">
        <f t="shared" si="5"/>
        <v>1452.5852069425991</v>
      </c>
      <c r="P27" s="22">
        <f t="shared" si="6"/>
        <v>146.68740957012292</v>
      </c>
      <c r="Q27" s="15">
        <f t="shared" si="7"/>
        <v>0.10098368678755205</v>
      </c>
      <c r="S27" s="28">
        <v>1999</v>
      </c>
      <c r="T27" s="38">
        <v>1619.7857142857142</v>
      </c>
      <c r="U27" s="26">
        <f t="shared" si="13"/>
        <v>80.989285714285714</v>
      </c>
      <c r="V27" s="21">
        <f t="shared" si="10"/>
        <v>0.61074344530524804</v>
      </c>
      <c r="W27" s="52">
        <f t="shared" si="11"/>
        <v>7.3659157462274485E-2</v>
      </c>
      <c r="X27" s="27">
        <f t="shared" si="12"/>
        <v>989.2735077990792</v>
      </c>
      <c r="Y27" s="22">
        <f t="shared" si="14"/>
        <v>129.02105362788004</v>
      </c>
      <c r="Z27" s="15">
        <f t="shared" si="15"/>
        <v>0.13042000277044125</v>
      </c>
      <c r="AA27" s="27"/>
      <c r="AB27" s="20">
        <v>1999</v>
      </c>
      <c r="AC27" s="22">
        <f t="shared" si="2"/>
        <v>2441.8587147416783</v>
      </c>
      <c r="AD27" s="17">
        <f t="shared" si="3"/>
        <v>195.35513406522307</v>
      </c>
      <c r="AE27" s="15">
        <f t="shared" si="4"/>
        <v>8.0002636059920237E-2</v>
      </c>
      <c r="AF27" s="52">
        <f t="shared" si="8"/>
        <v>0.15166255389843397</v>
      </c>
      <c r="AG27" s="14">
        <f t="shared" si="9"/>
        <v>2071.5201858048076</v>
      </c>
      <c r="AH27" s="58">
        <v>0.15</v>
      </c>
    </row>
    <row r="28" spans="1:34" x14ac:dyDescent="0.25">
      <c r="A28" s="3" t="s">
        <v>10</v>
      </c>
      <c r="B28" s="3"/>
      <c r="C28" s="3"/>
      <c r="D28" s="3"/>
      <c r="E28" s="3"/>
      <c r="F28" s="3"/>
      <c r="G28" s="12">
        <f>SUM(G26:G27)</f>
        <v>2150.9999999999973</v>
      </c>
      <c r="H28" s="3"/>
      <c r="I28" s="3"/>
      <c r="K28" s="20">
        <v>2000</v>
      </c>
      <c r="L28" s="55">
        <v>2307</v>
      </c>
      <c r="M28" s="59">
        <f t="shared" si="0"/>
        <v>0.51656657430391151</v>
      </c>
      <c r="N28" s="52">
        <f t="shared" si="1"/>
        <v>5.2164797144424936E-2</v>
      </c>
      <c r="O28" s="22">
        <f t="shared" si="5"/>
        <v>1191.7190869191238</v>
      </c>
      <c r="P28" s="22">
        <f t="shared" si="6"/>
        <v>120.34418701218833</v>
      </c>
      <c r="Q28" s="15">
        <f t="shared" si="7"/>
        <v>0.10098368678755205</v>
      </c>
      <c r="S28" s="28">
        <v>2000</v>
      </c>
      <c r="T28" s="39">
        <v>1461.0238095238094</v>
      </c>
      <c r="U28" s="26">
        <f t="shared" si="13"/>
        <v>73.05119047619047</v>
      </c>
      <c r="V28" s="21">
        <f t="shared" si="10"/>
        <v>0.61074344530524804</v>
      </c>
      <c r="W28" s="52">
        <f t="shared" si="11"/>
        <v>7.3659157462274485E-2</v>
      </c>
      <c r="X28" s="27">
        <f t="shared" si="12"/>
        <v>892.31071510156983</v>
      </c>
      <c r="Y28" s="22">
        <f t="shared" si="14"/>
        <v>116.37516593564114</v>
      </c>
      <c r="Z28" s="15">
        <f t="shared" si="15"/>
        <v>0.13042000277044125</v>
      </c>
      <c r="AA28" s="27"/>
      <c r="AB28" s="20">
        <v>2000</v>
      </c>
      <c r="AC28" s="22">
        <f t="shared" si="2"/>
        <v>2084.0298020206938</v>
      </c>
      <c r="AD28" s="17">
        <f t="shared" si="3"/>
        <v>167.40938621885144</v>
      </c>
      <c r="AE28" s="15">
        <f t="shared" si="4"/>
        <v>8.0329650783558762E-2</v>
      </c>
      <c r="AF28" s="52">
        <f t="shared" si="8"/>
        <v>0.15166255389843397</v>
      </c>
      <c r="AG28" s="14">
        <f t="shared" si="9"/>
        <v>1767.9605198457875</v>
      </c>
      <c r="AH28" s="58">
        <v>0.15</v>
      </c>
    </row>
    <row r="29" spans="1:34" x14ac:dyDescent="0.25">
      <c r="A29" s="3"/>
      <c r="B29" s="3"/>
      <c r="C29" s="3"/>
      <c r="D29" s="3"/>
      <c r="E29" s="3"/>
      <c r="F29" s="3"/>
      <c r="G29" s="12"/>
      <c r="H29" s="3"/>
      <c r="I29" s="3"/>
      <c r="K29" s="20">
        <v>2001</v>
      </c>
      <c r="L29" s="55">
        <v>1811</v>
      </c>
      <c r="M29" s="59">
        <f t="shared" si="0"/>
        <v>0.51656657430391151</v>
      </c>
      <c r="N29" s="52">
        <f t="shared" si="1"/>
        <v>5.2164797144424936E-2</v>
      </c>
      <c r="O29" s="22">
        <f t="shared" si="5"/>
        <v>935.50206606438371</v>
      </c>
      <c r="P29" s="22">
        <f t="shared" si="6"/>
        <v>94.470447628553558</v>
      </c>
      <c r="Q29" s="15">
        <f t="shared" si="7"/>
        <v>0.10098368678755205</v>
      </c>
      <c r="R29" s="45"/>
      <c r="S29" s="28">
        <v>2001</v>
      </c>
      <c r="T29" s="40">
        <v>1449.6577540106955</v>
      </c>
      <c r="U29" s="26">
        <f t="shared" si="13"/>
        <v>72.482887700534775</v>
      </c>
      <c r="V29" s="21">
        <f t="shared" si="10"/>
        <v>0.61074344530524804</v>
      </c>
      <c r="W29" s="52">
        <f t="shared" si="11"/>
        <v>7.3659157462274485E-2</v>
      </c>
      <c r="X29" s="27">
        <f t="shared" si="12"/>
        <v>885.36897119795992</v>
      </c>
      <c r="Y29" s="22">
        <f t="shared" si="14"/>
        <v>115.46982367650065</v>
      </c>
      <c r="Z29" s="15">
        <f t="shared" si="15"/>
        <v>0.13042000277044125</v>
      </c>
      <c r="AA29" s="27"/>
      <c r="AB29" s="20">
        <v>2001</v>
      </c>
      <c r="AC29" s="22">
        <f t="shared" si="2"/>
        <v>1820.8710372623436</v>
      </c>
      <c r="AD29" s="17">
        <f t="shared" si="3"/>
        <v>149.19097042053662</v>
      </c>
      <c r="AE29" s="15">
        <f t="shared" si="4"/>
        <v>8.1933847794538675E-2</v>
      </c>
      <c r="AF29" s="52">
        <f t="shared" si="8"/>
        <v>0.15166255389843397</v>
      </c>
      <c r="AG29" s="14">
        <f t="shared" si="9"/>
        <v>1544.713085431446</v>
      </c>
      <c r="AH29" s="58">
        <v>0.15</v>
      </c>
    </row>
    <row r="30" spans="1:34" x14ac:dyDescent="0.25">
      <c r="A30" s="3" t="s">
        <v>24</v>
      </c>
      <c r="B30" s="3"/>
      <c r="C30" s="3"/>
      <c r="D30" s="3"/>
      <c r="E30" s="3"/>
      <c r="F30" s="3"/>
      <c r="G30" s="12"/>
      <c r="H30" s="3"/>
      <c r="I30" s="3"/>
      <c r="K30" s="20">
        <v>2002</v>
      </c>
      <c r="L30" s="55">
        <v>1895</v>
      </c>
      <c r="M30" s="59">
        <f t="shared" si="0"/>
        <v>0.51656657430391151</v>
      </c>
      <c r="N30" s="52">
        <f t="shared" si="1"/>
        <v>5.2164797144424936E-2</v>
      </c>
      <c r="O30" s="22">
        <f t="shared" si="5"/>
        <v>978.89365830591225</v>
      </c>
      <c r="P30" s="22">
        <f t="shared" si="6"/>
        <v>98.85229058868525</v>
      </c>
      <c r="Q30" s="15">
        <f t="shared" si="7"/>
        <v>0.10098368678755205</v>
      </c>
      <c r="R30" s="46"/>
      <c r="S30" s="28">
        <v>2002</v>
      </c>
      <c r="T30" s="41">
        <v>1608.6923076923076</v>
      </c>
      <c r="U30" s="26">
        <f t="shared" si="13"/>
        <v>80.434615384615384</v>
      </c>
      <c r="V30" s="21">
        <f t="shared" si="10"/>
        <v>0.61074344530524804</v>
      </c>
      <c r="W30" s="52">
        <f t="shared" si="11"/>
        <v>7.3659157462274485E-2</v>
      </c>
      <c r="X30" s="27">
        <f t="shared" si="12"/>
        <v>982.49828243605009</v>
      </c>
      <c r="Y30" s="22">
        <f t="shared" si="14"/>
        <v>128.13742871726342</v>
      </c>
      <c r="Z30" s="15">
        <f t="shared" si="15"/>
        <v>0.13042000277044125</v>
      </c>
      <c r="AA30" s="27"/>
      <c r="AB30" s="20">
        <v>2002</v>
      </c>
      <c r="AC30" s="22">
        <f t="shared" si="2"/>
        <v>1961.3919407419623</v>
      </c>
      <c r="AD30" s="17">
        <f t="shared" si="3"/>
        <v>161.83626291070129</v>
      </c>
      <c r="AE30" s="15">
        <f t="shared" si="4"/>
        <v>8.2510924792258147E-2</v>
      </c>
      <c r="AF30" s="52">
        <f t="shared" si="8"/>
        <v>0.15166255389843397</v>
      </c>
      <c r="AG30" s="14">
        <f t="shared" si="9"/>
        <v>1663.9222298132304</v>
      </c>
      <c r="AH30" s="58">
        <v>0.15</v>
      </c>
    </row>
    <row r="31" spans="1:34" x14ac:dyDescent="0.25">
      <c r="A31" s="3" t="s">
        <v>22</v>
      </c>
      <c r="B31" s="61" t="s">
        <v>14</v>
      </c>
      <c r="C31" s="61"/>
      <c r="D31" s="61"/>
      <c r="E31" s="61"/>
      <c r="F31" s="4"/>
      <c r="G31" s="62" t="s">
        <v>0</v>
      </c>
      <c r="H31" s="62"/>
      <c r="I31" s="62"/>
      <c r="K31" s="20">
        <v>2003</v>
      </c>
      <c r="L31" s="56">
        <v>1683</v>
      </c>
      <c r="M31" s="59">
        <f t="shared" si="0"/>
        <v>0.51656657430391151</v>
      </c>
      <c r="N31" s="52">
        <f t="shared" si="1"/>
        <v>5.2164797144424936E-2</v>
      </c>
      <c r="O31" s="22">
        <f t="shared" si="5"/>
        <v>869.38154455348308</v>
      </c>
      <c r="P31" s="22">
        <f t="shared" si="6"/>
        <v>87.79335359406717</v>
      </c>
      <c r="Q31" s="15">
        <f t="shared" si="7"/>
        <v>0.10098368678755205</v>
      </c>
      <c r="R31" s="47"/>
      <c r="S31" s="28">
        <v>2003</v>
      </c>
      <c r="T31" s="42">
        <v>1384.0714285714287</v>
      </c>
      <c r="U31" s="26">
        <f t="shared" si="13"/>
        <v>69.203571428571436</v>
      </c>
      <c r="V31" s="21">
        <f t="shared" si="10"/>
        <v>0.61074344530524804</v>
      </c>
      <c r="W31" s="52">
        <f t="shared" si="11"/>
        <v>7.3659157462274485E-2</v>
      </c>
      <c r="X31" s="27">
        <f t="shared" si="12"/>
        <v>845.31255283427083</v>
      </c>
      <c r="Y31" s="22">
        <f t="shared" si="14"/>
        <v>110.24566548253436</v>
      </c>
      <c r="Z31" s="15">
        <f t="shared" si="15"/>
        <v>0.13042000277044125</v>
      </c>
      <c r="AA31" s="27"/>
      <c r="AB31" s="20">
        <v>2003</v>
      </c>
      <c r="AC31" s="22">
        <f t="shared" si="2"/>
        <v>1714.694097387754</v>
      </c>
      <c r="AD31" s="17">
        <f t="shared" si="3"/>
        <v>140.93182640191597</v>
      </c>
      <c r="AE31" s="15">
        <f t="shared" si="4"/>
        <v>8.219065232487717E-2</v>
      </c>
      <c r="AF31" s="52">
        <f t="shared" si="8"/>
        <v>0.15166255389843397</v>
      </c>
      <c r="AG31" s="14">
        <f t="shared" si="9"/>
        <v>1454.6392114233572</v>
      </c>
      <c r="AH31" s="58">
        <v>0.15</v>
      </c>
    </row>
    <row r="32" spans="1:34" x14ac:dyDescent="0.25">
      <c r="A32" s="5"/>
      <c r="B32" s="5"/>
      <c r="C32" s="61" t="s">
        <v>3</v>
      </c>
      <c r="D32" s="61"/>
      <c r="E32" s="5"/>
      <c r="F32" s="3"/>
      <c r="G32" s="5"/>
      <c r="H32" s="61" t="s">
        <v>3</v>
      </c>
      <c r="I32" s="61"/>
      <c r="K32" s="20">
        <v>2004</v>
      </c>
      <c r="L32" s="55">
        <v>1926</v>
      </c>
      <c r="M32" s="59">
        <f t="shared" si="0"/>
        <v>0.51656657430391151</v>
      </c>
      <c r="N32" s="52">
        <f>_xlfn.STDEV.S($M$44:$M$45)</f>
        <v>5.2164797144424936E-2</v>
      </c>
      <c r="O32" s="22">
        <f t="shared" si="5"/>
        <v>994.90722210933359</v>
      </c>
      <c r="P32" s="22">
        <f t="shared" si="6"/>
        <v>100.46939930016242</v>
      </c>
      <c r="Q32" s="15">
        <f t="shared" si="7"/>
        <v>0.10098368678755205</v>
      </c>
      <c r="R32" s="48"/>
      <c r="S32" s="28">
        <v>2004</v>
      </c>
      <c r="T32" s="43">
        <v>1751.0210526315789</v>
      </c>
      <c r="U32" s="26">
        <f t="shared" si="13"/>
        <v>87.551052631578955</v>
      </c>
      <c r="V32" s="21">
        <f t="shared" si="10"/>
        <v>0.61074344530524804</v>
      </c>
      <c r="W32" s="52">
        <f t="shared" si="11"/>
        <v>7.3659157462274485E-2</v>
      </c>
      <c r="X32" s="27">
        <f t="shared" si="12"/>
        <v>1069.4246304862324</v>
      </c>
      <c r="Y32" s="22">
        <f t="shared" si="14"/>
        <v>139.47436327079257</v>
      </c>
      <c r="Z32" s="15">
        <f t="shared" si="15"/>
        <v>0.13042000277044127</v>
      </c>
      <c r="AA32" s="27"/>
      <c r="AB32" s="20">
        <v>2004</v>
      </c>
      <c r="AC32" s="22">
        <f t="shared" si="2"/>
        <v>2064.331852595566</v>
      </c>
      <c r="AD32" s="17">
        <f t="shared" si="3"/>
        <v>171.89298474786133</v>
      </c>
      <c r="AE32" s="15">
        <f t="shared" si="4"/>
        <v>8.326809690589887E-2</v>
      </c>
      <c r="AF32" s="52">
        <f t="shared" si="8"/>
        <v>0.15166255389843397</v>
      </c>
      <c r="AG32" s="14">
        <f t="shared" si="9"/>
        <v>1751.2500117370369</v>
      </c>
      <c r="AH32" s="58">
        <v>0.15</v>
      </c>
    </row>
    <row r="33" spans="1:35" x14ac:dyDescent="0.25">
      <c r="A33" s="6" t="s">
        <v>5</v>
      </c>
      <c r="B33" s="7" t="s">
        <v>6</v>
      </c>
      <c r="C33" s="8">
        <v>0.05</v>
      </c>
      <c r="D33" s="8">
        <v>0.95</v>
      </c>
      <c r="E33" s="7" t="s">
        <v>7</v>
      </c>
      <c r="F33" s="9"/>
      <c r="G33" s="7" t="s">
        <v>6</v>
      </c>
      <c r="H33" s="8">
        <v>0.05</v>
      </c>
      <c r="I33" s="8">
        <v>0.95</v>
      </c>
      <c r="K33" s="20">
        <v>2005</v>
      </c>
      <c r="L33" s="56">
        <v>3373</v>
      </c>
      <c r="M33" s="59">
        <f t="shared" si="0"/>
        <v>0.51656657430391151</v>
      </c>
      <c r="N33" s="52">
        <f t="shared" si="1"/>
        <v>5.2164797144424936E-2</v>
      </c>
      <c r="O33" s="22">
        <f t="shared" si="5"/>
        <v>1742.3790551270936</v>
      </c>
      <c r="P33" s="22">
        <f t="shared" si="6"/>
        <v>175.95186076814531</v>
      </c>
      <c r="Q33" s="15">
        <f t="shared" si="7"/>
        <v>0.10098368678755205</v>
      </c>
      <c r="R33" s="49"/>
      <c r="S33" s="28">
        <v>2005</v>
      </c>
      <c r="T33" s="29">
        <v>1183</v>
      </c>
      <c r="U33" s="26">
        <f t="shared" si="13"/>
        <v>59.150000000000006</v>
      </c>
      <c r="V33" s="21">
        <f t="shared" si="10"/>
        <v>0.61074344530524804</v>
      </c>
      <c r="W33" s="52">
        <f>_xlfn.STDEV.S($V$44:$V$45)</f>
        <v>7.3659157462274485E-2</v>
      </c>
      <c r="X33" s="27">
        <f t="shared" si="12"/>
        <v>722.50949579610847</v>
      </c>
      <c r="Y33" s="22">
        <f t="shared" si="14"/>
        <v>94.229690443398567</v>
      </c>
      <c r="Z33" s="15">
        <f t="shared" si="15"/>
        <v>0.13042000277044125</v>
      </c>
      <c r="AA33" s="27"/>
      <c r="AB33" s="20">
        <v>2005</v>
      </c>
      <c r="AC33" s="22">
        <f t="shared" si="2"/>
        <v>2464.8885509232023</v>
      </c>
      <c r="AD33" s="17">
        <f t="shared" si="3"/>
        <v>199.59532025784449</v>
      </c>
      <c r="AE33" s="15">
        <f t="shared" si="4"/>
        <v>8.0975393464782747E-2</v>
      </c>
      <c r="AF33" s="52">
        <f t="shared" si="8"/>
        <v>0.15166255389843397</v>
      </c>
      <c r="AG33" s="14">
        <f t="shared" si="9"/>
        <v>2091.0572582151794</v>
      </c>
      <c r="AH33" s="58">
        <v>0.15</v>
      </c>
    </row>
    <row r="34" spans="1:35" x14ac:dyDescent="0.25">
      <c r="A34" s="10" t="s">
        <v>15</v>
      </c>
      <c r="B34">
        <v>34.236592183818303</v>
      </c>
      <c r="C34">
        <v>28.436831358099301</v>
      </c>
      <c r="D34">
        <v>39.919178149336403</v>
      </c>
      <c r="E34">
        <v>3.5125293631602901</v>
      </c>
      <c r="F34" s="9"/>
      <c r="G34">
        <v>352.636899493329</v>
      </c>
      <c r="H34">
        <v>292.89936298842298</v>
      </c>
      <c r="I34">
        <v>411.16753493816498</v>
      </c>
      <c r="K34" s="20">
        <v>2006</v>
      </c>
      <c r="L34" s="56">
        <v>4261</v>
      </c>
      <c r="M34" s="59">
        <f t="shared" si="0"/>
        <v>0.51656657430391151</v>
      </c>
      <c r="N34" s="52">
        <f t="shared" si="1"/>
        <v>5.2164797144424936E-2</v>
      </c>
      <c r="O34" s="22">
        <f t="shared" si="5"/>
        <v>2201.0901731089671</v>
      </c>
      <c r="P34" s="22">
        <f t="shared" si="6"/>
        <v>222.27420063239467</v>
      </c>
      <c r="Q34" s="15">
        <f t="shared" si="7"/>
        <v>0.10098368678755205</v>
      </c>
      <c r="S34" s="28">
        <v>2006</v>
      </c>
      <c r="T34" s="29">
        <v>1366</v>
      </c>
      <c r="U34" s="26">
        <f t="shared" si="13"/>
        <v>68.3</v>
      </c>
      <c r="V34" s="21">
        <f t="shared" si="10"/>
        <v>0.61074344530524804</v>
      </c>
      <c r="W34" s="52">
        <f t="shared" si="11"/>
        <v>7.3659157462274485E-2</v>
      </c>
      <c r="X34" s="27">
        <f t="shared" si="12"/>
        <v>834.27554628696885</v>
      </c>
      <c r="Y34" s="22">
        <f t="shared" si="14"/>
        <v>108.80621905805785</v>
      </c>
      <c r="Z34" s="15">
        <f t="shared" si="15"/>
        <v>0.13042000277044122</v>
      </c>
      <c r="AA34" s="27"/>
      <c r="AB34" s="20">
        <v>2006</v>
      </c>
      <c r="AC34" s="22">
        <f t="shared" si="2"/>
        <v>3035.3657193959361</v>
      </c>
      <c r="AD34" s="17">
        <f t="shared" si="3"/>
        <v>247.47649094910028</v>
      </c>
      <c r="AE34" s="15">
        <f t="shared" si="4"/>
        <v>8.1531029150039361E-2</v>
      </c>
      <c r="AF34" s="52">
        <f t="shared" si="8"/>
        <v>0.15166255389843397</v>
      </c>
      <c r="AG34" s="14">
        <f t="shared" si="9"/>
        <v>2575.0144023765911</v>
      </c>
      <c r="AH34" s="58">
        <v>0.15</v>
      </c>
    </row>
    <row r="35" spans="1:35" x14ac:dyDescent="0.25">
      <c r="A35" s="10" t="s">
        <v>16</v>
      </c>
      <c r="B35">
        <v>29.2583667672431</v>
      </c>
      <c r="C35">
        <v>24.335396389589899</v>
      </c>
      <c r="D35">
        <v>34.415958127072201</v>
      </c>
      <c r="E35">
        <v>3.11243528241318</v>
      </c>
      <c r="F35" s="9"/>
      <c r="G35">
        <v>301.36117770260398</v>
      </c>
      <c r="H35">
        <v>250.654582812776</v>
      </c>
      <c r="I35">
        <v>354.48436870884399</v>
      </c>
      <c r="K35" s="20">
        <v>2007</v>
      </c>
      <c r="L35" s="56">
        <v>3818</v>
      </c>
      <c r="M35" s="59">
        <f t="shared" si="0"/>
        <v>0.51656657430391151</v>
      </c>
      <c r="N35" s="52">
        <f t="shared" si="1"/>
        <v>5.2164797144424936E-2</v>
      </c>
      <c r="O35" s="22">
        <f t="shared" si="5"/>
        <v>1972.2511806923342</v>
      </c>
      <c r="P35" s="22">
        <f t="shared" si="6"/>
        <v>199.1651954974144</v>
      </c>
      <c r="Q35" s="15">
        <f t="shared" si="7"/>
        <v>0.10098368678755205</v>
      </c>
      <c r="S35" s="28">
        <v>2007</v>
      </c>
      <c r="T35" s="29">
        <v>1526</v>
      </c>
      <c r="U35" s="26">
        <f t="shared" si="13"/>
        <v>76.3</v>
      </c>
      <c r="V35" s="21">
        <f t="shared" si="10"/>
        <v>0.61074344530524804</v>
      </c>
      <c r="W35" s="52">
        <f t="shared" si="11"/>
        <v>7.3659157462274485E-2</v>
      </c>
      <c r="X35" s="27">
        <f t="shared" si="12"/>
        <v>931.99449753580848</v>
      </c>
      <c r="Y35" s="22">
        <f t="shared" si="14"/>
        <v>121.55072495065615</v>
      </c>
      <c r="Z35" s="15">
        <f t="shared" si="15"/>
        <v>0.13042000277044125</v>
      </c>
      <c r="AA35" s="27"/>
      <c r="AB35" s="20">
        <v>2007</v>
      </c>
      <c r="AC35" s="22">
        <f t="shared" si="2"/>
        <v>2904.2456782281424</v>
      </c>
      <c r="AD35" s="17">
        <f t="shared" si="3"/>
        <v>233.32671050171979</v>
      </c>
      <c r="AE35" s="15">
        <f t="shared" si="4"/>
        <v>8.0339866647945082E-2</v>
      </c>
      <c r="AF35" s="52">
        <f t="shared" si="8"/>
        <v>0.15166255389843397</v>
      </c>
      <c r="AG35" s="14">
        <f t="shared" si="9"/>
        <v>2463.780361519573</v>
      </c>
      <c r="AH35" s="58">
        <v>0.15</v>
      </c>
    </row>
    <row r="36" spans="1:35" x14ac:dyDescent="0.25">
      <c r="A36" s="10" t="s">
        <v>17</v>
      </c>
      <c r="B36">
        <v>11.2669394046693</v>
      </c>
      <c r="C36">
        <v>7.68214041344865</v>
      </c>
      <c r="D36">
        <v>15.0989884520327</v>
      </c>
      <c r="E36">
        <v>2.2805996666563702</v>
      </c>
      <c r="F36" s="3"/>
      <c r="G36">
        <v>116.049475868093</v>
      </c>
      <c r="H36">
        <v>79.1260462585211</v>
      </c>
      <c r="I36">
        <v>155.51958105593701</v>
      </c>
      <c r="K36" s="20">
        <v>2008</v>
      </c>
      <c r="L36" s="56">
        <v>3983</v>
      </c>
      <c r="M36" s="59">
        <f t="shared" si="0"/>
        <v>0.51656657430391151</v>
      </c>
      <c r="N36" s="52">
        <f t="shared" si="1"/>
        <v>5.2164797144424936E-2</v>
      </c>
      <c r="O36" s="22">
        <f t="shared" si="5"/>
        <v>2057.4846654524795</v>
      </c>
      <c r="P36" s="22">
        <f t="shared" si="6"/>
        <v>207.77238702624453</v>
      </c>
      <c r="Q36" s="15">
        <f t="shared" si="7"/>
        <v>0.10098368678755207</v>
      </c>
      <c r="S36" s="28">
        <v>2008</v>
      </c>
      <c r="T36" s="29">
        <v>1492</v>
      </c>
      <c r="U36" s="26">
        <f t="shared" si="13"/>
        <v>74.600000000000009</v>
      </c>
      <c r="V36" s="21">
        <f t="shared" si="10"/>
        <v>0.61074344530524804</v>
      </c>
      <c r="W36" s="52">
        <f t="shared" si="11"/>
        <v>7.3659157462274485E-2</v>
      </c>
      <c r="X36" s="27">
        <f t="shared" si="12"/>
        <v>911.22922039543005</v>
      </c>
      <c r="Y36" s="22">
        <f t="shared" si="14"/>
        <v>118.842517448479</v>
      </c>
      <c r="Z36" s="15">
        <f t="shared" si="15"/>
        <v>0.13042000277044125</v>
      </c>
      <c r="AA36" s="27"/>
      <c r="AB36" s="20">
        <v>2008</v>
      </c>
      <c r="AC36" s="22">
        <f t="shared" si="2"/>
        <v>2968.7138858479093</v>
      </c>
      <c r="AD36" s="17">
        <f t="shared" si="3"/>
        <v>239.35937158188642</v>
      </c>
      <c r="AE36" s="15">
        <f t="shared" si="4"/>
        <v>8.0627295450373712E-2</v>
      </c>
      <c r="AF36" s="52">
        <f t="shared" si="8"/>
        <v>0.15166255389843397</v>
      </c>
      <c r="AG36" s="14">
        <f t="shared" si="9"/>
        <v>2518.4711561264712</v>
      </c>
      <c r="AH36" s="58">
        <v>0.15</v>
      </c>
    </row>
    <row r="37" spans="1:35" x14ac:dyDescent="0.25">
      <c r="A37" s="10" t="s">
        <v>18</v>
      </c>
      <c r="B37">
        <v>15.3405493848062</v>
      </c>
      <c r="C37">
        <v>11.1562722681939</v>
      </c>
      <c r="D37">
        <v>20.0120434743265</v>
      </c>
      <c r="E37">
        <v>2.7111542928810102</v>
      </c>
      <c r="F37" s="3"/>
      <c r="G37">
        <v>158.00765866350301</v>
      </c>
      <c r="H37">
        <v>114.909604362398</v>
      </c>
      <c r="I37">
        <v>206.12404778556299</v>
      </c>
      <c r="K37" s="20">
        <v>2009</v>
      </c>
      <c r="L37" s="56">
        <v>1631</v>
      </c>
      <c r="M37" s="59">
        <f t="shared" si="0"/>
        <v>0.51656657430391151</v>
      </c>
      <c r="N37" s="52">
        <f t="shared" si="1"/>
        <v>5.2164797144424936E-2</v>
      </c>
      <c r="O37" s="22">
        <f t="shared" si="5"/>
        <v>842.52008268967973</v>
      </c>
      <c r="P37" s="22">
        <f t="shared" si="6"/>
        <v>85.080784142557079</v>
      </c>
      <c r="Q37" s="15">
        <f t="shared" si="7"/>
        <v>0.10098368678755205</v>
      </c>
      <c r="S37" s="28">
        <v>2009</v>
      </c>
      <c r="T37" s="29">
        <v>817</v>
      </c>
      <c r="U37" s="26">
        <f t="shared" si="13"/>
        <v>40.85</v>
      </c>
      <c r="V37" s="21">
        <f t="shared" si="10"/>
        <v>0.61074344530524804</v>
      </c>
      <c r="W37" s="52">
        <f t="shared" si="11"/>
        <v>7.3659157462274485E-2</v>
      </c>
      <c r="X37" s="27">
        <f t="shared" si="12"/>
        <v>498.97739481438765</v>
      </c>
      <c r="Y37" s="22">
        <f t="shared" si="14"/>
        <v>65.07663321407999</v>
      </c>
      <c r="Z37" s="15">
        <f t="shared" si="15"/>
        <v>0.13042000277044125</v>
      </c>
      <c r="AA37" s="27"/>
      <c r="AB37" s="20">
        <v>2009</v>
      </c>
      <c r="AC37" s="22">
        <f t="shared" si="2"/>
        <v>1341.4974775040673</v>
      </c>
      <c r="AD37" s="17">
        <f>SQRT(SUMSQ(P37,Y37))</f>
        <v>107.11539581587836</v>
      </c>
      <c r="AE37" s="15">
        <f>AD37/AC37</f>
        <v>7.9847631182410173E-2</v>
      </c>
      <c r="AF37" s="52">
        <f t="shared" si="8"/>
        <v>0.15166255389843397</v>
      </c>
      <c r="AG37" s="14">
        <f t="shared" si="9"/>
        <v>1138.0425440174936</v>
      </c>
      <c r="AH37" s="58">
        <v>0.15</v>
      </c>
    </row>
    <row r="38" spans="1:35" x14ac:dyDescent="0.25">
      <c r="A38" s="10" t="s">
        <v>19</v>
      </c>
      <c r="B38">
        <v>9.6670785768696703</v>
      </c>
      <c r="C38">
        <v>6.8630852749638001</v>
      </c>
      <c r="D38">
        <v>13.056949440982001</v>
      </c>
      <c r="E38">
        <v>1.8470232684177399</v>
      </c>
      <c r="F38" s="3"/>
      <c r="G38">
        <v>99.570909341757599</v>
      </c>
      <c r="H38">
        <v>70.689778332127105</v>
      </c>
      <c r="I38">
        <v>134.486579242115</v>
      </c>
      <c r="K38" s="20">
        <v>2010</v>
      </c>
      <c r="L38" s="56">
        <v>1750</v>
      </c>
      <c r="M38" s="59">
        <f t="shared" si="0"/>
        <v>0.51656657430391151</v>
      </c>
      <c r="N38" s="52">
        <f t="shared" si="1"/>
        <v>5.2164797144424936E-2</v>
      </c>
      <c r="O38" s="22">
        <f t="shared" si="5"/>
        <v>903.99150503184512</v>
      </c>
      <c r="P38" s="22">
        <f t="shared" si="6"/>
        <v>91.288395002743641</v>
      </c>
      <c r="Q38" s="15">
        <f t="shared" si="7"/>
        <v>0.10098368678755207</v>
      </c>
      <c r="S38" s="28">
        <v>2010</v>
      </c>
      <c r="T38" s="29">
        <v>1116</v>
      </c>
      <c r="U38" s="26">
        <f t="shared" si="13"/>
        <v>55.800000000000004</v>
      </c>
      <c r="V38" s="21">
        <f t="shared" si="10"/>
        <v>0.61074344530524804</v>
      </c>
      <c r="W38" s="52">
        <f t="shared" si="11"/>
        <v>7.3659157462274485E-2</v>
      </c>
      <c r="X38" s="27">
        <f t="shared" si="12"/>
        <v>681.58968496065677</v>
      </c>
      <c r="Y38" s="22">
        <f t="shared" si="14"/>
        <v>88.892928600873034</v>
      </c>
      <c r="Z38" s="15">
        <f t="shared" si="15"/>
        <v>0.13042000277044125</v>
      </c>
      <c r="AA38" s="27"/>
      <c r="AB38" s="20">
        <v>2010</v>
      </c>
      <c r="AC38" s="22">
        <f t="shared" si="2"/>
        <v>1585.581189992502</v>
      </c>
      <c r="AD38" s="17">
        <f t="shared" si="3"/>
        <v>127.41869492902862</v>
      </c>
      <c r="AE38" s="15">
        <f t="shared" si="4"/>
        <v>8.0360876966275793E-2</v>
      </c>
      <c r="AF38" s="52">
        <f>AVERAGE($AF$42:$AF$45)</f>
        <v>0.15166255389843397</v>
      </c>
      <c r="AG38" s="14">
        <f t="shared" si="9"/>
        <v>1345.1078973049212</v>
      </c>
      <c r="AH38" s="58">
        <v>0.15</v>
      </c>
    </row>
    <row r="39" spans="1:35" x14ac:dyDescent="0.25">
      <c r="A39" s="11" t="s">
        <v>8</v>
      </c>
      <c r="B39">
        <v>0.230473682593277</v>
      </c>
      <c r="C39">
        <v>0</v>
      </c>
      <c r="D39">
        <v>0.97041732990861695</v>
      </c>
      <c r="E39">
        <v>0.38068042888574</v>
      </c>
      <c r="F39" s="3"/>
      <c r="G39">
        <v>2.3738789307107502</v>
      </c>
      <c r="H39">
        <v>0</v>
      </c>
      <c r="I39">
        <v>9.9952984980587498</v>
      </c>
      <c r="K39" s="20">
        <v>2011</v>
      </c>
      <c r="L39" s="56">
        <v>2299</v>
      </c>
      <c r="M39" s="59">
        <f t="shared" si="0"/>
        <v>0.51656657430391151</v>
      </c>
      <c r="N39" s="52">
        <f t="shared" si="1"/>
        <v>5.2164797144424936E-2</v>
      </c>
      <c r="O39" s="22">
        <f t="shared" si="5"/>
        <v>1187.5865543246925</v>
      </c>
      <c r="P39" s="22">
        <f t="shared" si="6"/>
        <v>119.92686863503293</v>
      </c>
      <c r="Q39" s="15">
        <f t="shared" si="7"/>
        <v>0.10098368678755205</v>
      </c>
      <c r="S39" s="28">
        <v>2011</v>
      </c>
      <c r="T39" s="29">
        <v>851</v>
      </c>
      <c r="U39" s="26">
        <f t="shared" si="13"/>
        <v>42.550000000000004</v>
      </c>
      <c r="V39" s="21">
        <f t="shared" si="10"/>
        <v>0.61074344530524804</v>
      </c>
      <c r="W39" s="52">
        <f t="shared" si="11"/>
        <v>7.3659157462274485E-2</v>
      </c>
      <c r="X39" s="27">
        <f t="shared" si="12"/>
        <v>519.74267195476614</v>
      </c>
      <c r="Y39" s="22">
        <f t="shared" si="14"/>
        <v>67.784840716257136</v>
      </c>
      <c r="Z39" s="15">
        <f t="shared" si="15"/>
        <v>0.13042000277044125</v>
      </c>
      <c r="AA39" s="27"/>
      <c r="AB39" s="20">
        <v>2011</v>
      </c>
      <c r="AC39" s="22">
        <f t="shared" si="2"/>
        <v>1707.3292262794587</v>
      </c>
      <c r="AD39" s="17">
        <f t="shared" si="3"/>
        <v>137.75789796426483</v>
      </c>
      <c r="AE39" s="15">
        <f t="shared" si="4"/>
        <v>8.0686194463185729E-2</v>
      </c>
      <c r="AF39" s="52">
        <f t="shared" si="8"/>
        <v>0.15166255389843397</v>
      </c>
      <c r="AG39" s="14">
        <f t="shared" si="9"/>
        <v>1448.3913154764787</v>
      </c>
      <c r="AH39" s="58">
        <v>0.15</v>
      </c>
    </row>
    <row r="40" spans="1:35" x14ac:dyDescent="0.25">
      <c r="A40" s="3" t="s">
        <v>9</v>
      </c>
      <c r="B40" s="3"/>
      <c r="C40" s="3"/>
      <c r="D40" s="3"/>
      <c r="E40" s="3"/>
      <c r="F40" s="3"/>
      <c r="G40" s="12">
        <f>SUM(G34:G39)</f>
        <v>1029.9999999999975</v>
      </c>
      <c r="H40" s="3"/>
      <c r="I40" s="3"/>
      <c r="K40" s="20">
        <v>2012</v>
      </c>
      <c r="L40" s="56">
        <v>1049</v>
      </c>
      <c r="M40" s="59">
        <f t="shared" si="0"/>
        <v>0.51656657430391151</v>
      </c>
      <c r="N40" s="52">
        <f t="shared" si="1"/>
        <v>5.2164797144424936E-2</v>
      </c>
      <c r="O40" s="22">
        <f t="shared" si="5"/>
        <v>541.87833644480315</v>
      </c>
      <c r="P40" s="22">
        <f t="shared" si="6"/>
        <v>54.720872204501759</v>
      </c>
      <c r="Q40" s="15">
        <f t="shared" si="7"/>
        <v>0.10098368678755207</v>
      </c>
      <c r="S40" s="28">
        <v>2012</v>
      </c>
      <c r="T40" s="29">
        <v>1102</v>
      </c>
      <c r="U40" s="26">
        <f t="shared" si="13"/>
        <v>55.1</v>
      </c>
      <c r="V40" s="21">
        <f t="shared" si="10"/>
        <v>0.61074344530524804</v>
      </c>
      <c r="W40" s="52">
        <f t="shared" si="11"/>
        <v>7.3659157462274485E-2</v>
      </c>
      <c r="X40" s="27">
        <f t="shared" si="12"/>
        <v>673.03927672638338</v>
      </c>
      <c r="Y40" s="22">
        <f t="shared" si="14"/>
        <v>87.777784335270681</v>
      </c>
      <c r="Z40" s="15">
        <f t="shared" si="15"/>
        <v>0.13042000277044122</v>
      </c>
      <c r="AA40" s="27"/>
      <c r="AB40" s="20">
        <v>2012</v>
      </c>
      <c r="AC40" s="22">
        <f t="shared" si="2"/>
        <v>1214.9176131711865</v>
      </c>
      <c r="AD40" s="17">
        <f t="shared" si="3"/>
        <v>103.43748487676362</v>
      </c>
      <c r="AE40" s="15">
        <f t="shared" si="4"/>
        <v>8.5139505556076647E-2</v>
      </c>
      <c r="AF40" s="52">
        <f t="shared" si="8"/>
        <v>0.15166255389843397</v>
      </c>
      <c r="AG40" s="14">
        <f t="shared" si="9"/>
        <v>1030.6601051814548</v>
      </c>
      <c r="AH40" s="58">
        <v>0.15</v>
      </c>
    </row>
    <row r="41" spans="1:35" x14ac:dyDescent="0.25">
      <c r="A41" s="3" t="s">
        <v>20</v>
      </c>
      <c r="B41" s="3"/>
      <c r="C41" s="3"/>
      <c r="D41" s="3"/>
      <c r="E41" s="3"/>
      <c r="F41" s="3"/>
      <c r="G41" s="9">
        <v>0</v>
      </c>
      <c r="H41" s="3"/>
      <c r="I41" s="3"/>
      <c r="K41" s="20">
        <v>2013</v>
      </c>
      <c r="L41" s="56">
        <v>1327</v>
      </c>
      <c r="M41" s="59">
        <f t="shared" si="0"/>
        <v>0.51656657430391151</v>
      </c>
      <c r="N41" s="52">
        <f t="shared" si="1"/>
        <v>5.2164797144424936E-2</v>
      </c>
      <c r="O41" s="22">
        <f t="shared" si="5"/>
        <v>685.48384410129052</v>
      </c>
      <c r="P41" s="22">
        <f t="shared" si="6"/>
        <v>69.222685810651896</v>
      </c>
      <c r="Q41" s="15">
        <f t="shared" si="7"/>
        <v>0.10098368678755207</v>
      </c>
      <c r="S41" s="28">
        <v>2013</v>
      </c>
      <c r="T41" s="29">
        <v>1352</v>
      </c>
      <c r="U41" s="49">
        <f t="shared" ref="U41:U44" si="16">T41*0.05</f>
        <v>67.600000000000009</v>
      </c>
      <c r="V41" s="21">
        <f t="shared" si="10"/>
        <v>0.61074344530524804</v>
      </c>
      <c r="W41" s="52">
        <f t="shared" si="11"/>
        <v>7.3659157462274485E-2</v>
      </c>
      <c r="X41" s="27">
        <f t="shared" si="12"/>
        <v>825.72513805269534</v>
      </c>
      <c r="Y41" s="22">
        <f>SQRT(T41^2*W41^2+V41^2*U41^2-U41^2*W41^2)</f>
        <v>107.69107479245551</v>
      </c>
      <c r="Z41" s="15">
        <f t="shared" si="15"/>
        <v>0.13042000277044125</v>
      </c>
      <c r="AA41" s="27"/>
      <c r="AB41" s="20">
        <v>2013</v>
      </c>
      <c r="AC41" s="22">
        <f t="shared" si="2"/>
        <v>1511.2089821539857</v>
      </c>
      <c r="AD41" s="17">
        <f t="shared" si="3"/>
        <v>128.0201070956999</v>
      </c>
      <c r="AE41" s="15">
        <f t="shared" si="4"/>
        <v>8.4713701815898282E-2</v>
      </c>
      <c r="AF41" s="52">
        <f>AVERAGE($AF$42:$AF$45)</f>
        <v>0.15166255389843397</v>
      </c>
      <c r="AG41" s="14">
        <f>AC41*(1-AF41)</f>
        <v>1282.0151684462594</v>
      </c>
      <c r="AH41" s="58">
        <v>0.15</v>
      </c>
    </row>
    <row r="42" spans="1:35" x14ac:dyDescent="0.25">
      <c r="A42" s="6" t="s">
        <v>10</v>
      </c>
      <c r="B42" s="6"/>
      <c r="C42" s="6"/>
      <c r="D42" s="6"/>
      <c r="E42" s="6"/>
      <c r="F42" s="6"/>
      <c r="G42" s="13">
        <f>SUM(G40:G41)</f>
        <v>1029.9999999999975</v>
      </c>
      <c r="H42" s="6"/>
      <c r="I42" s="6"/>
      <c r="K42" s="20">
        <v>2014</v>
      </c>
      <c r="L42" s="56">
        <v>1470</v>
      </c>
      <c r="M42" s="59">
        <f t="shared" si="0"/>
        <v>0.51656657430391151</v>
      </c>
      <c r="N42" s="52">
        <f t="shared" si="1"/>
        <v>5.2164797144424936E-2</v>
      </c>
      <c r="O42" s="22">
        <f t="shared" si="5"/>
        <v>759.35286422674994</v>
      </c>
      <c r="P42" s="22">
        <f t="shared" si="6"/>
        <v>76.682251802304663</v>
      </c>
      <c r="Q42" s="15">
        <f t="shared" si="7"/>
        <v>0.10098368678755207</v>
      </c>
      <c r="S42" s="28">
        <v>2014</v>
      </c>
      <c r="T42" s="29">
        <v>896</v>
      </c>
      <c r="U42" s="49">
        <f t="shared" si="16"/>
        <v>44.800000000000004</v>
      </c>
      <c r="V42" s="21">
        <f t="shared" si="10"/>
        <v>0.61074344530524804</v>
      </c>
      <c r="W42" s="52">
        <f t="shared" si="11"/>
        <v>7.3659157462274485E-2</v>
      </c>
      <c r="X42" s="27">
        <f t="shared" si="12"/>
        <v>547.22612699350225</v>
      </c>
      <c r="Y42" s="22">
        <f t="shared" si="14"/>
        <v>71.369232998550387</v>
      </c>
      <c r="Z42" s="15">
        <f t="shared" si="15"/>
        <v>0.13042000277044122</v>
      </c>
      <c r="AA42" s="27"/>
      <c r="AB42" s="20">
        <v>2014</v>
      </c>
      <c r="AC42" s="22">
        <f t="shared" si="2"/>
        <v>1306.5789912202522</v>
      </c>
      <c r="AD42" s="17">
        <f t="shared" si="3"/>
        <v>104.75559727419548</v>
      </c>
      <c r="AE42" s="15">
        <f t="shared" si="4"/>
        <v>8.0175479613644463E-2</v>
      </c>
      <c r="AF42" s="53">
        <v>0.24870706802811299</v>
      </c>
      <c r="AG42" s="14">
        <f t="shared" si="9"/>
        <v>981.62356116673379</v>
      </c>
      <c r="AH42" s="58">
        <v>0.15</v>
      </c>
    </row>
    <row r="43" spans="1:35" x14ac:dyDescent="0.25">
      <c r="A43" s="6"/>
      <c r="B43" s="6"/>
      <c r="C43" s="6"/>
      <c r="D43" s="6"/>
      <c r="E43" s="6"/>
      <c r="F43" s="6"/>
      <c r="G43" s="6"/>
      <c r="H43" s="6"/>
      <c r="I43" s="6"/>
      <c r="K43" s="20">
        <v>2015</v>
      </c>
      <c r="L43" s="56">
        <v>1923</v>
      </c>
      <c r="M43" s="59">
        <f>AVERAGE($M$44:$M$45)</f>
        <v>0.51656657430391151</v>
      </c>
      <c r="N43" s="52">
        <f>_xlfn.STDEV.S($M$44:$M$45)</f>
        <v>5.2164797144424936E-2</v>
      </c>
      <c r="O43" s="22">
        <f t="shared" si="5"/>
        <v>993.35752238642181</v>
      </c>
      <c r="P43" s="22">
        <f t="shared" si="6"/>
        <v>100.31290490872915</v>
      </c>
      <c r="Q43" s="15">
        <f>P43/O43</f>
        <v>0.10098368678755205</v>
      </c>
      <c r="S43" s="28">
        <v>2015</v>
      </c>
      <c r="T43" s="29">
        <v>1070</v>
      </c>
      <c r="U43" s="49">
        <f t="shared" si="16"/>
        <v>53.5</v>
      </c>
      <c r="V43" s="21">
        <f>AVERAGE($V$44:$V$45)</f>
        <v>0.61074344530524804</v>
      </c>
      <c r="W43" s="52">
        <f>_xlfn.STDEV.S($V$44:$V$45)</f>
        <v>7.3659157462274485E-2</v>
      </c>
      <c r="X43" s="27">
        <f t="shared" si="12"/>
        <v>653.49548647661538</v>
      </c>
      <c r="Y43" s="22">
        <f t="shared" si="14"/>
        <v>85.228883156751024</v>
      </c>
      <c r="Z43" s="15">
        <f t="shared" si="15"/>
        <v>0.13042000277044125</v>
      </c>
      <c r="AA43" s="27"/>
      <c r="AB43" s="20">
        <v>2015</v>
      </c>
      <c r="AC43" s="22">
        <f>O43+X43</f>
        <v>1646.8530088630373</v>
      </c>
      <c r="AD43" s="17">
        <f>SQRT(SUMSQ(P43,Y43))</f>
        <v>131.6307008846145</v>
      </c>
      <c r="AE43" s="15">
        <f>AD43/AC43</f>
        <v>7.992862761655356E-2</v>
      </c>
      <c r="AF43" s="53">
        <v>0.122632212854484</v>
      </c>
      <c r="AG43" s="14">
        <f t="shared" si="9"/>
        <v>1444.8957801400979</v>
      </c>
      <c r="AH43" s="58">
        <v>0.15</v>
      </c>
    </row>
    <row r="44" spans="1:35" x14ac:dyDescent="0.25">
      <c r="A44" s="3" t="s">
        <v>23</v>
      </c>
      <c r="B44" s="61" t="s">
        <v>14</v>
      </c>
      <c r="C44" s="61"/>
      <c r="D44" s="61"/>
      <c r="E44" s="61"/>
      <c r="F44" s="4"/>
      <c r="G44" s="62" t="s">
        <v>0</v>
      </c>
      <c r="H44" s="62"/>
      <c r="I44" s="62"/>
      <c r="K44" s="50">
        <v>2016</v>
      </c>
      <c r="L44" s="56">
        <v>2136.9999999999982</v>
      </c>
      <c r="M44" s="51">
        <f t="array" ref="M44">SUM($B$8:$B$10)/100</f>
        <v>0.47968049250386796</v>
      </c>
      <c r="N44" s="53">
        <f t="array" ref="N44">SQRT(SUMSQ($E$8:$E$10/100))</f>
        <v>2.3647528656430682E-2</v>
      </c>
      <c r="O44" s="22">
        <f t="shared" si="5"/>
        <v>1025.077212480765</v>
      </c>
      <c r="P44" s="22">
        <f t="shared" si="6"/>
        <v>50.534768738792323</v>
      </c>
      <c r="Q44" s="15">
        <f t="shared" ref="Q44:Q47" si="17">P44/O44</f>
        <v>4.9298499784708245E-2</v>
      </c>
      <c r="S44" s="54">
        <v>2016</v>
      </c>
      <c r="T44" s="57">
        <v>1030.0296495956873</v>
      </c>
      <c r="U44" s="49">
        <f t="shared" si="16"/>
        <v>51.501482479784364</v>
      </c>
      <c r="V44" s="51">
        <f>SUM($B$35:$B$37)/100</f>
        <v>0.55865855556718602</v>
      </c>
      <c r="W44" s="53">
        <f t="array" ref="W44">SQRT(SUMSQ($E$35:$E$37/100))</f>
        <v>4.7157974751435933E-2</v>
      </c>
      <c r="X44" s="27">
        <f t="shared" si="12"/>
        <v>575.43487623450142</v>
      </c>
      <c r="Y44" s="22">
        <f t="shared" si="14"/>
        <v>56.403537193199462</v>
      </c>
      <c r="Z44" s="15">
        <f t="shared" si="15"/>
        <v>9.8018975774095893E-2</v>
      </c>
      <c r="AA44" s="27"/>
      <c r="AB44" s="20">
        <v>2016</v>
      </c>
      <c r="AC44" s="22">
        <f t="shared" si="2"/>
        <v>1600.5120887152664</v>
      </c>
      <c r="AD44" s="17">
        <f t="shared" si="3"/>
        <v>75.73058734347606</v>
      </c>
      <c r="AE44" s="15">
        <f t="shared" si="4"/>
        <v>4.7316473194691781E-2</v>
      </c>
      <c r="AF44" s="53">
        <v>9.7246703639810861E-2</v>
      </c>
      <c r="AG44" s="14">
        <f t="shared" si="9"/>
        <v>1444.8675639520384</v>
      </c>
      <c r="AH44" s="58">
        <v>0.15</v>
      </c>
    </row>
    <row r="45" spans="1:35" x14ac:dyDescent="0.25">
      <c r="A45" s="5"/>
      <c r="B45" s="5"/>
      <c r="C45" s="61" t="s">
        <v>3</v>
      </c>
      <c r="D45" s="61"/>
      <c r="E45" s="5"/>
      <c r="F45" s="3"/>
      <c r="G45" s="5"/>
      <c r="H45" s="61" t="s">
        <v>3</v>
      </c>
      <c r="I45" s="61"/>
      <c r="K45" s="50">
        <v>2017</v>
      </c>
      <c r="L45" s="14">
        <v>2150.9999999999973</v>
      </c>
      <c r="M45" s="51">
        <f>SUM($B$21:$B$23)/100</f>
        <v>0.553452656103955</v>
      </c>
      <c r="N45" s="53">
        <f t="array" ref="N45">SQRT(SUMSQ($E$21:$E$23/100))</f>
        <v>2.497488083597043E-2</v>
      </c>
      <c r="O45" s="22">
        <f t="shared" si="5"/>
        <v>1190.4766632796056</v>
      </c>
      <c r="P45" s="22">
        <f>SQRT(L45^2*N45^2)</f>
        <v>53.720968678172326</v>
      </c>
      <c r="Q45" s="15">
        <f t="shared" si="17"/>
        <v>4.5125595767814691E-2</v>
      </c>
      <c r="S45" s="54">
        <v>2017</v>
      </c>
      <c r="T45" s="49">
        <v>1304</v>
      </c>
      <c r="U45" s="49">
        <f t="shared" ref="U45:U52" si="18">T45*0.05</f>
        <v>65.2</v>
      </c>
      <c r="V45" s="51">
        <f>SUM($B$48:$B$50)/100</f>
        <v>0.66282833504330996</v>
      </c>
      <c r="W45" s="53">
        <f t="array" ref="W45">SQRT(SUMSQ($E$48:$E$50/100))</f>
        <v>5.1300435689293288E-2</v>
      </c>
      <c r="X45" s="27">
        <f t="shared" si="12"/>
        <v>864.32814889647614</v>
      </c>
      <c r="Y45" s="22">
        <f t="shared" si="14"/>
        <v>79.5708115946736</v>
      </c>
      <c r="Z45" s="15">
        <f t="shared" si="15"/>
        <v>9.206088184940521E-2</v>
      </c>
      <c r="AA45" s="27"/>
      <c r="AB45" s="20">
        <v>2017</v>
      </c>
      <c r="AC45" s="22">
        <f t="shared" si="2"/>
        <v>2054.8048121760817</v>
      </c>
      <c r="AD45" s="17">
        <f t="shared" si="3"/>
        <v>96.007585812560748</v>
      </c>
      <c r="AE45" s="15">
        <f t="shared" si="4"/>
        <v>4.6723457743359426E-2</v>
      </c>
      <c r="AF45" s="53">
        <v>0.13806423107132801</v>
      </c>
      <c r="AG45" s="14">
        <f>AC45*(1-AF45)</f>
        <v>1771.1097657813264</v>
      </c>
      <c r="AH45" s="58">
        <v>0.15</v>
      </c>
    </row>
    <row r="46" spans="1:35" x14ac:dyDescent="0.25">
      <c r="A46" s="6" t="s">
        <v>5</v>
      </c>
      <c r="B46" s="7" t="s">
        <v>6</v>
      </c>
      <c r="C46" s="8">
        <v>0.05</v>
      </c>
      <c r="D46" s="8">
        <v>0.95</v>
      </c>
      <c r="E46" s="7" t="s">
        <v>7</v>
      </c>
      <c r="F46" s="9"/>
      <c r="G46" s="7" t="s">
        <v>6</v>
      </c>
      <c r="H46" s="8">
        <v>0.05</v>
      </c>
      <c r="I46" s="8">
        <v>0.95</v>
      </c>
      <c r="K46" s="20">
        <v>2018</v>
      </c>
      <c r="L46" s="56">
        <v>130</v>
      </c>
      <c r="M46" s="59">
        <f>AVERAGE($M$44:$M$45)</f>
        <v>0.51656657430391151</v>
      </c>
      <c r="N46" s="52">
        <f t="shared" ref="N46:N52" si="19">_xlfn.STDEV.S($M$44:$M$45)</f>
        <v>5.2164797144424936E-2</v>
      </c>
      <c r="O46" s="22">
        <f t="shared" si="5"/>
        <v>67.15365465950849</v>
      </c>
      <c r="P46" s="22">
        <f t="shared" ref="P46:P48" si="20">SQRT(L46^2*N46^2)</f>
        <v>6.7814236287752419</v>
      </c>
      <c r="Q46" s="15">
        <f t="shared" si="17"/>
        <v>0.10098368678755207</v>
      </c>
      <c r="S46" s="28">
        <v>2018</v>
      </c>
      <c r="T46" s="44">
        <v>1308</v>
      </c>
      <c r="U46" s="44">
        <f t="shared" si="18"/>
        <v>65.400000000000006</v>
      </c>
      <c r="V46" s="21">
        <f t="shared" ref="V46:V52" si="21">AVERAGE($V$44:$V$45)</f>
        <v>0.61074344530524804</v>
      </c>
      <c r="W46" s="52">
        <f t="shared" ref="W46:W52" si="22">_xlfn.STDEV.S($V$44:$V$45)</f>
        <v>7.3659157462274485E-2</v>
      </c>
      <c r="X46" s="27">
        <f>T46*V46</f>
        <v>798.85242645926439</v>
      </c>
      <c r="Y46" s="22">
        <f>SQRT(T46^2*W46^2+V46^2*U46^2-U46^2*W46^2)</f>
        <v>104.18633567199097</v>
      </c>
      <c r="Z46" s="15">
        <f t="shared" ref="Z46:Z47" si="23">Y46/X46</f>
        <v>0.13042000277044125</v>
      </c>
      <c r="AB46" s="20">
        <v>2018</v>
      </c>
      <c r="AC46" s="22">
        <f t="shared" ref="AC46:AC51" si="24">O46+X46</f>
        <v>866.00608111877284</v>
      </c>
      <c r="AD46" s="17">
        <f t="shared" ref="AD46:AD51" si="25">SQRT(SUMSQ(P46,Y46))</f>
        <v>104.40680172857364</v>
      </c>
      <c r="AE46" s="15">
        <f>AD46/AC46</f>
        <v>0.12056128011675502</v>
      </c>
      <c r="AF46" s="52">
        <f t="shared" ref="AF46:AF47" si="26">AVERAGE($AF$42:$AF$45)</f>
        <v>0.15166255389843397</v>
      </c>
      <c r="AG46" s="14">
        <f t="shared" ref="AG46:AG47" si="27">AC46*(1-AF46)</f>
        <v>734.66538716472542</v>
      </c>
      <c r="AH46" s="58">
        <v>0.15</v>
      </c>
    </row>
    <row r="47" spans="1:35" x14ac:dyDescent="0.25">
      <c r="A47" s="10" t="s">
        <v>15</v>
      </c>
      <c r="B47">
        <v>17.232591589044699</v>
      </c>
      <c r="C47">
        <v>12.4579331893244</v>
      </c>
      <c r="D47">
        <v>22.426883009143999</v>
      </c>
      <c r="E47">
        <v>3.05195822899395</v>
      </c>
      <c r="F47" s="9"/>
      <c r="G47">
        <v>224.71299432114299</v>
      </c>
      <c r="H47">
        <v>162.45144878879</v>
      </c>
      <c r="I47">
        <v>292.44655443923801</v>
      </c>
      <c r="K47" s="20">
        <v>2019</v>
      </c>
      <c r="L47" s="56">
        <v>197</v>
      </c>
      <c r="M47" s="59">
        <f t="shared" ref="M47:M52" si="28">AVERAGE($M$44:$M$45)</f>
        <v>0.51656657430391151</v>
      </c>
      <c r="N47" s="52">
        <f t="shared" si="19"/>
        <v>5.2164797144424936E-2</v>
      </c>
      <c r="O47" s="22">
        <f t="shared" si="5"/>
        <v>101.76361513787057</v>
      </c>
      <c r="P47" s="22">
        <f t="shared" si="20"/>
        <v>10.276465037451713</v>
      </c>
      <c r="Q47" s="15">
        <f t="shared" si="17"/>
        <v>0.10098368678755205</v>
      </c>
      <c r="S47" s="28">
        <v>2019</v>
      </c>
      <c r="T47" s="44">
        <v>1062</v>
      </c>
      <c r="U47" s="44">
        <f t="shared" si="18"/>
        <v>53.1</v>
      </c>
      <c r="V47" s="21">
        <f t="shared" si="21"/>
        <v>0.61074344530524804</v>
      </c>
      <c r="W47" s="52">
        <f t="shared" si="22"/>
        <v>7.3659157462274485E-2</v>
      </c>
      <c r="X47" s="27">
        <f t="shared" ref="X47" si="29">T47*V47</f>
        <v>648.60953891417341</v>
      </c>
      <c r="Y47" s="22">
        <f t="shared" ref="Y47" si="30">SQRT(T47^2*W47^2+V47^2*U47^2-U47^2*W47^2)</f>
        <v>84.59165786212111</v>
      </c>
      <c r="Z47" s="15">
        <f t="shared" si="23"/>
        <v>0.13042000277044125</v>
      </c>
      <c r="AB47" s="20">
        <v>2019</v>
      </c>
      <c r="AC47" s="22">
        <f t="shared" si="24"/>
        <v>750.37315405204401</v>
      </c>
      <c r="AD47" s="17">
        <f t="shared" si="25"/>
        <v>85.213580569813658</v>
      </c>
      <c r="AE47" s="15">
        <f t="shared" ref="AE47" si="31">AD47/AC47</f>
        <v>0.11356160612844027</v>
      </c>
      <c r="AF47" s="52">
        <f t="shared" si="26"/>
        <v>0.15166255389843397</v>
      </c>
      <c r="AG47" s="14">
        <f t="shared" si="27"/>
        <v>636.56964513168805</v>
      </c>
      <c r="AH47" s="58">
        <v>0.15</v>
      </c>
    </row>
    <row r="48" spans="1:35" x14ac:dyDescent="0.25">
      <c r="A48" s="10" t="s">
        <v>16</v>
      </c>
      <c r="B48">
        <v>38.243621210858002</v>
      </c>
      <c r="C48">
        <v>32.334386218986197</v>
      </c>
      <c r="D48">
        <v>44.339126479155802</v>
      </c>
      <c r="E48">
        <v>3.6647405865604799</v>
      </c>
      <c r="F48" s="9"/>
      <c r="G48">
        <v>498.69682058958801</v>
      </c>
      <c r="H48">
        <v>421.64039629557999</v>
      </c>
      <c r="I48">
        <v>578.18220928819198</v>
      </c>
      <c r="K48" s="20">
        <v>2020</v>
      </c>
      <c r="L48" s="56">
        <v>1659</v>
      </c>
      <c r="M48" s="59">
        <f t="shared" si="28"/>
        <v>0.51656657430391151</v>
      </c>
      <c r="N48" s="52">
        <f t="shared" si="19"/>
        <v>5.2164797144424936E-2</v>
      </c>
      <c r="O48" s="22">
        <f t="shared" si="5"/>
        <v>856.98394677018916</v>
      </c>
      <c r="P48" s="22">
        <f t="shared" si="20"/>
        <v>86.541398462600966</v>
      </c>
      <c r="Q48" s="15">
        <f>P48/O48</f>
        <v>0.10098368678755205</v>
      </c>
      <c r="S48" s="28">
        <v>2020</v>
      </c>
      <c r="T48" s="44">
        <v>1180</v>
      </c>
      <c r="U48" s="44">
        <f t="shared" si="18"/>
        <v>59</v>
      </c>
      <c r="V48" s="21">
        <f t="shared" si="21"/>
        <v>0.61074344530524804</v>
      </c>
      <c r="W48" s="52">
        <f t="shared" si="22"/>
        <v>7.3659157462274485E-2</v>
      </c>
      <c r="X48" s="27">
        <f t="shared" ref="X48" si="32">T48*V48</f>
        <v>720.67726546019264</v>
      </c>
      <c r="Y48" s="22">
        <f t="shared" ref="Y48" si="33">SQRT(T48^2*W48^2+V48^2*U48^2-U48^2*W48^2)</f>
        <v>93.990730957912348</v>
      </c>
      <c r="Z48" s="15">
        <f t="shared" ref="Z48" si="34">Y48/X48</f>
        <v>0.13042000277044125</v>
      </c>
      <c r="AB48" s="20">
        <v>2020</v>
      </c>
      <c r="AC48" s="22">
        <f t="shared" si="24"/>
        <v>1577.6612122303818</v>
      </c>
      <c r="AD48" s="17">
        <f t="shared" si="25"/>
        <v>127.76412310920988</v>
      </c>
      <c r="AE48" s="15">
        <f>AD48/AC48</f>
        <v>8.0983244132995014E-2</v>
      </c>
      <c r="AF48" s="53">
        <v>0.32200000000000001</v>
      </c>
      <c r="AG48" s="14">
        <f>AC48*(1-AF48)</f>
        <v>1069.6543018921989</v>
      </c>
      <c r="AH48" s="58">
        <v>0.15</v>
      </c>
      <c r="AI48" t="s">
        <v>39</v>
      </c>
    </row>
    <row r="49" spans="1:35" x14ac:dyDescent="0.25">
      <c r="A49" s="10" t="s">
        <v>17</v>
      </c>
      <c r="B49">
        <v>11.1172302662482</v>
      </c>
      <c r="C49">
        <v>7.5648353784223596</v>
      </c>
      <c r="D49">
        <v>14.848730125254001</v>
      </c>
      <c r="E49">
        <v>2.2094502173740298</v>
      </c>
      <c r="F49" s="3"/>
      <c r="G49">
        <v>144.968682671876</v>
      </c>
      <c r="H49">
        <v>98.645453334627604</v>
      </c>
      <c r="I49">
        <v>193.62744083331199</v>
      </c>
      <c r="K49" s="20">
        <v>2021</v>
      </c>
      <c r="L49" s="56">
        <v>1710</v>
      </c>
      <c r="M49" s="59">
        <f t="shared" si="28"/>
        <v>0.51656657430391151</v>
      </c>
      <c r="N49" s="52">
        <f t="shared" si="19"/>
        <v>5.2164797144424936E-2</v>
      </c>
      <c r="O49" s="22">
        <f t="shared" ref="O49:O50" si="35">L49*M49</f>
        <v>883.32884205968867</v>
      </c>
      <c r="P49" s="22">
        <f t="shared" ref="P49:P50" si="36">SQRT(L49^2*N49^2)</f>
        <v>89.201803116966644</v>
      </c>
      <c r="Q49" s="15">
        <f>P49/O49</f>
        <v>0.10098368678755207</v>
      </c>
      <c r="S49" s="28">
        <v>2021</v>
      </c>
      <c r="T49" s="44">
        <v>1022</v>
      </c>
      <c r="U49" s="44">
        <f t="shared" si="18"/>
        <v>51.1</v>
      </c>
      <c r="V49" s="21">
        <f t="shared" si="21"/>
        <v>0.61074344530524804</v>
      </c>
      <c r="W49" s="52">
        <f t="shared" si="22"/>
        <v>7.3659157462274485E-2</v>
      </c>
      <c r="X49" s="27">
        <f t="shared" ref="X49" si="37">T49*V49</f>
        <v>624.17980110196345</v>
      </c>
      <c r="Y49" s="22">
        <f t="shared" ref="Y49" si="38">SQRT(T49^2*W49^2+V49^2*U49^2-U49^2*W49^2)</f>
        <v>81.405531388971539</v>
      </c>
      <c r="Z49" s="15">
        <f t="shared" ref="Z49" si="39">Y49/X49</f>
        <v>0.13042000277044125</v>
      </c>
      <c r="AB49" s="20">
        <v>2021</v>
      </c>
      <c r="AC49" s="22">
        <f t="shared" si="24"/>
        <v>1507.5086431616521</v>
      </c>
      <c r="AD49" s="17">
        <f t="shared" si="25"/>
        <v>120.7634970512154</v>
      </c>
      <c r="AE49" s="15">
        <f>AD49/AC49</f>
        <v>8.0107996460930253E-2</v>
      </c>
      <c r="AF49" s="60">
        <v>9.5000000000000001E-2</v>
      </c>
      <c r="AG49" s="14">
        <f>AC49*(1-AF49)</f>
        <v>1364.2953220612951</v>
      </c>
      <c r="AH49" s="58">
        <v>0.15</v>
      </c>
      <c r="AI49" t="s">
        <v>40</v>
      </c>
    </row>
    <row r="50" spans="1:35" x14ac:dyDescent="0.25">
      <c r="A50" s="10" t="s">
        <v>18</v>
      </c>
      <c r="B50">
        <v>16.9219820272248</v>
      </c>
      <c r="C50">
        <v>12.5111661789322</v>
      </c>
      <c r="D50">
        <v>21.8158722989109</v>
      </c>
      <c r="E50">
        <v>2.8293732856014899</v>
      </c>
      <c r="F50" s="3"/>
      <c r="G50">
        <v>220.66264563501201</v>
      </c>
      <c r="H50">
        <v>163.14560697327599</v>
      </c>
      <c r="I50">
        <v>284.47897477779799</v>
      </c>
      <c r="K50" s="20">
        <v>2022</v>
      </c>
      <c r="L50" s="56">
        <v>1324</v>
      </c>
      <c r="M50" s="59">
        <f t="shared" si="28"/>
        <v>0.51656657430391151</v>
      </c>
      <c r="N50" s="52">
        <f t="shared" si="19"/>
        <v>5.2164797144424936E-2</v>
      </c>
      <c r="O50" s="22">
        <f t="shared" si="35"/>
        <v>683.93414437837885</v>
      </c>
      <c r="P50" s="22">
        <f t="shared" si="36"/>
        <v>69.066191419218612</v>
      </c>
      <c r="Q50" s="15">
        <f>P50/O50</f>
        <v>0.10098368678755205</v>
      </c>
      <c r="S50" s="28">
        <v>2022</v>
      </c>
      <c r="T50" s="44">
        <v>1022</v>
      </c>
      <c r="U50" s="44">
        <f t="shared" si="18"/>
        <v>51.1</v>
      </c>
      <c r="V50" s="21">
        <f t="shared" si="21"/>
        <v>0.61074344530524804</v>
      </c>
      <c r="W50" s="52">
        <f t="shared" si="22"/>
        <v>7.3659157462274485E-2</v>
      </c>
      <c r="X50" s="27">
        <f t="shared" ref="X50" si="40">T50*V50</f>
        <v>624.17980110196345</v>
      </c>
      <c r="Y50" s="22">
        <f t="shared" ref="Y50" si="41">SQRT(T50^2*W50^2+V50^2*U50^2-U50^2*W50^2)</f>
        <v>81.405531388971539</v>
      </c>
      <c r="Z50" s="15">
        <f t="shared" ref="Z50" si="42">Y50/X50</f>
        <v>0.13042000277044125</v>
      </c>
      <c r="AB50" s="20">
        <v>2022</v>
      </c>
      <c r="AC50" s="22">
        <f t="shared" si="24"/>
        <v>1308.1139454803424</v>
      </c>
      <c r="AD50" s="17">
        <f t="shared" si="25"/>
        <v>106.75672970767218</v>
      </c>
      <c r="AE50" s="15">
        <f>AD50/AC50</f>
        <v>8.1611185383755586E-2</v>
      </c>
      <c r="AF50" s="52">
        <f>AVERAGE($AF$42:$AF$45)</f>
        <v>0.15166255389843397</v>
      </c>
      <c r="AG50" s="14">
        <f>AC50*(1-AF50)</f>
        <v>1109.7220437186368</v>
      </c>
      <c r="AH50" s="58">
        <v>0.15</v>
      </c>
      <c r="AI50" t="s">
        <v>41</v>
      </c>
    </row>
    <row r="51" spans="1:35" x14ac:dyDescent="0.25">
      <c r="A51" s="10" t="s">
        <v>19</v>
      </c>
      <c r="B51">
        <v>15.665388932394601</v>
      </c>
      <c r="C51">
        <v>11.6238095798295</v>
      </c>
      <c r="D51">
        <v>19.972464148809799</v>
      </c>
      <c r="E51">
        <v>2.5530179918463101</v>
      </c>
      <c r="F51" s="3"/>
      <c r="G51">
        <v>204.276671678426</v>
      </c>
      <c r="H51">
        <v>151.57447692097699</v>
      </c>
      <c r="I51">
        <v>260.44093250048098</v>
      </c>
      <c r="K51" s="20">
        <v>2023</v>
      </c>
      <c r="L51" s="56">
        <v>263</v>
      </c>
      <c r="M51" s="59">
        <f t="shared" si="28"/>
        <v>0.51656657430391151</v>
      </c>
      <c r="N51" s="52">
        <f t="shared" si="19"/>
        <v>5.2164797144424936E-2</v>
      </c>
      <c r="O51" s="22">
        <f t="shared" ref="O51" si="43">L51*M51</f>
        <v>135.85700904192873</v>
      </c>
      <c r="P51" s="22">
        <f t="shared" ref="P51" si="44">SQRT(L51^2*N51^2)</f>
        <v>13.719341648983759</v>
      </c>
      <c r="Q51" s="15">
        <f>P51/O51</f>
        <v>0.10098368678755205</v>
      </c>
      <c r="S51" s="28">
        <v>2023</v>
      </c>
      <c r="T51" s="44">
        <v>1498</v>
      </c>
      <c r="U51" s="44">
        <f t="shared" si="18"/>
        <v>74.900000000000006</v>
      </c>
      <c r="V51" s="21">
        <f t="shared" si="21"/>
        <v>0.61074344530524804</v>
      </c>
      <c r="W51" s="52">
        <f t="shared" si="22"/>
        <v>7.3659157462274485E-2</v>
      </c>
      <c r="X51" s="27">
        <f t="shared" ref="X51" si="45">T51*V51</f>
        <v>914.89368106726158</v>
      </c>
      <c r="Y51" s="22">
        <f t="shared" ref="Y51" si="46">SQRT(T51^2*W51^2+V51^2*U51^2-U51^2*W51^2)</f>
        <v>119.32043641945144</v>
      </c>
      <c r="Z51" s="15">
        <f t="shared" ref="Z51" si="47">Y51/X51</f>
        <v>0.13042000277044125</v>
      </c>
      <c r="AB51" s="20">
        <v>2023</v>
      </c>
      <c r="AC51" s="22">
        <f t="shared" si="24"/>
        <v>1050.7506901091904</v>
      </c>
      <c r="AD51" s="17">
        <f t="shared" si="25"/>
        <v>120.10656469406612</v>
      </c>
      <c r="AE51" s="15">
        <f>AD51/AC51</f>
        <v>0.1143054825703565</v>
      </c>
      <c r="AF51" s="52">
        <f t="shared" ref="AF51:AF52" si="48">AVERAGE($AF$42:$AF$45)</f>
        <v>0.15166255389843397</v>
      </c>
      <c r="AG51" s="14">
        <f>AC51*(1-AF51)</f>
        <v>891.39115693668862</v>
      </c>
      <c r="AH51" s="58">
        <v>0.15</v>
      </c>
      <c r="AI51" t="s">
        <v>42</v>
      </c>
    </row>
    <row r="52" spans="1:35" x14ac:dyDescent="0.25">
      <c r="A52" s="11" t="s">
        <v>8</v>
      </c>
      <c r="B52">
        <v>0.81918597422941697</v>
      </c>
      <c r="C52">
        <v>9.8338861887564605E-2</v>
      </c>
      <c r="D52">
        <v>1.8923294173187299</v>
      </c>
      <c r="E52">
        <v>0.59072724033187196</v>
      </c>
      <c r="F52" s="3"/>
      <c r="G52">
        <v>10.6821851039516</v>
      </c>
      <c r="H52">
        <v>1.28233875901384</v>
      </c>
      <c r="I52">
        <v>24.6759756018362</v>
      </c>
      <c r="K52" s="20">
        <v>2024</v>
      </c>
      <c r="L52" s="56">
        <v>4</v>
      </c>
      <c r="M52" s="59">
        <f t="shared" si="28"/>
        <v>0.51656657430391151</v>
      </c>
      <c r="N52" s="52">
        <f t="shared" si="19"/>
        <v>5.2164797144424936E-2</v>
      </c>
      <c r="O52" s="22">
        <f t="shared" ref="O52" si="49">L52*M52</f>
        <v>2.066266297215646</v>
      </c>
      <c r="P52" s="22">
        <f t="shared" ref="P52" si="50">SQRT(L52^2*N52^2)</f>
        <v>0.20865918857769974</v>
      </c>
      <c r="Q52" s="15">
        <f>P52/O52</f>
        <v>0.10098368678755205</v>
      </c>
      <c r="S52" s="28">
        <v>2024</v>
      </c>
      <c r="T52" s="44">
        <v>1180</v>
      </c>
      <c r="U52" s="44">
        <f t="shared" si="18"/>
        <v>59</v>
      </c>
      <c r="V52" s="21">
        <f t="shared" si="21"/>
        <v>0.61074344530524804</v>
      </c>
      <c r="W52" s="52">
        <f t="shared" si="22"/>
        <v>7.3659157462274485E-2</v>
      </c>
      <c r="X52" s="27">
        <f t="shared" ref="X52" si="51">T52*V52</f>
        <v>720.67726546019264</v>
      </c>
      <c r="Y52" s="22">
        <f t="shared" ref="Y52" si="52">SQRT(T52^2*W52^2+V52^2*U52^2-U52^2*W52^2)</f>
        <v>93.990730957912348</v>
      </c>
      <c r="Z52" s="15">
        <f t="shared" ref="Z52" si="53">Y52/X52</f>
        <v>0.13042000277044125</v>
      </c>
      <c r="AB52" s="20">
        <v>2024</v>
      </c>
      <c r="AC52" s="22">
        <f>O52+X52</f>
        <v>722.74353175740828</v>
      </c>
      <c r="AD52" s="17">
        <f t="shared" ref="AD52" si="54">SQRT(SUMSQ(P52,Y52))</f>
        <v>93.990962569066397</v>
      </c>
      <c r="AE52" s="15">
        <f>AD52/AC52</f>
        <v>0.13004746281232005</v>
      </c>
      <c r="AF52" s="52">
        <f t="shared" si="48"/>
        <v>0.15166255389843397</v>
      </c>
      <c r="AG52" s="14">
        <f>AC52*(1-AF52)</f>
        <v>613.13040191750576</v>
      </c>
      <c r="AH52" s="58">
        <v>1.1499999999999999</v>
      </c>
      <c r="AI52" t="s">
        <v>43</v>
      </c>
    </row>
    <row r="53" spans="1:35" x14ac:dyDescent="0.25">
      <c r="A53" s="3" t="s">
        <v>9</v>
      </c>
      <c r="B53" s="3"/>
      <c r="C53" s="3"/>
      <c r="D53" s="3"/>
      <c r="E53" s="3"/>
      <c r="F53" s="3"/>
      <c r="G53" s="12">
        <f>SUM(G47:G52)</f>
        <v>1303.9999999999966</v>
      </c>
      <c r="H53" s="3"/>
      <c r="I53" s="3"/>
      <c r="S53" t="s">
        <v>34</v>
      </c>
    </row>
    <row r="54" spans="1:35" x14ac:dyDescent="0.25">
      <c r="A54" s="3" t="s">
        <v>20</v>
      </c>
      <c r="B54" s="3"/>
      <c r="C54" s="3"/>
      <c r="D54" s="3"/>
      <c r="E54" s="3"/>
      <c r="F54" s="3"/>
      <c r="G54" s="9">
        <v>0</v>
      </c>
      <c r="H54" s="3"/>
      <c r="I54" s="3"/>
    </row>
    <row r="55" spans="1:35" x14ac:dyDescent="0.25">
      <c r="A55" s="6" t="s">
        <v>10</v>
      </c>
      <c r="B55" s="6"/>
      <c r="C55" s="6"/>
      <c r="D55" s="6"/>
      <c r="E55" s="6"/>
      <c r="F55" s="6"/>
      <c r="G55" s="13">
        <f>SUM(G53:G54)</f>
        <v>1303.9999999999966</v>
      </c>
      <c r="H55" s="6"/>
      <c r="I55" s="6"/>
    </row>
    <row r="63" spans="1:35" x14ac:dyDescent="0.25">
      <c r="J63" s="17"/>
    </row>
    <row r="64" spans="1:35" x14ac:dyDescent="0.25">
      <c r="J64" s="17"/>
    </row>
  </sheetData>
  <mergeCells count="16">
    <mergeCell ref="B17:E17"/>
    <mergeCell ref="G17:I17"/>
    <mergeCell ref="C18:D18"/>
    <mergeCell ref="H18:I18"/>
    <mergeCell ref="B4:E4"/>
    <mergeCell ref="G4:I4"/>
    <mergeCell ref="C5:D5"/>
    <mergeCell ref="H5:I5"/>
    <mergeCell ref="B44:E44"/>
    <mergeCell ref="G44:I44"/>
    <mergeCell ref="C45:D45"/>
    <mergeCell ref="H45:I45"/>
    <mergeCell ref="B31:E31"/>
    <mergeCell ref="G31:I31"/>
    <mergeCell ref="C32:D32"/>
    <mergeCell ref="H32:I32"/>
  </mergeCells>
  <conditionalFormatting sqref="K4:N4 P4:Q4 S45:S52">
    <cfRule type="cellIs" dxfId="3" priority="5" operator="equal">
      <formula>0</formula>
    </cfRule>
  </conditionalFormatting>
  <conditionalFormatting sqref="S4:U44 T45:U45">
    <cfRule type="cellIs" dxfId="2" priority="1" operator="equal">
      <formula>0</formula>
    </cfRule>
  </conditionalFormatting>
  <conditionalFormatting sqref="V4:W4 Y4:Z4">
    <cfRule type="cellIs" dxfId="1" priority="3" operator="equal">
      <formula>0</formula>
    </cfRule>
  </conditionalFormatting>
  <conditionalFormatting sqref="AD4:AE4"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Decovich, Nick A (DFG)</dc:creator>
  <cp:lastModifiedBy>Reimer, Adam M (DFG)</cp:lastModifiedBy>
  <dcterms:created xsi:type="dcterms:W3CDTF">2018-08-22T21:50:14Z</dcterms:created>
  <dcterms:modified xsi:type="dcterms:W3CDTF">2025-02-05T22:37:26Z</dcterms:modified>
</cp:coreProperties>
</file>