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3.xml" ContentType="application/vnd.openxmlformats-officedocument.drawing+xml"/>
  <Override PartName="/xl/charts/chart5.xml" ContentType="application/vnd.openxmlformats-officedocument.drawingml.chart+xml"/>
  <Override PartName="/xl/drawings/drawing4.xml" ContentType="application/vnd.openxmlformats-officedocument.drawing+xml"/>
  <Override PartName="/xl/comments2.xml" ContentType="application/vnd.openxmlformats-officedocument.spreadsheetml.comments+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905" yWindow="150" windowWidth="21570" windowHeight="8610"/>
  </bookViews>
  <sheets>
    <sheet name="brood (2017)" sheetId="9" r:id="rId1"/>
    <sheet name="1.2 forecast" sheetId="3" r:id="rId2"/>
    <sheet name="1.3 forecast" sheetId="5" r:id="rId3"/>
    <sheet name="1.4 forecast" sheetId="7" r:id="rId4"/>
    <sheet name="Summary" sheetId="4" r:id="rId5"/>
  </sheets>
  <externalReferences>
    <externalReference r:id="rId6"/>
    <externalReference r:id="rId7"/>
    <externalReference r:id="rId8"/>
    <externalReference r:id="rId9"/>
    <externalReference r:id="rId10"/>
  </externalReferences>
  <definedNames>
    <definedName name="broodtable">'[1]Willow RPS wild'!$AF$45:$AJ$67</definedName>
    <definedName name="deshkaplots">[2]eastdata!$BE$8:$BN$55</definedName>
    <definedName name="esc" localSheetId="2">#REF!</definedName>
    <definedName name="esc" localSheetId="3">#REF!</definedName>
    <definedName name="esc" localSheetId="0">#REF!</definedName>
    <definedName name="esc">#REF!</definedName>
    <definedName name="Exploitation">'[1]Willow RPS wild'!$J$47:$J$79</definedName>
    <definedName name="hi" localSheetId="2">#REF!</definedName>
    <definedName name="hi" localSheetId="3">#REF!</definedName>
    <definedName name="hi" localSheetId="0">#REF!</definedName>
    <definedName name="hi">#REF!</definedName>
    <definedName name="LittleSU34">'[3]S-R analysis age 3 and 4.'!$A$6:$I$46</definedName>
    <definedName name="LittleSU5050">'[3]S-R analysis 50 50 '!$A$6:$I$58</definedName>
    <definedName name="low" localSheetId="2">#REF!</definedName>
    <definedName name="low" localSheetId="3">#REF!</definedName>
    <definedName name="low" localSheetId="0">#REF!</definedName>
    <definedName name="low">#REF!</definedName>
    <definedName name="LS34data">'[3]S-R analysis age 3 and 4.'!$A$6:$I$44</definedName>
    <definedName name="LS34SRgraph">'[3]S-R analysis age 3 and 4.'!$K$5:$T$25</definedName>
    <definedName name="LS4data">'[3]S-R analysis age 4 only return'!$A$6:$K$43</definedName>
    <definedName name="LS4SRgraph">'[3]S-R analysis age 4 only return'!$L$5:$U$25</definedName>
    <definedName name="LSBroodtables">'[3]Harvest and Total Run'!$AJ$7:$BH$29</definedName>
    <definedName name="LScohoEscapement">'[3]Escapement Data'!$A$6:$V$42</definedName>
    <definedName name="max_1">'[4]all yields'!$L$18</definedName>
    <definedName name="max_2">'[4]all yields'!$L$22</definedName>
    <definedName name="max_3">'[4]all yields'!$L$25</definedName>
    <definedName name="mid" localSheetId="2">#REF!</definedName>
    <definedName name="mid" localSheetId="3">#REF!</definedName>
    <definedName name="mid" localSheetId="0">#REF!</definedName>
    <definedName name="mid">#REF!</definedName>
    <definedName name="min_1">'[4]all yields'!$L$17</definedName>
    <definedName name="min_2">'[4]all yields'!$L$21</definedName>
    <definedName name="min_3">'[4]all yields'!$L$24</definedName>
    <definedName name="rps">'[5]T8-brood table'!$L$13,'[5]T8-brood table'!$L$16,'[5]T8-brood table'!$L$19,'[5]T8-brood table'!$L$22,'[5]T8-brood table'!$L$25,'[5]T8-brood table'!$L$28,'[5]T8-brood table'!$L$31,'[5]T8-brood table'!$L$34,'[5]T8-brood table'!$L$37,'[5]T8-brood table'!$L$40,'[5]T8-brood table'!$L$43</definedName>
    <definedName name="summarymodels">'[3]S-R model summary'!$A$6:$S$39</definedName>
    <definedName name="Table.24">'[3]Harvest and Total Run'!$AT$7:$BA$38</definedName>
    <definedName name="Table.28">'[3]Harvest and Total Run'!$AT$53:$BA$83</definedName>
    <definedName name="Table.32">'[3]Harvest and Total Run'!$AT$97:$BA$127</definedName>
    <definedName name="Table_1.">'[3]Escapement Data'!$A$6:$V$43</definedName>
    <definedName name="Table_2.">'[3]Harvest and Total Run'!$A$6:$AG$44</definedName>
    <definedName name="Table_23">'[3]Harvest and Total Run'!$AJ$7:$AR$34</definedName>
    <definedName name="Table_25.">'[3]Harvest and Total Run'!$BB$7:$BH$38</definedName>
    <definedName name="Table_26.">'[3]Harvest and Total Run'!$A$52:$AG$94</definedName>
    <definedName name="Table_27">'[3]Harvest and Total Run'!$AJ$53:$AR$83</definedName>
    <definedName name="Table_29.">'[3]Harvest and Total Run'!$BB$53:$BI$83</definedName>
    <definedName name="Table_30.">'[3]Harvest and Total Run'!$A$96:$AG$135</definedName>
    <definedName name="Table_31.">'[3]Harvest and Total Run'!$AJ$97:$AR$128</definedName>
    <definedName name="Table_33.">'[3]Harvest and Total Run'!$BB$97:$BI$127</definedName>
    <definedName name="table22">'[3]Harvest and Total Run'!$A$6:$AG$44</definedName>
  </definedNames>
  <calcPr calcId="145621" concurrentCalc="0"/>
  <fileRecoveryPr repairLoad="1"/>
</workbook>
</file>

<file path=xl/calcChain.xml><?xml version="1.0" encoding="utf-8"?>
<calcChain xmlns="http://schemas.openxmlformats.org/spreadsheetml/2006/main">
  <c r="G54" i="3" l="1"/>
  <c r="G55" i="3"/>
  <c r="G53" i="3"/>
  <c r="G52" i="3"/>
  <c r="G51" i="3"/>
  <c r="M55" i="3"/>
  <c r="J54" i="4"/>
  <c r="P5" i="4" a="1"/>
  <c r="P5" i="4"/>
  <c r="P6" i="4" a="1"/>
  <c r="P6" i="4"/>
  <c r="L47" i="3" a="1"/>
  <c r="L47" i="3"/>
  <c r="J47" i="3"/>
  <c r="G40" i="3"/>
  <c r="G47" i="3"/>
  <c r="D48" i="3"/>
  <c r="L54" i="3" a="1"/>
  <c r="L54" i="3"/>
  <c r="L55" i="3" a="1"/>
  <c r="L55" i="3"/>
  <c r="H55" i="3"/>
  <c r="I55" i="3"/>
  <c r="G58" i="3"/>
  <c r="G66" i="3"/>
  <c r="G65" i="3"/>
  <c r="G59" i="3"/>
  <c r="G60" i="3"/>
  <c r="G61" i="3"/>
  <c r="G62" i="3"/>
  <c r="G63" i="3"/>
  <c r="G64" i="3"/>
  <c r="G50" i="3"/>
  <c r="G49" i="3"/>
  <c r="G48" i="3"/>
  <c r="S13" i="4" a="1"/>
  <c r="Q5" i="4" a="1"/>
  <c r="C55" i="3"/>
  <c r="C47" i="3"/>
  <c r="K54" i="4"/>
  <c r="Q50" i="4"/>
  <c r="Q50" i="4" a="1"/>
  <c r="Q49" i="4"/>
  <c r="Q49" i="4" a="1"/>
  <c r="Q48" i="4" a="1"/>
  <c r="Q48" i="4"/>
  <c r="Q47" i="4" a="1"/>
  <c r="Q47" i="4"/>
  <c r="Q46" i="4"/>
  <c r="Q46" i="4" a="1"/>
  <c r="Q45" i="4"/>
  <c r="Q45" i="4" a="1"/>
  <c r="Q44" i="4" a="1"/>
  <c r="Q44" i="4"/>
  <c r="Q43" i="4" a="1"/>
  <c r="Q43" i="4"/>
  <c r="Q42" i="4" a="1"/>
  <c r="Q42" i="4"/>
  <c r="Q41" i="4"/>
  <c r="Q41" i="4" a="1"/>
  <c r="Q40" i="4" a="1"/>
  <c r="Q40" i="4"/>
  <c r="Q39" i="4" a="1"/>
  <c r="Q39" i="4"/>
  <c r="Q38" i="4" a="1"/>
  <c r="Q38" i="4"/>
  <c r="Q37" i="4"/>
  <c r="Q37" i="4" a="1"/>
  <c r="Q36" i="4" a="1"/>
  <c r="Q36" i="4"/>
  <c r="Q35" i="4" a="1"/>
  <c r="Q35" i="4"/>
  <c r="P50" i="4"/>
  <c r="P50" i="4" a="1"/>
  <c r="P49" i="4" a="1"/>
  <c r="P49" i="4"/>
  <c r="P48" i="4" a="1"/>
  <c r="P48" i="4"/>
  <c r="P47" i="4" a="1"/>
  <c r="P47" i="4"/>
  <c r="P46" i="4" a="1"/>
  <c r="P46" i="4"/>
  <c r="P45" i="4" a="1"/>
  <c r="P45" i="4"/>
  <c r="P44" i="4" a="1"/>
  <c r="P44" i="4"/>
  <c r="P43" i="4" a="1"/>
  <c r="P43" i="4"/>
  <c r="P42" i="4" a="1"/>
  <c r="P42" i="4"/>
  <c r="P41" i="4" a="1"/>
  <c r="P41" i="4"/>
  <c r="P40" i="4" a="1"/>
  <c r="P40" i="4"/>
  <c r="P39" i="4" a="1"/>
  <c r="P39" i="4"/>
  <c r="P38" i="4" a="1"/>
  <c r="P38" i="4"/>
  <c r="P37" i="4" a="1"/>
  <c r="P37" i="4"/>
  <c r="P36" i="4" a="1"/>
  <c r="P36" i="4"/>
  <c r="P35" i="4" a="1"/>
  <c r="P35" i="4"/>
  <c r="Q31" i="4" a="1"/>
  <c r="Q31" i="4"/>
  <c r="Q30" i="4" a="1"/>
  <c r="Q30" i="4"/>
  <c r="Q29" i="4" a="1"/>
  <c r="Q29" i="4"/>
  <c r="Q28" i="4" a="1"/>
  <c r="Q28" i="4"/>
  <c r="Q27" i="4" a="1"/>
  <c r="Q27" i="4"/>
  <c r="Q26" i="4" a="1"/>
  <c r="Q26" i="4"/>
  <c r="Q25" i="4" a="1"/>
  <c r="Q25" i="4"/>
  <c r="Q24" i="4" a="1"/>
  <c r="Q24" i="4"/>
  <c r="Q23" i="4" a="1"/>
  <c r="Q23" i="4"/>
  <c r="Q22" i="4" a="1"/>
  <c r="Q22" i="4"/>
  <c r="Q21" i="4" a="1"/>
  <c r="Q21" i="4"/>
  <c r="Q20" i="4" a="1"/>
  <c r="Q20" i="4"/>
  <c r="Q19" i="4" a="1"/>
  <c r="Q19" i="4"/>
  <c r="P31" i="4"/>
  <c r="P31" i="4" a="1"/>
  <c r="P30" i="4" a="1"/>
  <c r="P30" i="4"/>
  <c r="P29" i="4"/>
  <c r="P29" i="4" a="1"/>
  <c r="P28" i="4" a="1"/>
  <c r="P28" i="4"/>
  <c r="P27" i="4"/>
  <c r="P27" i="4" a="1"/>
  <c r="P26" i="4" a="1"/>
  <c r="P26" i="4"/>
  <c r="P25" i="4"/>
  <c r="P25" i="4" a="1"/>
  <c r="P24" i="4" a="1"/>
  <c r="P24" i="4"/>
  <c r="P23" i="4"/>
  <c r="P23" i="4" a="1"/>
  <c r="P22" i="4" a="1"/>
  <c r="P22" i="4"/>
  <c r="P21" i="4"/>
  <c r="P21" i="4" a="1"/>
  <c r="P20" i="4" a="1"/>
  <c r="P20" i="4"/>
  <c r="P19" i="4"/>
  <c r="P19" i="4" a="1"/>
  <c r="Q18" i="4" a="1"/>
  <c r="Q18" i="4"/>
  <c r="P18" i="4" a="1"/>
  <c r="P18" i="4"/>
  <c r="Q14" i="4" a="1"/>
  <c r="Q13" i="4" a="1"/>
  <c r="Q12" i="4" a="1"/>
  <c r="Q11" i="4" a="1"/>
  <c r="Q10" i="4" a="1"/>
  <c r="Q9" i="4" a="1"/>
  <c r="Q8" i="4" a="1"/>
  <c r="Q7" i="4" a="1"/>
  <c r="Q6" i="4" a="1"/>
  <c r="P14" i="4" a="1"/>
  <c r="P13" i="4" a="1"/>
  <c r="P12" i="4" a="1"/>
  <c r="P11" i="4" a="1"/>
  <c r="P10" i="4" a="1"/>
  <c r="P9" i="4" a="1"/>
  <c r="P8" i="4" a="1"/>
  <c r="P7" i="4" a="1"/>
  <c r="AD36" i="4"/>
  <c r="AD35" i="4"/>
  <c r="AD19" i="4"/>
  <c r="AD18" i="4"/>
  <c r="AD6" i="4"/>
  <c r="AD5" i="4"/>
  <c r="J49" i="4"/>
  <c r="J48" i="4"/>
  <c r="J43" i="4"/>
  <c r="J42" i="4"/>
  <c r="J41" i="4"/>
  <c r="J40" i="4"/>
  <c r="J37" i="4"/>
  <c r="J36" i="4"/>
  <c r="J35" i="4"/>
  <c r="J31" i="4"/>
  <c r="J28" i="4"/>
  <c r="J27" i="4"/>
  <c r="J24" i="4"/>
  <c r="J23" i="4"/>
  <c r="J22" i="4"/>
  <c r="J21" i="4"/>
  <c r="J20" i="4"/>
  <c r="J18" i="4"/>
  <c r="J14" i="4"/>
  <c r="J13" i="4"/>
  <c r="J10" i="4"/>
  <c r="J9" i="4"/>
  <c r="J8" i="4"/>
  <c r="J5" i="4"/>
  <c r="I5" i="4"/>
  <c r="G44" i="9"/>
  <c r="L44" i="9"/>
  <c r="C50" i="7"/>
  <c r="D50" i="7"/>
  <c r="E50" i="7"/>
  <c r="F50" i="7"/>
  <c r="G50" i="7"/>
  <c r="H50" i="7"/>
  <c r="I50" i="7"/>
  <c r="L50" i="7" a="1"/>
  <c r="L50" i="7"/>
  <c r="K50" i="7" a="1"/>
  <c r="K50" i="7"/>
  <c r="I39" i="7"/>
  <c r="G39" i="7"/>
  <c r="F40" i="7"/>
  <c r="E39" i="7"/>
  <c r="F55" i="3"/>
  <c r="D55" i="3"/>
  <c r="I53" i="5"/>
  <c r="H53" i="5"/>
  <c r="G53" i="5"/>
  <c r="F53" i="5"/>
  <c r="E53" i="5"/>
  <c r="D53" i="5"/>
  <c r="P53" i="5" a="1"/>
  <c r="P53" i="5"/>
  <c r="O53" i="5" a="1"/>
  <c r="O53" i="5"/>
  <c r="C53" i="5"/>
  <c r="I40" i="5"/>
  <c r="G40" i="5"/>
  <c r="F41" i="5"/>
  <c r="E40" i="5"/>
  <c r="G41" i="3"/>
  <c r="F42" i="3"/>
  <c r="E41" i="3"/>
  <c r="M54" i="3" a="1"/>
  <c r="M54" i="3"/>
  <c r="AH50" i="4"/>
  <c r="AG45" i="4"/>
  <c r="AG44" i="4"/>
  <c r="AG47" i="4"/>
  <c r="AG46" i="4"/>
  <c r="I54" i="3"/>
  <c r="I12" i="4"/>
  <c r="I54" i="4"/>
  <c r="K48" i="7"/>
  <c r="I37" i="4"/>
  <c r="I47" i="3"/>
  <c r="B12" i="4"/>
  <c r="B54" i="4"/>
  <c r="K42" i="7"/>
  <c r="B37" i="4"/>
  <c r="I48" i="3"/>
  <c r="C12" i="4"/>
  <c r="C54" i="4"/>
  <c r="C57" i="4"/>
  <c r="K43" i="7"/>
  <c r="C37" i="4"/>
  <c r="I49" i="3"/>
  <c r="D12" i="4"/>
  <c r="D54" i="4"/>
  <c r="K44" i="7"/>
  <c r="D37" i="4"/>
  <c r="I50" i="3"/>
  <c r="E12" i="4"/>
  <c r="K45" i="7"/>
  <c r="E37" i="4"/>
  <c r="I51" i="3"/>
  <c r="F12" i="4"/>
  <c r="F54" i="4"/>
  <c r="K46" i="7"/>
  <c r="F37" i="4"/>
  <c r="K47" i="7"/>
  <c r="G37" i="4"/>
  <c r="I53" i="3"/>
  <c r="H12" i="4"/>
  <c r="H54" i="4"/>
  <c r="H37" i="4"/>
  <c r="B63" i="4"/>
  <c r="AC30" i="4"/>
  <c r="Z27" i="4"/>
  <c r="Z29" i="4"/>
  <c r="C49" i="7"/>
  <c r="I35" i="4"/>
  <c r="C48" i="7"/>
  <c r="H35" i="4"/>
  <c r="C47" i="7"/>
  <c r="G35" i="4"/>
  <c r="C46" i="7"/>
  <c r="F35" i="4"/>
  <c r="P47" i="7"/>
  <c r="Q47" i="7"/>
  <c r="P48" i="7"/>
  <c r="Q48" i="7"/>
  <c r="P49" i="7"/>
  <c r="Q49" i="7"/>
  <c r="J47" i="7"/>
  <c r="J48" i="7"/>
  <c r="J49" i="7"/>
  <c r="M47" i="7"/>
  <c r="M48" i="7"/>
  <c r="M49" i="7"/>
  <c r="P45" i="5" a="1"/>
  <c r="P45" i="5"/>
  <c r="O47" i="5" a="1"/>
  <c r="O47" i="5"/>
  <c r="O48" i="5" a="1"/>
  <c r="O48" i="5"/>
  <c r="O49" i="5" a="1"/>
  <c r="O49" i="5"/>
  <c r="O50" i="5" a="1"/>
  <c r="O50" i="5"/>
  <c r="O51" i="5" a="1"/>
  <c r="O51" i="5"/>
  <c r="O52" i="5" a="1"/>
  <c r="O52" i="5"/>
  <c r="O46" i="5" a="1"/>
  <c r="O46" i="5"/>
  <c r="O45" i="5" a="1"/>
  <c r="O45" i="5"/>
  <c r="G19" i="3"/>
  <c r="B13" i="4" a="1"/>
  <c r="B13" i="4"/>
  <c r="L48" i="3"/>
  <c r="M48" i="3" a="1"/>
  <c r="M48" i="3"/>
  <c r="M49" i="3" a="1"/>
  <c r="M49" i="3"/>
  <c r="M50" i="3" a="1"/>
  <c r="M50" i="3"/>
  <c r="M51" i="3" a="1"/>
  <c r="M51" i="3"/>
  <c r="M52" i="3" a="1"/>
  <c r="M52" i="3"/>
  <c r="M53" i="3" a="1"/>
  <c r="M53" i="3"/>
  <c r="M47" i="3" a="1"/>
  <c r="M47" i="3"/>
  <c r="L48" i="3" a="1"/>
  <c r="L49" i="3" a="1"/>
  <c r="L49" i="3"/>
  <c r="L50" i="3" a="1"/>
  <c r="L50" i="3"/>
  <c r="L51" i="3" a="1"/>
  <c r="L51" i="3"/>
  <c r="L52" i="3" a="1"/>
  <c r="L52" i="3"/>
  <c r="L53" i="3" a="1"/>
  <c r="L53" i="3"/>
  <c r="L43" i="7" a="1"/>
  <c r="L43" i="7"/>
  <c r="L44" i="7" a="1"/>
  <c r="L44" i="7"/>
  <c r="L45" i="7" a="1"/>
  <c r="L45" i="7"/>
  <c r="L46" i="7" a="1"/>
  <c r="L46" i="7"/>
  <c r="L47" i="7" a="1"/>
  <c r="L47" i="7"/>
  <c r="L48" i="7" a="1"/>
  <c r="L48" i="7"/>
  <c r="L49" i="7" a="1"/>
  <c r="L49" i="7"/>
  <c r="L42" i="7" a="1"/>
  <c r="L42" i="7"/>
  <c r="K43" i="7" a="1"/>
  <c r="K44" i="7" a="1"/>
  <c r="K45" i="7" a="1"/>
  <c r="K46" i="7" a="1"/>
  <c r="K47" i="7" a="1"/>
  <c r="K48" i="7" a="1"/>
  <c r="K49" i="7" a="1"/>
  <c r="K49" i="7"/>
  <c r="K42" i="7" a="1"/>
  <c r="C42" i="7"/>
  <c r="C43" i="7"/>
  <c r="C44" i="7"/>
  <c r="D35" i="4"/>
  <c r="C45" i="7"/>
  <c r="E35" i="4"/>
  <c r="C35" i="4"/>
  <c r="B35" i="4"/>
  <c r="C59" i="7" a="1"/>
  <c r="C59" i="7"/>
  <c r="C60" i="7" a="1"/>
  <c r="C60" i="7"/>
  <c r="C58" i="7" a="1"/>
  <c r="C58" i="7"/>
  <c r="C54" i="7" a="1"/>
  <c r="C54" i="7"/>
  <c r="C55" i="7" a="1"/>
  <c r="C55" i="7"/>
  <c r="C56" i="7" a="1"/>
  <c r="C56" i="7"/>
  <c r="C57" i="7" a="1"/>
  <c r="C57" i="7"/>
  <c r="P52" i="5" a="1"/>
  <c r="P52" i="5"/>
  <c r="P46" i="5" a="1"/>
  <c r="P46" i="5"/>
  <c r="P47" i="5" a="1"/>
  <c r="P47" i="5"/>
  <c r="P48" i="5" a="1"/>
  <c r="P48" i="5"/>
  <c r="P49" i="5" a="1"/>
  <c r="P49" i="5"/>
  <c r="P50" i="5" a="1"/>
  <c r="P50" i="5"/>
  <c r="P51" i="5" a="1"/>
  <c r="P51" i="5"/>
  <c r="C45" i="5"/>
  <c r="L51" i="5"/>
  <c r="L52" i="5"/>
  <c r="K51" i="5"/>
  <c r="K52" i="5"/>
  <c r="J51" i="5"/>
  <c r="J52" i="5"/>
  <c r="M45" i="5"/>
  <c r="M46" i="5"/>
  <c r="M47" i="5"/>
  <c r="M48" i="5"/>
  <c r="M49" i="5"/>
  <c r="M50" i="5"/>
  <c r="M51" i="5"/>
  <c r="M52" i="5"/>
  <c r="N51" i="5"/>
  <c r="N52" i="5"/>
  <c r="J45" i="5"/>
  <c r="I2" i="5"/>
  <c r="G2" i="5"/>
  <c r="W6" i="4"/>
  <c r="D51" i="3"/>
  <c r="C48" i="3"/>
  <c r="K53" i="3"/>
  <c r="K54" i="3"/>
  <c r="J53" i="3"/>
  <c r="J54" i="3"/>
  <c r="H53" i="3"/>
  <c r="H11" i="4"/>
  <c r="H54" i="3"/>
  <c r="H52" i="3"/>
  <c r="H51" i="3"/>
  <c r="F11" i="4"/>
  <c r="G36" i="3"/>
  <c r="D52" i="3"/>
  <c r="K52" i="3"/>
  <c r="J52" i="3"/>
  <c r="I52" i="3"/>
  <c r="G12" i="4"/>
  <c r="G54" i="4"/>
  <c r="I50" i="4"/>
  <c r="H50" i="4"/>
  <c r="I47" i="4"/>
  <c r="H47" i="4"/>
  <c r="I46" i="4"/>
  <c r="H46" i="4"/>
  <c r="G46" i="4"/>
  <c r="F46" i="4"/>
  <c r="I45" i="4"/>
  <c r="H45" i="4"/>
  <c r="I44" i="4"/>
  <c r="H44" i="4"/>
  <c r="G44" i="4"/>
  <c r="F44" i="4"/>
  <c r="I39" i="4"/>
  <c r="H39" i="4"/>
  <c r="I38" i="4"/>
  <c r="H38" i="4"/>
  <c r="G38" i="4"/>
  <c r="F38" i="4"/>
  <c r="I36" i="4"/>
  <c r="H36" i="4"/>
  <c r="G36" i="4"/>
  <c r="F36" i="4"/>
  <c r="I30" i="4"/>
  <c r="H30" i="4"/>
  <c r="I29" i="4"/>
  <c r="H29" i="4"/>
  <c r="I26" i="4"/>
  <c r="H26" i="4"/>
  <c r="I25" i="4"/>
  <c r="H25" i="4"/>
  <c r="I20" i="4"/>
  <c r="H20" i="4"/>
  <c r="G20" i="4"/>
  <c r="I19" i="4"/>
  <c r="H19" i="4"/>
  <c r="AC36" i="4"/>
  <c r="AB36" i="4"/>
  <c r="AC35" i="4"/>
  <c r="AB35" i="4"/>
  <c r="AC19" i="4"/>
  <c r="AB19" i="4"/>
  <c r="AC18" i="4"/>
  <c r="AB18" i="4"/>
  <c r="AC6" i="4"/>
  <c r="AB6" i="4"/>
  <c r="AC5" i="4"/>
  <c r="H56" i="4"/>
  <c r="AB5" i="4"/>
  <c r="I11" i="4"/>
  <c r="G11" i="4"/>
  <c r="I7" i="4"/>
  <c r="G8" i="4"/>
  <c r="H7" i="4"/>
  <c r="G7" i="4"/>
  <c r="I6" i="4"/>
  <c r="H6" i="4"/>
  <c r="G6" i="4"/>
  <c r="Q6" i="4"/>
  <c r="D47" i="3"/>
  <c r="B8" i="4"/>
  <c r="F8" i="4"/>
  <c r="C54" i="3"/>
  <c r="C53" i="3"/>
  <c r="H5" i="4"/>
  <c r="E49" i="7"/>
  <c r="I41" i="4"/>
  <c r="E48" i="7"/>
  <c r="H41" i="4"/>
  <c r="E47" i="7"/>
  <c r="G41" i="4"/>
  <c r="E46" i="7"/>
  <c r="F41" i="4"/>
  <c r="E45" i="7"/>
  <c r="E44" i="7"/>
  <c r="E43" i="7"/>
  <c r="E42" i="7"/>
  <c r="D49" i="7"/>
  <c r="I40" i="4"/>
  <c r="D48" i="7"/>
  <c r="H40" i="4"/>
  <c r="D47" i="7"/>
  <c r="G40" i="4"/>
  <c r="D46" i="7"/>
  <c r="F40" i="4"/>
  <c r="D45" i="7"/>
  <c r="D44" i="7"/>
  <c r="D43" i="7"/>
  <c r="D42" i="7"/>
  <c r="I38" i="7"/>
  <c r="I37" i="7"/>
  <c r="I36" i="7"/>
  <c r="G38" i="7"/>
  <c r="G37" i="7"/>
  <c r="E38" i="7"/>
  <c r="E37" i="7"/>
  <c r="F39" i="7"/>
  <c r="F38" i="7"/>
  <c r="C52" i="5"/>
  <c r="I18" i="4"/>
  <c r="C51" i="5"/>
  <c r="H18" i="4"/>
  <c r="C50" i="5"/>
  <c r="G18" i="4"/>
  <c r="E52" i="5"/>
  <c r="I22" i="4"/>
  <c r="E51" i="5"/>
  <c r="H22" i="4"/>
  <c r="E50" i="5"/>
  <c r="G22" i="4"/>
  <c r="E49" i="5"/>
  <c r="E48" i="5"/>
  <c r="E47" i="5"/>
  <c r="E46" i="5"/>
  <c r="E45" i="5"/>
  <c r="D52" i="5"/>
  <c r="I21" i="4"/>
  <c r="D51" i="5"/>
  <c r="H21" i="4"/>
  <c r="D50" i="5"/>
  <c r="G21" i="4"/>
  <c r="D49" i="5"/>
  <c r="D48" i="5"/>
  <c r="D47" i="5"/>
  <c r="D46" i="5"/>
  <c r="D45" i="5"/>
  <c r="G39" i="3"/>
  <c r="E40" i="3"/>
  <c r="E39" i="3"/>
  <c r="F41" i="3"/>
  <c r="F40" i="3"/>
  <c r="F39" i="3"/>
  <c r="D54" i="3"/>
  <c r="I8" i="4"/>
  <c r="D53" i="3"/>
  <c r="H8" i="4"/>
  <c r="D49" i="3"/>
  <c r="D8" i="4"/>
  <c r="R8" i="4"/>
  <c r="C8" i="4"/>
  <c r="D50" i="3"/>
  <c r="E8" i="4"/>
  <c r="P8" i="4"/>
  <c r="I39" i="5"/>
  <c r="I38" i="5"/>
  <c r="G39" i="5"/>
  <c r="G38" i="5"/>
  <c r="F40" i="5"/>
  <c r="F39" i="5"/>
  <c r="E39" i="5"/>
  <c r="E38" i="5"/>
  <c r="AA36" i="4"/>
  <c r="Z36" i="4"/>
  <c r="Y36" i="4"/>
  <c r="X36" i="4"/>
  <c r="W36" i="4"/>
  <c r="AA35" i="4"/>
  <c r="Z35" i="4"/>
  <c r="Y35" i="4"/>
  <c r="X35" i="4"/>
  <c r="W35" i="4"/>
  <c r="AA19" i="4"/>
  <c r="Z19" i="4"/>
  <c r="Y19" i="4"/>
  <c r="X19" i="4"/>
  <c r="W19" i="4"/>
  <c r="AA18" i="4"/>
  <c r="Z18" i="4"/>
  <c r="Y18" i="4"/>
  <c r="X18" i="4"/>
  <c r="W18" i="4"/>
  <c r="R35" i="4" a="1"/>
  <c r="S35" i="4" a="1"/>
  <c r="S46" i="4" a="1"/>
  <c r="S44" i="4" a="1"/>
  <c r="S44" i="4"/>
  <c r="S36" i="4" a="1"/>
  <c r="S38" i="4" a="1"/>
  <c r="S38" i="4"/>
  <c r="S41" i="4" a="1"/>
  <c r="S40" i="4" a="1"/>
  <c r="S40" i="4"/>
  <c r="S37" i="4" a="1"/>
  <c r="S37" i="4"/>
  <c r="S31" i="4" a="1"/>
  <c r="R31" i="4" a="1"/>
  <c r="S46" i="4"/>
  <c r="S41" i="4"/>
  <c r="S36" i="4"/>
  <c r="O36" i="4"/>
  <c r="O37" i="4"/>
  <c r="O40" i="4"/>
  <c r="O44" i="4"/>
  <c r="O38" i="4"/>
  <c r="O41" i="4"/>
  <c r="O46" i="4"/>
  <c r="AA6" i="4"/>
  <c r="Z6" i="4"/>
  <c r="Y6" i="4"/>
  <c r="X6" i="4"/>
  <c r="AA5" i="4"/>
  <c r="S8" i="4"/>
  <c r="Z5" i="4"/>
  <c r="E56" i="4"/>
  <c r="Y5" i="4"/>
  <c r="X5" i="4"/>
  <c r="C56" i="4"/>
  <c r="W5" i="4"/>
  <c r="Q43" i="7"/>
  <c r="C47" i="4"/>
  <c r="Q44" i="7"/>
  <c r="D47" i="4"/>
  <c r="Q45" i="7"/>
  <c r="E47" i="4"/>
  <c r="Q46" i="7"/>
  <c r="F47" i="4"/>
  <c r="Q42" i="7"/>
  <c r="B47" i="4"/>
  <c r="G47" i="4"/>
  <c r="G45" i="4"/>
  <c r="G39" i="4"/>
  <c r="E36" i="4"/>
  <c r="D36" i="4"/>
  <c r="C36" i="4"/>
  <c r="B36" i="4"/>
  <c r="E38" i="4"/>
  <c r="D38" i="4"/>
  <c r="C38" i="4"/>
  <c r="B38" i="4"/>
  <c r="J46" i="7"/>
  <c r="F50" i="4"/>
  <c r="J42" i="7"/>
  <c r="J43" i="7"/>
  <c r="J44" i="7"/>
  <c r="J45" i="7"/>
  <c r="G50" i="4"/>
  <c r="G36" i="7"/>
  <c r="F37" i="7"/>
  <c r="E36" i="7"/>
  <c r="K50" i="5"/>
  <c r="G29" i="4"/>
  <c r="N50" i="5"/>
  <c r="G26" i="4"/>
  <c r="G25" i="4"/>
  <c r="K45" i="5"/>
  <c r="K46" i="5"/>
  <c r="K47" i="5"/>
  <c r="K48" i="5"/>
  <c r="K49" i="5"/>
  <c r="F29" i="4"/>
  <c r="J50" i="5"/>
  <c r="G30" i="4"/>
  <c r="J46" i="5"/>
  <c r="J47" i="5"/>
  <c r="J48" i="5"/>
  <c r="J49" i="5"/>
  <c r="F30" i="4"/>
  <c r="L50" i="5"/>
  <c r="G19" i="4"/>
  <c r="S47" i="4" a="1"/>
  <c r="R36" i="4" a="1"/>
  <c r="R47" i="4" a="1"/>
  <c r="R47" i="4"/>
  <c r="S29" i="4" a="1"/>
  <c r="S50" i="4" a="1"/>
  <c r="S14" i="4" a="1"/>
  <c r="S8" i="4" a="1"/>
  <c r="R13" i="4" a="1"/>
  <c r="R14" i="4" a="1"/>
  <c r="R8" i="4" a="1"/>
  <c r="S30" i="4" a="1"/>
  <c r="S30" i="4"/>
  <c r="R38" i="4" a="1"/>
  <c r="S47" i="4"/>
  <c r="S50" i="4"/>
  <c r="R38" i="4"/>
  <c r="S29" i="4"/>
  <c r="R36" i="4"/>
  <c r="O47" i="4"/>
  <c r="D56" i="4"/>
  <c r="O30" i="4"/>
  <c r="O50" i="4"/>
  <c r="M38" i="4"/>
  <c r="L47" i="4"/>
  <c r="O29" i="4"/>
  <c r="N36" i="4"/>
  <c r="N8" i="4"/>
  <c r="N47" i="4"/>
  <c r="M47" i="4"/>
  <c r="M36" i="4"/>
  <c r="L36" i="4"/>
  <c r="L38" i="4"/>
  <c r="N38" i="4"/>
  <c r="O8" i="4"/>
  <c r="C46" i="5"/>
  <c r="C47" i="5"/>
  <c r="C48" i="5"/>
  <c r="C49" i="5"/>
  <c r="G37" i="5"/>
  <c r="G36" i="5"/>
  <c r="I37" i="5"/>
  <c r="I36" i="5"/>
  <c r="F38" i="5"/>
  <c r="F37" i="5"/>
  <c r="E37" i="5"/>
  <c r="E36" i="5"/>
  <c r="H50" i="3"/>
  <c r="E11" i="4"/>
  <c r="H49" i="3"/>
  <c r="D11" i="4"/>
  <c r="H47" i="3"/>
  <c r="B11" i="4"/>
  <c r="F38" i="3"/>
  <c r="E38" i="3"/>
  <c r="C49" i="3"/>
  <c r="C50" i="3"/>
  <c r="C51" i="3"/>
  <c r="C52" i="3"/>
  <c r="G5" i="4"/>
  <c r="S12" i="4" a="1"/>
  <c r="M45" i="7"/>
  <c r="M42" i="7"/>
  <c r="L46" i="5"/>
  <c r="F36" i="5"/>
  <c r="K47" i="3"/>
  <c r="B6" i="4"/>
  <c r="B7" i="4"/>
  <c r="F37" i="3"/>
  <c r="E37" i="3"/>
  <c r="E36" i="3"/>
  <c r="G38" i="3"/>
  <c r="E34" i="7"/>
  <c r="E35" i="5"/>
  <c r="E35" i="7"/>
  <c r="F36" i="7"/>
  <c r="P42" i="7"/>
  <c r="F34" i="7"/>
  <c r="F33" i="7"/>
  <c r="F35" i="7"/>
  <c r="E33" i="7"/>
  <c r="G35" i="7"/>
  <c r="A20" i="4"/>
  <c r="F20" i="4"/>
  <c r="E20" i="4"/>
  <c r="D20" i="4"/>
  <c r="C20" i="4"/>
  <c r="B20" i="4"/>
  <c r="N45" i="5"/>
  <c r="B26" i="4"/>
  <c r="F35" i="5"/>
  <c r="E2" i="5"/>
  <c r="F28" i="5"/>
  <c r="E34" i="5"/>
  <c r="E2" i="3"/>
  <c r="G28" i="3"/>
  <c r="G34" i="3"/>
  <c r="G2" i="3"/>
  <c r="E35" i="3"/>
  <c r="R20" i="4" a="1"/>
  <c r="S20" i="4" a="1"/>
  <c r="S20" i="4"/>
  <c r="R20" i="4"/>
  <c r="O20" i="4"/>
  <c r="M20" i="4"/>
  <c r="N20" i="4"/>
  <c r="L20" i="4"/>
  <c r="H48" i="3"/>
  <c r="C11" i="4"/>
  <c r="G37" i="3"/>
  <c r="I35" i="7"/>
  <c r="I35" i="5"/>
  <c r="G35" i="5"/>
  <c r="G34" i="5"/>
  <c r="G35" i="3"/>
  <c r="G33" i="7"/>
  <c r="I33" i="7"/>
  <c r="S11" i="4" a="1"/>
  <c r="R11" i="4" a="1"/>
  <c r="B46" i="4"/>
  <c r="C46" i="4"/>
  <c r="D46" i="4"/>
  <c r="E46" i="4"/>
  <c r="R46" i="4" a="1"/>
  <c r="R12" i="4" a="1"/>
  <c r="R37" i="4" a="1"/>
  <c r="R37" i="4"/>
  <c r="R46" i="4"/>
  <c r="M37" i="4"/>
  <c r="N37" i="4"/>
  <c r="L37" i="4"/>
  <c r="N46" i="4"/>
  <c r="L46" i="4"/>
  <c r="M46" i="4"/>
  <c r="G32" i="7"/>
  <c r="E32" i="7"/>
  <c r="E2" i="7"/>
  <c r="N49" i="5"/>
  <c r="F26" i="4"/>
  <c r="N48" i="5"/>
  <c r="E26" i="4"/>
  <c r="N47" i="5"/>
  <c r="D26" i="4"/>
  <c r="N46" i="5"/>
  <c r="C26" i="4"/>
  <c r="L45" i="5"/>
  <c r="I34" i="5"/>
  <c r="I33" i="5"/>
  <c r="G33" i="5"/>
  <c r="E33" i="5"/>
  <c r="R26" i="4" a="1"/>
  <c r="S26" i="4" a="1"/>
  <c r="S26" i="4"/>
  <c r="R26" i="4"/>
  <c r="O26" i="4"/>
  <c r="M26" i="4"/>
  <c r="L26" i="4"/>
  <c r="N26" i="4"/>
  <c r="F36" i="3"/>
  <c r="F35" i="3"/>
  <c r="F2" i="3"/>
  <c r="C50" i="4"/>
  <c r="E50" i="4"/>
  <c r="D50" i="4"/>
  <c r="B50" i="4"/>
  <c r="E44" i="4"/>
  <c r="D44" i="4"/>
  <c r="C44" i="4"/>
  <c r="B44" i="4"/>
  <c r="B45" i="4"/>
  <c r="F32" i="7"/>
  <c r="G5" i="7"/>
  <c r="I7" i="7"/>
  <c r="F13" i="7"/>
  <c r="F11" i="7"/>
  <c r="E10" i="7"/>
  <c r="F2" i="7"/>
  <c r="P46" i="7"/>
  <c r="F45" i="4"/>
  <c r="M46" i="7"/>
  <c r="F39" i="4"/>
  <c r="P45" i="7"/>
  <c r="E45" i="4"/>
  <c r="E39" i="4"/>
  <c r="P44" i="7"/>
  <c r="D45" i="4"/>
  <c r="M44" i="7"/>
  <c r="D39" i="4"/>
  <c r="P43" i="7"/>
  <c r="C45" i="4"/>
  <c r="M43" i="7"/>
  <c r="C39" i="4"/>
  <c r="B39" i="4"/>
  <c r="I32" i="7"/>
  <c r="I31" i="7"/>
  <c r="G31" i="7"/>
  <c r="F31" i="7"/>
  <c r="E31" i="7"/>
  <c r="I30" i="7"/>
  <c r="G30" i="7"/>
  <c r="F30" i="7"/>
  <c r="E30" i="7"/>
  <c r="I29" i="7"/>
  <c r="G29" i="7"/>
  <c r="F29" i="7"/>
  <c r="E29" i="7"/>
  <c r="I28" i="7"/>
  <c r="G28" i="7"/>
  <c r="F28" i="7"/>
  <c r="E28" i="7"/>
  <c r="I27" i="7"/>
  <c r="G27" i="7"/>
  <c r="F27" i="7"/>
  <c r="E27" i="7"/>
  <c r="I26" i="7"/>
  <c r="G26" i="7"/>
  <c r="F26" i="7"/>
  <c r="E26" i="7"/>
  <c r="I25" i="7"/>
  <c r="G25" i="7"/>
  <c r="F25" i="7"/>
  <c r="E25" i="7"/>
  <c r="I24" i="7"/>
  <c r="G24" i="7"/>
  <c r="F24" i="7"/>
  <c r="E24" i="7"/>
  <c r="I23" i="7"/>
  <c r="G23" i="7"/>
  <c r="F23" i="7"/>
  <c r="E23" i="7"/>
  <c r="I22" i="7"/>
  <c r="G22" i="7"/>
  <c r="F22" i="7"/>
  <c r="E22" i="7"/>
  <c r="I21" i="7"/>
  <c r="G21" i="7"/>
  <c r="F21" i="7"/>
  <c r="E21" i="7"/>
  <c r="I20" i="7"/>
  <c r="G20" i="7"/>
  <c r="F20" i="7"/>
  <c r="E20" i="7"/>
  <c r="I19" i="7"/>
  <c r="G19" i="7"/>
  <c r="F19" i="7"/>
  <c r="E19" i="7"/>
  <c r="I18" i="7"/>
  <c r="G18" i="7"/>
  <c r="F18" i="7"/>
  <c r="E18" i="7"/>
  <c r="I17" i="7"/>
  <c r="G17" i="7"/>
  <c r="F17" i="7"/>
  <c r="E17" i="7"/>
  <c r="I16" i="7"/>
  <c r="G16" i="7"/>
  <c r="F16" i="7"/>
  <c r="E16" i="7"/>
  <c r="I15" i="7"/>
  <c r="G15" i="7"/>
  <c r="F15" i="7"/>
  <c r="E15" i="7"/>
  <c r="I14" i="7"/>
  <c r="G14" i="7"/>
  <c r="F14" i="7"/>
  <c r="E14" i="7"/>
  <c r="I13" i="7"/>
  <c r="G13" i="7"/>
  <c r="E13" i="7"/>
  <c r="I12" i="7"/>
  <c r="G12" i="7"/>
  <c r="F12" i="7"/>
  <c r="E12" i="7"/>
  <c r="I11" i="7"/>
  <c r="G11" i="7"/>
  <c r="E11" i="7"/>
  <c r="I10" i="7"/>
  <c r="G10" i="7"/>
  <c r="F10" i="7"/>
  <c r="I9" i="7"/>
  <c r="G9" i="7"/>
  <c r="F9" i="7"/>
  <c r="E9" i="7"/>
  <c r="I8" i="7"/>
  <c r="G8" i="7"/>
  <c r="F8" i="7"/>
  <c r="E8" i="7"/>
  <c r="G7" i="7"/>
  <c r="F7" i="7"/>
  <c r="E7" i="7"/>
  <c r="I6" i="7"/>
  <c r="G6" i="7"/>
  <c r="F6" i="7"/>
  <c r="E6" i="7"/>
  <c r="I5" i="7"/>
  <c r="F5" i="7"/>
  <c r="E5" i="7"/>
  <c r="I4" i="7"/>
  <c r="G4" i="7"/>
  <c r="F4" i="7"/>
  <c r="E4" i="7"/>
  <c r="I3" i="7"/>
  <c r="G3" i="7"/>
  <c r="F3" i="7"/>
  <c r="E3" i="7"/>
  <c r="I2" i="7"/>
  <c r="G2" i="7"/>
  <c r="C25" i="4"/>
  <c r="D25" i="4"/>
  <c r="E25" i="4"/>
  <c r="F25" i="4"/>
  <c r="B25" i="4"/>
  <c r="B29" i="4"/>
  <c r="D29" i="4"/>
  <c r="C29" i="4"/>
  <c r="E29" i="4"/>
  <c r="B30" i="4"/>
  <c r="B19" i="4"/>
  <c r="L49" i="5"/>
  <c r="F19" i="4"/>
  <c r="B22" i="4"/>
  <c r="C22" i="4"/>
  <c r="D22" i="4"/>
  <c r="E22" i="4"/>
  <c r="F22" i="4"/>
  <c r="I32" i="5"/>
  <c r="G32" i="5"/>
  <c r="F34" i="5"/>
  <c r="F33" i="5"/>
  <c r="E32" i="5"/>
  <c r="R50" i="4" a="1"/>
  <c r="R50" i="4"/>
  <c r="S25" i="4" a="1"/>
  <c r="S25" i="4"/>
  <c r="R22" i="4" a="1"/>
  <c r="R22" i="4"/>
  <c r="S39" i="4" a="1"/>
  <c r="S39" i="4"/>
  <c r="R25" i="4" a="1"/>
  <c r="R25" i="4"/>
  <c r="R45" i="4" a="1"/>
  <c r="S19" i="4"/>
  <c r="S19" i="4" a="1"/>
  <c r="S22" i="4" a="1"/>
  <c r="S22" i="4"/>
  <c r="R44" i="4" a="1"/>
  <c r="R29" i="4" a="1"/>
  <c r="S45" i="4" a="1"/>
  <c r="S45" i="4"/>
  <c r="R39" i="4" a="1"/>
  <c r="R39" i="4"/>
  <c r="R44" i="4"/>
  <c r="R29" i="4"/>
  <c r="R45" i="4"/>
  <c r="G48" i="7"/>
  <c r="H43" i="4"/>
  <c r="G47" i="7"/>
  <c r="G43" i="4"/>
  <c r="G49" i="7"/>
  <c r="I43" i="4"/>
  <c r="G46" i="7"/>
  <c r="F43" i="4"/>
  <c r="G43" i="7"/>
  <c r="G44" i="7"/>
  <c r="G45" i="7"/>
  <c r="H49" i="7"/>
  <c r="I48" i="4"/>
  <c r="H47" i="7"/>
  <c r="G48" i="4"/>
  <c r="H48" i="7"/>
  <c r="H48" i="4"/>
  <c r="H46" i="7"/>
  <c r="F48" i="4"/>
  <c r="H44" i="7"/>
  <c r="H45" i="7"/>
  <c r="H43" i="7"/>
  <c r="F49" i="7"/>
  <c r="I42" i="4"/>
  <c r="F43" i="7"/>
  <c r="F45" i="7"/>
  <c r="F47" i="7"/>
  <c r="G42" i="4"/>
  <c r="F46" i="7"/>
  <c r="F42" i="4"/>
  <c r="F48" i="7"/>
  <c r="H42" i="4"/>
  <c r="F44" i="7"/>
  <c r="F42" i="7"/>
  <c r="H42" i="7"/>
  <c r="G42" i="7"/>
  <c r="S35" i="4"/>
  <c r="R35" i="4"/>
  <c r="L50" i="4"/>
  <c r="O25" i="4"/>
  <c r="L35" i="4"/>
  <c r="O45" i="4"/>
  <c r="O19" i="4"/>
  <c r="O22" i="4"/>
  <c r="O35" i="4"/>
  <c r="O39" i="4"/>
  <c r="N44" i="4"/>
  <c r="M44" i="4"/>
  <c r="L44" i="4"/>
  <c r="L29" i="4"/>
  <c r="M29" i="4"/>
  <c r="N29" i="4"/>
  <c r="M39" i="4"/>
  <c r="L39" i="4"/>
  <c r="N39" i="4"/>
  <c r="L25" i="4"/>
  <c r="N25" i="4"/>
  <c r="M25" i="4"/>
  <c r="M50" i="4"/>
  <c r="N50" i="4"/>
  <c r="M35" i="4"/>
  <c r="N35" i="4"/>
  <c r="M45" i="4"/>
  <c r="N45" i="4"/>
  <c r="L45" i="4"/>
  <c r="M22" i="4"/>
  <c r="N22" i="4"/>
  <c r="L22" i="4"/>
  <c r="K49" i="3"/>
  <c r="D6" i="4"/>
  <c r="K51" i="3"/>
  <c r="F6" i="4"/>
  <c r="S6" i="4"/>
  <c r="K50" i="3"/>
  <c r="E6" i="4"/>
  <c r="K48" i="3"/>
  <c r="C6" i="4"/>
  <c r="F30" i="3"/>
  <c r="F26" i="3"/>
  <c r="J51" i="3"/>
  <c r="F7" i="4"/>
  <c r="E34" i="3"/>
  <c r="G33" i="3"/>
  <c r="E33" i="3"/>
  <c r="F11" i="3"/>
  <c r="J50" i="3"/>
  <c r="E7" i="4"/>
  <c r="N7" i="4"/>
  <c r="S43" i="4" a="1"/>
  <c r="S42" i="4" a="1"/>
  <c r="S48" i="4" a="1"/>
  <c r="S48" i="4"/>
  <c r="R6" i="4" a="1"/>
  <c r="S6" i="4" a="1"/>
  <c r="S7" i="4" a="1"/>
  <c r="S43" i="4"/>
  <c r="S42" i="4"/>
  <c r="O42" i="4"/>
  <c r="O43" i="4"/>
  <c r="O48" i="4"/>
  <c r="M6" i="4"/>
  <c r="I3" i="5"/>
  <c r="I4" i="5"/>
  <c r="I5" i="5"/>
  <c r="I6" i="5"/>
  <c r="I7" i="5"/>
  <c r="I8" i="5"/>
  <c r="I9" i="5"/>
  <c r="I10" i="5"/>
  <c r="I11" i="5"/>
  <c r="I12" i="5"/>
  <c r="I13" i="5"/>
  <c r="I14" i="5"/>
  <c r="I15" i="5"/>
  <c r="I16" i="5"/>
  <c r="I17" i="5"/>
  <c r="I18" i="5"/>
  <c r="I19" i="5"/>
  <c r="I20" i="5"/>
  <c r="I21" i="5"/>
  <c r="I22" i="5"/>
  <c r="I23" i="5"/>
  <c r="I24" i="5"/>
  <c r="I25" i="5"/>
  <c r="I26" i="5"/>
  <c r="I27" i="5"/>
  <c r="I28" i="5"/>
  <c r="I29" i="5"/>
  <c r="I30" i="5"/>
  <c r="I31" i="5"/>
  <c r="C21" i="4"/>
  <c r="D21" i="4"/>
  <c r="E21" i="4"/>
  <c r="F21" i="4"/>
  <c r="B21" i="4"/>
  <c r="F18" i="4"/>
  <c r="E18" i="4"/>
  <c r="D18" i="4"/>
  <c r="B18" i="4"/>
  <c r="C18" i="4"/>
  <c r="G9" i="5"/>
  <c r="G3" i="5"/>
  <c r="G4" i="5"/>
  <c r="G5" i="5"/>
  <c r="G6" i="5"/>
  <c r="G7" i="5"/>
  <c r="G8" i="5"/>
  <c r="G10" i="5"/>
  <c r="G11" i="5"/>
  <c r="G12" i="5"/>
  <c r="G13" i="5"/>
  <c r="G14" i="5"/>
  <c r="G15" i="5"/>
  <c r="G16" i="5"/>
  <c r="G17" i="5"/>
  <c r="G18" i="5"/>
  <c r="G19" i="5"/>
  <c r="G20" i="5"/>
  <c r="G21" i="5"/>
  <c r="G22" i="5"/>
  <c r="G23" i="5"/>
  <c r="G24" i="5"/>
  <c r="G25" i="5"/>
  <c r="G26" i="5"/>
  <c r="G27" i="5"/>
  <c r="G28" i="5"/>
  <c r="G29" i="5"/>
  <c r="G30" i="5"/>
  <c r="G31" i="5"/>
  <c r="E3" i="5"/>
  <c r="E4" i="5"/>
  <c r="E5" i="5"/>
  <c r="E6" i="5"/>
  <c r="E7" i="5"/>
  <c r="E8" i="5"/>
  <c r="E9" i="5"/>
  <c r="E10" i="5"/>
  <c r="E11" i="5"/>
  <c r="E12" i="5"/>
  <c r="E13" i="5"/>
  <c r="E14" i="5"/>
  <c r="E15" i="5"/>
  <c r="E16" i="5"/>
  <c r="E17" i="5"/>
  <c r="E18" i="5"/>
  <c r="E19" i="5"/>
  <c r="E20" i="5"/>
  <c r="E21" i="5"/>
  <c r="E22" i="5"/>
  <c r="E23" i="5"/>
  <c r="E24" i="5"/>
  <c r="E25" i="5"/>
  <c r="E26" i="5"/>
  <c r="E27" i="5"/>
  <c r="E28" i="5"/>
  <c r="E29" i="5"/>
  <c r="E30" i="5"/>
  <c r="E31" i="5"/>
  <c r="F3" i="5"/>
  <c r="F4" i="5"/>
  <c r="F5" i="5"/>
  <c r="F6" i="5"/>
  <c r="F7" i="5"/>
  <c r="F8" i="5"/>
  <c r="F9" i="5"/>
  <c r="F10" i="5"/>
  <c r="F11" i="5"/>
  <c r="F12" i="5"/>
  <c r="F13" i="5"/>
  <c r="F14" i="5"/>
  <c r="F15" i="5"/>
  <c r="F16" i="5"/>
  <c r="F17" i="5"/>
  <c r="F18" i="5"/>
  <c r="F19" i="5"/>
  <c r="F20" i="5"/>
  <c r="F21" i="5"/>
  <c r="F22" i="5"/>
  <c r="F23" i="5"/>
  <c r="F24" i="5"/>
  <c r="F25" i="5"/>
  <c r="F26" i="5"/>
  <c r="F27" i="5"/>
  <c r="F29" i="5"/>
  <c r="F30" i="5"/>
  <c r="F31" i="5"/>
  <c r="F32" i="5"/>
  <c r="F2" i="5"/>
  <c r="L48" i="5"/>
  <c r="E19" i="4"/>
  <c r="E30" i="4"/>
  <c r="L47" i="5"/>
  <c r="D19" i="4"/>
  <c r="D30" i="4"/>
  <c r="C19" i="4"/>
  <c r="C30" i="4"/>
  <c r="J49" i="3"/>
  <c r="D7" i="4"/>
  <c r="J48" i="3"/>
  <c r="C7" i="4"/>
  <c r="L7" i="4"/>
  <c r="R7" i="4" a="1"/>
  <c r="R21" i="4" a="1"/>
  <c r="R18" i="4" a="1"/>
  <c r="R18" i="4"/>
  <c r="R30" i="4" a="1"/>
  <c r="R30" i="4"/>
  <c r="S18" i="4" a="1"/>
  <c r="R19" i="4" a="1"/>
  <c r="S21" i="4"/>
  <c r="S21" i="4" a="1"/>
  <c r="G49" i="5"/>
  <c r="G50" i="5"/>
  <c r="G24" i="4"/>
  <c r="G51" i="5"/>
  <c r="H24" i="4"/>
  <c r="G52" i="5"/>
  <c r="I24" i="4"/>
  <c r="G48" i="5"/>
  <c r="G47" i="5"/>
  <c r="G45" i="5"/>
  <c r="B24" i="4"/>
  <c r="G46" i="5"/>
  <c r="C24" i="4"/>
  <c r="I45" i="5"/>
  <c r="I48" i="5"/>
  <c r="I46" i="5"/>
  <c r="C28" i="4"/>
  <c r="I47" i="5"/>
  <c r="I52" i="5"/>
  <c r="I28" i="4"/>
  <c r="I49" i="5"/>
  <c r="F28" i="4"/>
  <c r="I51" i="5"/>
  <c r="H28" i="4"/>
  <c r="I50" i="5"/>
  <c r="G28" i="4"/>
  <c r="H50" i="5"/>
  <c r="G27" i="4"/>
  <c r="H51" i="5"/>
  <c r="H27" i="4"/>
  <c r="H52" i="5"/>
  <c r="I27" i="4"/>
  <c r="H49" i="5"/>
  <c r="F27" i="4"/>
  <c r="H48" i="5"/>
  <c r="H47" i="5"/>
  <c r="H45" i="5"/>
  <c r="B27" i="4"/>
  <c r="H46" i="5"/>
  <c r="F48" i="5"/>
  <c r="F51" i="5"/>
  <c r="H23" i="4"/>
  <c r="F47" i="5"/>
  <c r="D23" i="4"/>
  <c r="F49" i="5"/>
  <c r="F52" i="5"/>
  <c r="I23" i="4"/>
  <c r="F50" i="5"/>
  <c r="G23" i="4"/>
  <c r="F46" i="5"/>
  <c r="C23" i="4"/>
  <c r="F45" i="5"/>
  <c r="S18" i="4"/>
  <c r="R19" i="4"/>
  <c r="R21" i="4"/>
  <c r="O21" i="4"/>
  <c r="O18" i="4"/>
  <c r="L30" i="4"/>
  <c r="N30" i="4"/>
  <c r="M30" i="4"/>
  <c r="N19" i="4"/>
  <c r="L19" i="4"/>
  <c r="M19" i="4"/>
  <c r="N18" i="4"/>
  <c r="L18" i="4"/>
  <c r="M18" i="4"/>
  <c r="L21" i="4"/>
  <c r="M21" i="4"/>
  <c r="N21" i="4"/>
  <c r="E27" i="4"/>
  <c r="D27" i="4"/>
  <c r="C27" i="4"/>
  <c r="F24" i="4"/>
  <c r="D24" i="4"/>
  <c r="F23" i="4"/>
  <c r="E23" i="4"/>
  <c r="B23" i="4"/>
  <c r="B28" i="4"/>
  <c r="D28" i="4"/>
  <c r="E28" i="4"/>
  <c r="E24" i="4"/>
  <c r="S28" i="4" a="1"/>
  <c r="S23" i="4" a="1"/>
  <c r="R28" i="4" a="1"/>
  <c r="R28" i="4"/>
  <c r="R27" i="4" a="1"/>
  <c r="S27" i="4" a="1"/>
  <c r="R23" i="4" a="1"/>
  <c r="R24" i="4" a="1"/>
  <c r="R24" i="4"/>
  <c r="S24" i="4" a="1"/>
  <c r="S24" i="4"/>
  <c r="R23" i="4"/>
  <c r="S23" i="4"/>
  <c r="S28" i="4"/>
  <c r="O28" i="4"/>
  <c r="S27" i="4"/>
  <c r="O27" i="4"/>
  <c r="R27" i="4"/>
  <c r="O23" i="4"/>
  <c r="O24" i="4"/>
  <c r="N23" i="4"/>
  <c r="L23" i="4"/>
  <c r="M23" i="4"/>
  <c r="L27" i="4"/>
  <c r="M27" i="4"/>
  <c r="N27" i="4"/>
  <c r="M24" i="4"/>
  <c r="N24" i="4"/>
  <c r="L24" i="4"/>
  <c r="M28" i="4"/>
  <c r="N28" i="4"/>
  <c r="L28" i="4"/>
  <c r="B5" i="4"/>
  <c r="C5" i="4"/>
  <c r="N5" i="4"/>
  <c r="D5" i="4"/>
  <c r="E5" i="4"/>
  <c r="F5" i="4"/>
  <c r="F29" i="3"/>
  <c r="E3" i="3"/>
  <c r="F3" i="3"/>
  <c r="G3" i="3"/>
  <c r="E4" i="3"/>
  <c r="F4" i="3"/>
  <c r="G4" i="3"/>
  <c r="E5" i="3"/>
  <c r="F5" i="3"/>
  <c r="G5" i="3"/>
  <c r="E6" i="3"/>
  <c r="F6" i="3"/>
  <c r="G6" i="3"/>
  <c r="E7" i="3"/>
  <c r="F7" i="3"/>
  <c r="G7" i="3"/>
  <c r="E8" i="3"/>
  <c r="F8" i="3"/>
  <c r="G8" i="3"/>
  <c r="E9" i="3"/>
  <c r="F9" i="3"/>
  <c r="G9" i="3"/>
  <c r="E10" i="3"/>
  <c r="F10" i="3"/>
  <c r="G10" i="3"/>
  <c r="E11" i="3"/>
  <c r="G11" i="3"/>
  <c r="E12" i="3"/>
  <c r="F12" i="3"/>
  <c r="G12" i="3"/>
  <c r="E13" i="3"/>
  <c r="F13" i="3"/>
  <c r="G13" i="3"/>
  <c r="E14" i="3"/>
  <c r="F14" i="3"/>
  <c r="G14" i="3"/>
  <c r="E15" i="3"/>
  <c r="F15" i="3"/>
  <c r="G15" i="3"/>
  <c r="E16" i="3"/>
  <c r="F16" i="3"/>
  <c r="G16" i="3"/>
  <c r="E17" i="3"/>
  <c r="F17" i="3"/>
  <c r="G17" i="3"/>
  <c r="E18" i="3"/>
  <c r="F18" i="3"/>
  <c r="G18" i="3"/>
  <c r="E19" i="3"/>
  <c r="F19" i="3"/>
  <c r="E20" i="3"/>
  <c r="F20" i="3"/>
  <c r="G20" i="3"/>
  <c r="E21" i="3"/>
  <c r="F21" i="3"/>
  <c r="G21" i="3"/>
  <c r="E22" i="3"/>
  <c r="F22" i="3"/>
  <c r="G22" i="3"/>
  <c r="E23" i="3"/>
  <c r="G23" i="3"/>
  <c r="E24" i="3"/>
  <c r="G24" i="3"/>
  <c r="E25" i="3"/>
  <c r="F25" i="3"/>
  <c r="G25" i="3"/>
  <c r="E26" i="3"/>
  <c r="G26" i="3"/>
  <c r="E27" i="3"/>
  <c r="F27" i="3"/>
  <c r="G27" i="3"/>
  <c r="E28" i="3"/>
  <c r="F28" i="3"/>
  <c r="E29" i="3"/>
  <c r="G29" i="3"/>
  <c r="E30" i="3"/>
  <c r="G30" i="3"/>
  <c r="E31" i="3"/>
  <c r="G31" i="3"/>
  <c r="E32" i="3"/>
  <c r="G32" i="3"/>
  <c r="R5" i="4" a="1"/>
  <c r="S5" i="4" a="1"/>
  <c r="F47" i="3"/>
  <c r="B9" i="4"/>
  <c r="M9" i="4"/>
  <c r="F53" i="3"/>
  <c r="H9" i="4"/>
  <c r="F52" i="3"/>
  <c r="G9" i="4"/>
  <c r="Q9" i="4"/>
  <c r="F54" i="3"/>
  <c r="I9" i="4"/>
  <c r="F51" i="3"/>
  <c r="F9" i="4"/>
  <c r="S9" i="4"/>
  <c r="F50" i="3"/>
  <c r="E9" i="4"/>
  <c r="R9" i="4"/>
  <c r="F48" i="3"/>
  <c r="C9" i="4"/>
  <c r="N9" i="4"/>
  <c r="F49" i="3"/>
  <c r="D9" i="4"/>
  <c r="B10" i="4"/>
  <c r="M10" i="4"/>
  <c r="D10" i="4"/>
  <c r="I10" i="4"/>
  <c r="C10" i="4"/>
  <c r="N10" i="4"/>
  <c r="G10" i="4"/>
  <c r="Q10" i="4"/>
  <c r="E10" i="4"/>
  <c r="R10" i="4"/>
  <c r="H10" i="4"/>
  <c r="F10" i="4"/>
  <c r="R10" i="4" a="1"/>
  <c r="S10" i="4" a="1"/>
  <c r="R9" i="4" a="1"/>
  <c r="S9" i="4" a="1"/>
  <c r="L10" i="4"/>
  <c r="I34" i="7"/>
  <c r="C40" i="4"/>
  <c r="E41" i="4"/>
  <c r="D41" i="4"/>
  <c r="B41" i="4"/>
  <c r="B40" i="4"/>
  <c r="D40" i="4"/>
  <c r="G34" i="7"/>
  <c r="E40" i="4"/>
  <c r="C41" i="4"/>
  <c r="C48" i="4"/>
  <c r="R41" i="4" a="1"/>
  <c r="R41" i="4"/>
  <c r="R40" i="4" a="1"/>
  <c r="R40" i="4"/>
  <c r="I47" i="7"/>
  <c r="G49" i="4"/>
  <c r="I42" i="7"/>
  <c r="B49" i="4"/>
  <c r="I44" i="7"/>
  <c r="D49" i="4"/>
  <c r="I46" i="7"/>
  <c r="F49" i="4"/>
  <c r="I43" i="7"/>
  <c r="C49" i="4"/>
  <c r="I49" i="7"/>
  <c r="I49" i="4"/>
  <c r="I48" i="7"/>
  <c r="H49" i="4"/>
  <c r="I45" i="7"/>
  <c r="E49" i="4"/>
  <c r="M41" i="4"/>
  <c r="N41" i="4"/>
  <c r="L41" i="4"/>
  <c r="N40" i="4"/>
  <c r="L40" i="4"/>
  <c r="M40" i="4"/>
  <c r="B42" i="4"/>
  <c r="E43" i="4"/>
  <c r="E42" i="4"/>
  <c r="B48" i="4"/>
  <c r="D48" i="4"/>
  <c r="E48" i="4"/>
  <c r="D43" i="4"/>
  <c r="C43" i="4"/>
  <c r="C42" i="4"/>
  <c r="B43" i="4"/>
  <c r="D42" i="4"/>
  <c r="S49" i="4" a="1"/>
  <c r="R42" i="4" a="1"/>
  <c r="R42" i="4"/>
  <c r="R49" i="4" a="1"/>
  <c r="R49" i="4"/>
  <c r="R43" i="4" a="1"/>
  <c r="R43" i="4"/>
  <c r="R48" i="4" a="1"/>
  <c r="R48" i="4"/>
  <c r="S49" i="4"/>
  <c r="O49" i="4"/>
  <c r="L49" i="4"/>
  <c r="N49" i="4"/>
  <c r="M49" i="4"/>
  <c r="L43" i="4"/>
  <c r="N43" i="4"/>
  <c r="M43" i="4"/>
  <c r="M48" i="4"/>
  <c r="N48" i="4"/>
  <c r="L48" i="4"/>
  <c r="N42" i="4"/>
  <c r="L42" i="4"/>
  <c r="M42" i="4"/>
  <c r="B31" i="4" a="1"/>
  <c r="I31" i="4"/>
  <c r="B31" i="4"/>
  <c r="C31" i="4"/>
  <c r="D31" i="4"/>
  <c r="E31" i="4"/>
  <c r="F31" i="4"/>
  <c r="G31" i="4"/>
  <c r="H31" i="4"/>
  <c r="N31" i="4"/>
  <c r="L31" i="4"/>
  <c r="M31" i="4"/>
  <c r="S31" i="4"/>
  <c r="O31" i="4"/>
  <c r="R31" i="4"/>
  <c r="L11" i="4"/>
  <c r="Q11" i="4"/>
  <c r="R11" i="4"/>
  <c r="P11" i="4"/>
  <c r="D57" i="4"/>
  <c r="D58" i="4"/>
  <c r="R12" i="4"/>
  <c r="C58" i="4"/>
  <c r="G57" i="4"/>
  <c r="H58" i="4"/>
  <c r="H57" i="4"/>
  <c r="P9" i="4"/>
  <c r="M11" i="4"/>
  <c r="Q7" i="4"/>
  <c r="L9" i="4"/>
  <c r="O10" i="4"/>
  <c r="O7" i="4"/>
  <c r="S7" i="4"/>
  <c r="O11" i="4"/>
  <c r="M8" i="4"/>
  <c r="M5" i="4"/>
  <c r="G56" i="4"/>
  <c r="G58" i="4"/>
  <c r="N6" i="4"/>
  <c r="O5" i="4"/>
  <c r="N11" i="4"/>
  <c r="O54" i="4"/>
  <c r="R5" i="4"/>
  <c r="O6" i="4"/>
  <c r="L5" i="4"/>
  <c r="M7" i="4"/>
  <c r="L12" i="4"/>
  <c r="Q8" i="4"/>
  <c r="P10" i="4"/>
  <c r="R6" i="4"/>
  <c r="R7" i="4"/>
  <c r="M12" i="4"/>
  <c r="F56" i="4"/>
  <c r="S5" i="4"/>
  <c r="E54" i="4"/>
  <c r="E57" i="4"/>
  <c r="N12" i="4"/>
  <c r="O12" i="4"/>
  <c r="B56" i="4"/>
  <c r="B58" i="4"/>
  <c r="P12" i="4"/>
  <c r="P7" i="4"/>
  <c r="O9" i="4"/>
  <c r="L6" i="4"/>
  <c r="Q12" i="4"/>
  <c r="S10" i="4"/>
  <c r="S12" i="4"/>
  <c r="S11" i="4"/>
  <c r="Q5" i="4"/>
  <c r="L8" i="4"/>
  <c r="C14" i="4"/>
  <c r="B14" i="4"/>
  <c r="D13" i="4"/>
  <c r="F13" i="4"/>
  <c r="C13" i="4"/>
  <c r="D14" i="4"/>
  <c r="F14" i="4"/>
  <c r="G13" i="4"/>
  <c r="I13" i="4"/>
  <c r="H13" i="4"/>
  <c r="E14" i="4"/>
  <c r="I14" i="4"/>
  <c r="H14" i="4"/>
  <c r="E13" i="4"/>
  <c r="G14" i="4"/>
  <c r="L13" i="4"/>
  <c r="S13" i="4"/>
  <c r="B57" i="4"/>
  <c r="T54" i="4"/>
  <c r="E58" i="4"/>
  <c r="F58" i="4"/>
  <c r="F57" i="4"/>
  <c r="B61" i="4"/>
  <c r="B62" i="4"/>
  <c r="B64" i="4"/>
  <c r="R13" i="4"/>
  <c r="L14" i="4"/>
  <c r="N14" i="4"/>
  <c r="M14" i="4"/>
  <c r="O13" i="4"/>
  <c r="Q13" i="4"/>
  <c r="M13" i="4"/>
  <c r="P14" i="4"/>
  <c r="Q14" i="4"/>
  <c r="O14" i="4"/>
  <c r="S14" i="4"/>
  <c r="N13" i="4"/>
  <c r="P13" i="4"/>
  <c r="R14" i="4"/>
  <c r="B65" i="4"/>
  <c r="B66" i="4"/>
  <c r="C66" i="4"/>
  <c r="C65" i="4"/>
</calcChain>
</file>

<file path=xl/comments1.xml><?xml version="1.0" encoding="utf-8"?>
<comments xmlns="http://schemas.openxmlformats.org/spreadsheetml/2006/main">
  <authors>
    <author>RY</author>
    <author>abantonovich</author>
  </authors>
  <commentList>
    <comment ref="D20" authorId="0">
      <text>
        <r>
          <rPr>
            <b/>
            <sz val="8"/>
            <color rgb="FF000000"/>
            <rFont val="Tahoma"/>
            <family val="2"/>
          </rPr>
          <t>RY:</t>
        </r>
        <r>
          <rPr>
            <sz val="8"/>
            <color rgb="FF000000"/>
            <rFont val="Tahoma"/>
            <family val="2"/>
          </rPr>
          <t xml:space="preserve">
green indicated returns counted by weir</t>
        </r>
      </text>
    </comment>
    <comment ref="B59" authorId="1">
      <text>
        <r>
          <rPr>
            <b/>
            <sz val="8"/>
            <color indexed="81"/>
            <rFont val="Tahoma"/>
            <family val="2"/>
          </rPr>
          <t>abantonovich:</t>
        </r>
        <r>
          <rPr>
            <sz val="8"/>
            <color indexed="81"/>
            <rFont val="Tahoma"/>
            <family val="2"/>
          </rPr>
          <t xml:space="preserve">
To Rich Yanusz:
1) Are r11=0 real zeros or missing   data? If 'missing' than exclude them from sibling models!
2) 
</t>
        </r>
      </text>
    </comment>
  </commentList>
</comments>
</file>

<file path=xl/comments2.xml><?xml version="1.0" encoding="utf-8"?>
<comments xmlns="http://schemas.openxmlformats.org/spreadsheetml/2006/main">
  <authors>
    <author>Reimer, Adam M (DFG)</author>
    <author>Decovich, Nick A (DFG)</author>
  </authors>
  <commentList>
    <comment ref="A13" authorId="0">
      <text>
        <r>
          <rPr>
            <b/>
            <sz val="9"/>
            <color indexed="81"/>
            <rFont val="Tahoma"/>
            <family val="2"/>
          </rPr>
          <t>Reimer, Adam M (DFG):</t>
        </r>
        <r>
          <rPr>
            <sz val="9"/>
            <color indexed="81"/>
            <rFont val="Tahoma"/>
            <family val="2"/>
          </rPr>
          <t xml:space="preserve">
I put a fe new models in blue, models in green are ones I did not estimate.  I recommend we do not report on those.</t>
        </r>
      </text>
    </comment>
    <comment ref="B54" authorId="0">
      <text>
        <r>
          <rPr>
            <b/>
            <sz val="9"/>
            <color indexed="81"/>
            <rFont val="Tahoma"/>
            <family val="2"/>
          </rPr>
          <t>Reimer, Adam M (DFG):</t>
        </r>
        <r>
          <rPr>
            <sz val="9"/>
            <color indexed="81"/>
            <rFont val="Tahoma"/>
            <family val="2"/>
          </rPr>
          <t xml:space="preserve">
I noticed this row had not been changed to reflect this years selections.  Corrected now.</t>
        </r>
        <r>
          <rPr>
            <sz val="9"/>
            <color indexed="81"/>
            <rFont val="Tahoma"/>
            <family val="2"/>
          </rPr>
          <t xml:space="preserve">
</t>
        </r>
      </text>
    </comment>
    <comment ref="J54" authorId="1">
      <text>
        <r>
          <rPr>
            <b/>
            <sz val="9"/>
            <color indexed="81"/>
            <rFont val="Tahoma"/>
            <family val="2"/>
          </rPr>
          <t>Decovich, Nick A (DFG):</t>
        </r>
        <r>
          <rPr>
            <sz val="9"/>
            <color indexed="81"/>
            <rFont val="Tahoma"/>
            <family val="2"/>
          </rPr>
          <t xml:space="preserve">
Preliminary forecast based on models available. Seems high. </t>
        </r>
      </text>
    </comment>
    <comment ref="B61" authorId="0">
      <text>
        <r>
          <rPr>
            <b/>
            <sz val="9"/>
            <color indexed="81"/>
            <rFont val="Tahoma"/>
            <family val="2"/>
          </rPr>
          <t>Reimer, Adam M (DFG):</t>
        </r>
        <r>
          <rPr>
            <sz val="9"/>
            <color indexed="81"/>
            <rFont val="Tahoma"/>
            <family val="2"/>
          </rPr>
          <t xml:space="preserve">
I changed the denominator to 7 since there are 7 data points</t>
        </r>
      </text>
    </comment>
    <comment ref="B65" authorId="1">
      <text>
        <r>
          <rPr>
            <b/>
            <sz val="9"/>
            <color indexed="81"/>
            <rFont val="Tahoma"/>
            <family val="2"/>
          </rPr>
          <t>Decovich, Nick A (DFG):</t>
        </r>
        <r>
          <rPr>
            <sz val="9"/>
            <color indexed="81"/>
            <rFont val="Tahoma"/>
            <family val="2"/>
          </rPr>
          <t xml:space="preserve">
Which of these would you choose?
</t>
        </r>
        <r>
          <rPr>
            <b/>
            <sz val="9"/>
            <color indexed="81"/>
            <rFont val="Tahoma"/>
            <family val="2"/>
          </rPr>
          <t>Adam</t>
        </r>
        <r>
          <rPr>
            <sz val="9"/>
            <color indexed="81"/>
            <rFont val="Tahoma"/>
            <family val="2"/>
          </rPr>
          <t xml:space="preserve">
The one in column B</t>
        </r>
      </text>
    </comment>
  </commentList>
</comments>
</file>

<file path=xl/sharedStrings.xml><?xml version="1.0" encoding="utf-8"?>
<sst xmlns="http://schemas.openxmlformats.org/spreadsheetml/2006/main" count="192" uniqueCount="116">
  <si>
    <t>BROOD YEAR RETURN BY AGE</t>
  </si>
  <si>
    <t>BROOD TABLE</t>
  </si>
  <si>
    <t>(ESCAPEMENT + SPORT HARVEST +MARINE. HARVEST)</t>
  </si>
  <si>
    <t>TOTAL RETURN BY BROOD YEAR</t>
  </si>
  <si>
    <t>Total</t>
  </si>
  <si>
    <t>Brood</t>
  </si>
  <si>
    <t>Returning Number per Age Class</t>
  </si>
  <si>
    <t>Return per</t>
  </si>
  <si>
    <t>Return Year</t>
  </si>
  <si>
    <t>1.3</t>
  </si>
  <si>
    <t>1.4</t>
  </si>
  <si>
    <t>1.5</t>
  </si>
  <si>
    <t>All</t>
  </si>
  <si>
    <t>Year</t>
  </si>
  <si>
    <t>Return</t>
  </si>
  <si>
    <t>Spawner</t>
  </si>
  <si>
    <t>Yield</t>
  </si>
  <si>
    <t>avg.</t>
  </si>
  <si>
    <t>R/S</t>
  </si>
  <si>
    <t>S</t>
  </si>
  <si>
    <t>r12</t>
  </si>
  <si>
    <t>r11</t>
  </si>
  <si>
    <t>lnr12</t>
  </si>
  <si>
    <t>lnr11</t>
  </si>
  <si>
    <t>lnrs</t>
  </si>
  <si>
    <t>Forecasts:</t>
  </si>
  <si>
    <t>sibling</t>
  </si>
  <si>
    <t>ln sibling</t>
  </si>
  <si>
    <t>Ricker</t>
  </si>
  <si>
    <t>Age 1.2</t>
  </si>
  <si>
    <t>Hindcasts</t>
  </si>
  <si>
    <t>Model</t>
  </si>
  <si>
    <t>MAD</t>
  </si>
  <si>
    <t>MAPE</t>
  </si>
  <si>
    <t>MPE</t>
  </si>
  <si>
    <t>3-yr MAPE</t>
  </si>
  <si>
    <t>Standard Sibling 1992 on</t>
  </si>
  <si>
    <t>S (BY)</t>
  </si>
  <si>
    <t>Standard Log Sibling 1992 on</t>
  </si>
  <si>
    <t>Standard Ricker</t>
  </si>
  <si>
    <t>5-year average</t>
  </si>
  <si>
    <t>Ricker AR1</t>
  </si>
  <si>
    <t>Ricker w/AR1</t>
  </si>
  <si>
    <t>r13</t>
  </si>
  <si>
    <t>lnr13</t>
  </si>
  <si>
    <t>Age 1.3</t>
  </si>
  <si>
    <t>Standard Sibling</t>
  </si>
  <si>
    <t>Standard Log Sibling</t>
  </si>
  <si>
    <t>Log Sibling AR1</t>
  </si>
  <si>
    <t>Standard Log Sibling 1979 on</t>
  </si>
  <si>
    <t>Forecast</t>
  </si>
  <si>
    <t>1.2 return</t>
  </si>
  <si>
    <t>in year:</t>
  </si>
  <si>
    <t>Univariate Log AR1</t>
  </si>
  <si>
    <t>Univariate log AR1</t>
  </si>
  <si>
    <t>Univariate log MA1</t>
  </si>
  <si>
    <t>Ricker MA1</t>
  </si>
  <si>
    <t>Ricker w/MA1</t>
  </si>
  <si>
    <t>Univariate Log MA1 (better fit)</t>
  </si>
  <si>
    <t>ln sibling 1991</t>
  </si>
  <si>
    <t>sibling 1991</t>
  </si>
  <si>
    <t>Standard Sibling 1991 on</t>
  </si>
  <si>
    <t>Standard Log Sibling 1991 on</t>
  </si>
  <si>
    <t>ln sibling AR1</t>
  </si>
  <si>
    <t>Age 1.4</t>
  </si>
  <si>
    <t>r14</t>
  </si>
  <si>
    <t>lnr14</t>
  </si>
  <si>
    <t>Univariate AR1,2</t>
  </si>
  <si>
    <t>sibling 1990</t>
  </si>
  <si>
    <t>ln sibling 1990</t>
  </si>
  <si>
    <t>ln sibling 1978</t>
  </si>
  <si>
    <t>Standard Sibling 1990 on</t>
  </si>
  <si>
    <t>Standard Log Sibling 1990 on</t>
  </si>
  <si>
    <t>Standard Log Sibling 1978 on</t>
  </si>
  <si>
    <t>Univar AR1,2</t>
  </si>
  <si>
    <t>Sibling AR1,2</t>
  </si>
  <si>
    <t>Log Sibling AR1,2</t>
  </si>
  <si>
    <t>One-Step-Ahead Forecasts</t>
  </si>
  <si>
    <t>TOTAL FORECAST =</t>
  </si>
  <si>
    <t>Actual Total Runs</t>
  </si>
  <si>
    <t>5-yr MAPE</t>
  </si>
  <si>
    <t>Percent Error</t>
  </si>
  <si>
    <t>MSE</t>
  </si>
  <si>
    <t>ACTUAL - FORECAST</t>
  </si>
  <si>
    <t>sqrt(MSE)</t>
  </si>
  <si>
    <t>t-dist (p=0.2, df=5)</t>
  </si>
  <si>
    <t>d</t>
  </si>
  <si>
    <t>Upper 80% limit:</t>
  </si>
  <si>
    <t>Lower 80% limit:</t>
  </si>
  <si>
    <t>sibling, 92 on</t>
  </si>
  <si>
    <t>ln sibling, 92 on</t>
  </si>
  <si>
    <t xml:space="preserve"> </t>
  </si>
  <si>
    <t>Actual return of 1.3</t>
  </si>
  <si>
    <t>Actual return of 1.2</t>
  </si>
  <si>
    <t>Actual return of 1.4</t>
  </si>
  <si>
    <t>Univar log AR1</t>
  </si>
  <si>
    <t>CONFIDENCE LIMITS:</t>
  </si>
  <si>
    <t>ln sibling 1979</t>
  </si>
  <si>
    <t>ln sibling AR1/MA1</t>
  </si>
  <si>
    <t>Log Sibling AR1/MA1</t>
  </si>
  <si>
    <t>7-year</t>
  </si>
  <si>
    <t>Spawners</t>
  </si>
  <si>
    <t>5-yr average (ln)</t>
  </si>
  <si>
    <t>5yr MAD</t>
  </si>
  <si>
    <t>3yr MAD</t>
  </si>
  <si>
    <t>5yr MD</t>
  </si>
  <si>
    <t>3yr MD</t>
  </si>
  <si>
    <t>ave(ln)</t>
  </si>
  <si>
    <t>median(ln)</t>
  </si>
  <si>
    <t>5-year average(ln)</t>
  </si>
  <si>
    <t>5-year median(ln)</t>
  </si>
  <si>
    <t>5-yr median (ln)</t>
  </si>
  <si>
    <t>ln sibling AR2</t>
  </si>
  <si>
    <t>Deshka River Chinook 2018 Forecast Summary</t>
  </si>
  <si>
    <t>incomplete</t>
  </si>
  <si>
    <t>2018 Old Fish</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</si>
</sst>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41" formatCode="_(* #,##0_);_(* \(#,##0\);_(* &quot;-&quot;_);_(@_)"/>
    <numFmt numFmtId="43" formatCode="_(* #,##0.00_);_(* \(#,##0.00\);_(* &quot;-&quot;??_);_(@_)"/>
    <numFmt numFmtId="164" formatCode="0.000"/>
    <numFmt numFmtId="165" formatCode="0.0000"/>
    <numFmt numFmtId="166" formatCode="0.0%"/>
    <numFmt numFmtId="167" formatCode="0.0"/>
    <numFmt numFmtId="168" formatCode="0.00000000"/>
    <numFmt numFmtId="169" formatCode="0_);\(0\)"/>
  </numFmts>
  <fonts count="21" x14ac:knownFonts="1">
    <font>
      <sz val="10"/>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sz val="10"/>
      <name val="Times New Roman"/>
      <family val="1"/>
    </font>
    <font>
      <b/>
      <sz val="8"/>
      <color indexed="81"/>
      <name val="Tahoma"/>
      <family val="2"/>
    </font>
    <font>
      <sz val="8"/>
      <color indexed="81"/>
      <name val="Tahoma"/>
      <family val="2"/>
    </font>
    <font>
      <b/>
      <sz val="12"/>
      <name val="Arial"/>
      <family val="2"/>
    </font>
    <font>
      <i/>
      <sz val="10"/>
      <color indexed="12"/>
      <name val="Times New Roman"/>
      <family val="1"/>
    </font>
    <font>
      <b/>
      <sz val="10"/>
      <name val="Times New Roman"/>
      <family val="1"/>
    </font>
    <font>
      <sz val="10"/>
      <color indexed="12"/>
      <name val="Times New Roman"/>
      <family val="1"/>
    </font>
    <font>
      <sz val="10"/>
      <color indexed="12"/>
      <name val="Arial"/>
      <family val="2"/>
    </font>
    <font>
      <sz val="10"/>
      <name val="Arial"/>
      <family val="2"/>
    </font>
    <font>
      <sz val="10"/>
      <name val="Arial"/>
      <family val="2"/>
    </font>
    <font>
      <b/>
      <sz val="8"/>
      <color rgb="FF000000"/>
      <name val="Tahoma"/>
      <family val="2"/>
    </font>
    <font>
      <sz val="8"/>
      <color rgb="FF000000"/>
      <name val="Tahoma"/>
      <family val="2"/>
    </font>
    <font>
      <b/>
      <sz val="9"/>
      <color indexed="81"/>
      <name val="Tahoma"/>
      <family val="2"/>
    </font>
    <font>
      <sz val="9"/>
      <color indexed="81"/>
      <name val="Tahoma"/>
      <family val="2"/>
    </font>
  </fonts>
  <fills count="12">
    <fill>
      <patternFill patternType="none"/>
    </fill>
    <fill>
      <patternFill patternType="gray125"/>
    </fill>
    <fill>
      <patternFill patternType="solid">
        <fgColor indexed="42"/>
        <bgColor indexed="64"/>
      </patternFill>
    </fill>
    <fill>
      <patternFill patternType="solid">
        <fgColor rgb="FFFF0000"/>
        <bgColor indexed="64"/>
      </patternFill>
    </fill>
    <fill>
      <patternFill patternType="solid">
        <fgColor rgb="FFCCFFCC"/>
        <bgColor indexed="64"/>
      </patternFill>
    </fill>
    <fill>
      <patternFill patternType="solid">
        <fgColor indexed="15"/>
        <bgColor indexed="64"/>
      </patternFill>
    </fill>
    <fill>
      <patternFill patternType="solid">
        <fgColor rgb="FF00FFFF"/>
        <bgColor indexed="64"/>
      </patternFill>
    </fill>
    <fill>
      <patternFill patternType="solid">
        <fgColor rgb="FFFFFF00"/>
        <bgColor indexed="64"/>
      </patternFill>
    </fill>
    <fill>
      <patternFill patternType="solid">
        <fgColor theme="0" tint="-0.14999847407452621"/>
        <bgColor indexed="64"/>
      </patternFill>
    </fill>
    <fill>
      <patternFill patternType="solid">
        <fgColor rgb="FF92D050"/>
        <bgColor indexed="64"/>
      </patternFill>
    </fill>
    <fill>
      <patternFill patternType="solid">
        <fgColor rgb="FFCCFFCC"/>
        <bgColor rgb="FF000000"/>
      </patternFill>
    </fill>
    <fill>
      <patternFill patternType="solid">
        <fgColor rgb="FF00B050"/>
        <bgColor indexed="64"/>
      </patternFill>
    </fill>
  </fills>
  <borders count="21">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C1C1C1"/>
      </left>
      <right style="thin">
        <color rgb="FFC1C1C1"/>
      </right>
      <top style="thin">
        <color rgb="FFC1C1C1"/>
      </top>
      <bottom style="thin">
        <color rgb="FFC1C1C1"/>
      </bottom>
      <diagonal/>
    </border>
    <border>
      <left style="thin">
        <color rgb="FFC1C1C1"/>
      </left>
      <right style="thin">
        <color rgb="FFC1C1C1"/>
      </right>
      <top style="thin">
        <color rgb="FFC1C1C1"/>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s>
  <cellStyleXfs count="162">
    <xf numFmtId="0" fontId="0" fillId="0" borderId="0"/>
    <xf numFmtId="37" fontId="5" fillId="0" borderId="0" applyFont="0" applyFill="0" applyBorder="0" applyProtection="0">
      <alignment horizontal="center"/>
    </xf>
    <xf numFmtId="9" fontId="5" fillId="0" borderId="0" applyFont="0" applyFill="0" applyBorder="0" applyAlignment="0" applyProtection="0"/>
    <xf numFmtId="0" fontId="7" fillId="0" borderId="0"/>
    <xf numFmtId="0" fontId="4" fillId="0" borderId="0"/>
    <xf numFmtId="43" fontId="4" fillId="0" borderId="0" applyFont="0" applyFill="0" applyBorder="0" applyAlignment="0" applyProtection="0"/>
    <xf numFmtId="0" fontId="4" fillId="0" borderId="0"/>
    <xf numFmtId="9" fontId="4" fillId="0" borderId="0" applyFont="0" applyFill="0" applyBorder="0" applyAlignment="0" applyProtection="0"/>
    <xf numFmtId="0" fontId="15" fillId="0" borderId="0"/>
    <xf numFmtId="37" fontId="15" fillId="0" borderId="0" applyFont="0" applyFill="0" applyBorder="0" applyProtection="0">
      <alignment horizontal="center"/>
    </xf>
    <xf numFmtId="0" fontId="3" fillId="0" borderId="0"/>
    <xf numFmtId="9" fontId="15" fillId="0" borderId="0" applyFont="0" applyFill="0" applyBorder="0" applyAlignment="0" applyProtection="0"/>
    <xf numFmtId="41" fontId="5" fillId="0" borderId="0" applyFont="0" applyFill="0" applyBorder="0" applyAlignment="0" applyProtection="0"/>
    <xf numFmtId="43" fontId="5" fillId="0" borderId="0" applyFont="0" applyFill="0" applyBorder="0" applyAlignment="0" applyProtection="0"/>
    <xf numFmtId="37" fontId="5" fillId="0" borderId="0" applyFont="0" applyFill="0" applyBorder="0" applyProtection="0">
      <alignment horizontal="center"/>
    </xf>
    <xf numFmtId="43" fontId="3" fillId="0" borderId="0" applyFont="0" applyFill="0" applyBorder="0" applyAlignment="0" applyProtection="0"/>
    <xf numFmtId="37" fontId="5" fillId="0" borderId="0" applyFont="0" applyFill="0" applyBorder="0" applyProtection="0">
      <alignment horizontal="center"/>
    </xf>
    <xf numFmtId="37" fontId="5" fillId="0" borderId="0" applyFont="0" applyFill="0" applyBorder="0" applyProtection="0">
      <alignment horizontal="center"/>
    </xf>
    <xf numFmtId="37" fontId="5" fillId="0" borderId="0" applyFont="0" applyFill="0" applyBorder="0" applyProtection="0">
      <alignment horizontal="center"/>
    </xf>
    <xf numFmtId="37" fontId="5" fillId="0" borderId="0" applyFont="0" applyFill="0" applyBorder="0" applyProtection="0">
      <alignment horizontal="center"/>
    </xf>
    <xf numFmtId="0" fontId="5" fillId="0" borderId="0"/>
    <xf numFmtId="0" fontId="5" fillId="0" borderId="0"/>
    <xf numFmtId="0" fontId="5" fillId="0" borderId="0"/>
    <xf numFmtId="0" fontId="5" fillId="0" borderId="0"/>
    <xf numFmtId="0" fontId="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7" fillId="0" borderId="0"/>
    <xf numFmtId="9" fontId="5"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0" fontId="16" fillId="0" borderId="0"/>
    <xf numFmtId="37" fontId="16" fillId="0" borderId="0" applyFont="0" applyFill="0" applyBorder="0" applyProtection="0">
      <alignment horizontal="center"/>
    </xf>
    <xf numFmtId="0" fontId="2" fillId="0" borderId="0"/>
    <xf numFmtId="9" fontId="16" fillId="0" borderId="0" applyFont="0" applyFill="0" applyBorder="0" applyAlignment="0" applyProtection="0"/>
    <xf numFmtId="37" fontId="5" fillId="0" borderId="0" applyFont="0" applyFill="0" applyBorder="0" applyProtection="0">
      <alignment horizontal="center"/>
    </xf>
    <xf numFmtId="37" fontId="5" fillId="0" borderId="0" applyFont="0" applyFill="0" applyBorder="0" applyProtection="0">
      <alignment horizontal="center"/>
    </xf>
    <xf numFmtId="37" fontId="5" fillId="0" borderId="0" applyFont="0" applyFill="0" applyBorder="0" applyProtection="0">
      <alignment horizontal="center"/>
    </xf>
    <xf numFmtId="37" fontId="5" fillId="0" borderId="0" applyFont="0" applyFill="0" applyBorder="0" applyProtection="0">
      <alignment horizontal="center"/>
    </xf>
    <xf numFmtId="37" fontId="5" fillId="0" borderId="0" applyFont="0" applyFill="0" applyBorder="0" applyProtection="0">
      <alignment horizontal="center"/>
    </xf>
    <xf numFmtId="43" fontId="1" fillId="0" borderId="0" applyFont="0" applyFill="0" applyBorder="0" applyAlignment="0" applyProtection="0"/>
    <xf numFmtId="43" fontId="5" fillId="0" borderId="0" applyFont="0" applyFill="0" applyBorder="0" applyAlignment="0" applyProtection="0"/>
    <xf numFmtId="37" fontId="5" fillId="0" borderId="0" applyFont="0" applyFill="0" applyBorder="0" applyProtection="0">
      <alignment horizontal="center"/>
    </xf>
    <xf numFmtId="0" fontId="1" fillId="0" borderId="0"/>
    <xf numFmtId="0" fontId="1" fillId="0" borderId="0"/>
    <xf numFmtId="0" fontId="1" fillId="0" borderId="0"/>
    <xf numFmtId="9" fontId="1" fillId="0" borderId="0" applyFont="0" applyFill="0" applyBorder="0" applyAlignment="0" applyProtection="0"/>
    <xf numFmtId="9" fontId="5" fillId="0" borderId="0" applyFont="0" applyFill="0" applyBorder="0" applyAlignment="0" applyProtection="0"/>
  </cellStyleXfs>
  <cellXfs count="175">
    <xf numFmtId="0" fontId="0" fillId="0" borderId="0" xfId="0"/>
    <xf numFmtId="0" fontId="0" fillId="0" borderId="0" xfId="0" applyFill="1"/>
    <xf numFmtId="0" fontId="6" fillId="0" borderId="0" xfId="0" applyFont="1"/>
    <xf numFmtId="0" fontId="0" fillId="0" borderId="0" xfId="0" applyAlignment="1">
      <alignment horizontal="center"/>
    </xf>
    <xf numFmtId="3" fontId="0" fillId="0" borderId="0" xfId="0" applyNumberFormat="1" applyAlignment="1">
      <alignment horizontal="center"/>
    </xf>
    <xf numFmtId="0" fontId="0" fillId="0" borderId="0" xfId="0" applyBorder="1" applyAlignment="1">
      <alignment horizontal="center"/>
    </xf>
    <xf numFmtId="49" fontId="0" fillId="0" borderId="1" xfId="0" applyNumberFormat="1" applyBorder="1" applyAlignment="1">
      <alignment horizontal="center"/>
    </xf>
    <xf numFmtId="0" fontId="0" fillId="0" borderId="0" xfId="0" applyAlignment="1">
      <alignment horizontal="right"/>
    </xf>
    <xf numFmtId="2" fontId="0" fillId="0" borderId="0" xfId="0" applyNumberFormat="1" applyFill="1" applyAlignment="1">
      <alignment horizontal="center"/>
    </xf>
    <xf numFmtId="0" fontId="0" fillId="0" borderId="0" xfId="0" applyFill="1" applyBorder="1"/>
    <xf numFmtId="0" fontId="0" fillId="0" borderId="0" xfId="0" quotePrefix="1" applyAlignment="1">
      <alignment horizontal="center"/>
    </xf>
    <xf numFmtId="164" fontId="0" fillId="0" borderId="0" xfId="0" applyNumberFormat="1"/>
    <xf numFmtId="0" fontId="0" fillId="5" borderId="0" xfId="0" applyFill="1"/>
    <xf numFmtId="3" fontId="0" fillId="0" borderId="0" xfId="0" applyNumberFormat="1"/>
    <xf numFmtId="0" fontId="6" fillId="0" borderId="0" xfId="0" applyFont="1" applyAlignment="1">
      <alignment horizontal="center"/>
    </xf>
    <xf numFmtId="0" fontId="10" fillId="0" borderId="0" xfId="0" applyFont="1"/>
    <xf numFmtId="0" fontId="12" fillId="0" borderId="0" xfId="3" applyFont="1" applyFill="1" applyAlignment="1">
      <alignment horizontal="center"/>
    </xf>
    <xf numFmtId="0" fontId="7" fillId="0" borderId="0" xfId="3" applyAlignment="1">
      <alignment horizontal="right"/>
    </xf>
    <xf numFmtId="0" fontId="13" fillId="0" borderId="0" xfId="3" applyFont="1" applyAlignment="1">
      <alignment horizontal="center"/>
    </xf>
    <xf numFmtId="3" fontId="7" fillId="0" borderId="0" xfId="3" applyNumberFormat="1" applyFont="1" applyFill="1" applyAlignment="1">
      <alignment horizontal="center"/>
    </xf>
    <xf numFmtId="0" fontId="7" fillId="0" borderId="0" xfId="3" applyFont="1" applyFill="1" applyAlignment="1">
      <alignment horizontal="center"/>
    </xf>
    <xf numFmtId="2" fontId="7" fillId="0" borderId="0" xfId="3" applyNumberFormat="1" applyFill="1" applyBorder="1" applyAlignment="1">
      <alignment horizontal="center"/>
    </xf>
    <xf numFmtId="0" fontId="7" fillId="0" borderId="0" xfId="3" applyFont="1" applyAlignment="1">
      <alignment horizontal="right"/>
    </xf>
    <xf numFmtId="166" fontId="0" fillId="0" borderId="0" xfId="2" applyNumberFormat="1" applyFont="1" applyAlignment="1">
      <alignment horizontal="center"/>
    </xf>
    <xf numFmtId="1" fontId="7" fillId="0" borderId="0" xfId="3" applyNumberFormat="1" applyBorder="1" applyAlignment="1">
      <alignment horizontal="right"/>
    </xf>
    <xf numFmtId="1" fontId="0" fillId="0" borderId="0" xfId="0" applyNumberFormat="1" applyAlignment="1">
      <alignment horizontal="right"/>
    </xf>
    <xf numFmtId="1" fontId="0" fillId="0" borderId="0" xfId="0" applyNumberFormat="1"/>
    <xf numFmtId="3" fontId="0" fillId="0" borderId="0" xfId="0" applyNumberFormat="1" applyFont="1" applyAlignment="1">
      <alignment horizontal="center"/>
    </xf>
    <xf numFmtId="3" fontId="0" fillId="0" borderId="0" xfId="0" applyNumberFormat="1" applyFont="1" applyFill="1"/>
    <xf numFmtId="0" fontId="0" fillId="0" borderId="0" xfId="3" applyFont="1" applyBorder="1" applyAlignment="1">
      <alignment horizontal="right"/>
    </xf>
    <xf numFmtId="3" fontId="0" fillId="0" borderId="0" xfId="0" applyNumberFormat="1" applyFont="1" applyAlignment="1">
      <alignment horizontal="right"/>
    </xf>
    <xf numFmtId="3" fontId="0" fillId="0" borderId="0" xfId="0" applyNumberFormat="1" applyFont="1"/>
    <xf numFmtId="3" fontId="0" fillId="0" borderId="0" xfId="0" applyNumberFormat="1" applyFill="1" applyAlignment="1">
      <alignment horizontal="center"/>
    </xf>
    <xf numFmtId="1" fontId="0" fillId="0" borderId="0" xfId="0" applyNumberFormat="1" applyAlignment="1">
      <alignment horizontal="center"/>
    </xf>
    <xf numFmtId="3" fontId="0" fillId="0" borderId="0" xfId="0" applyNumberFormat="1" applyFill="1" applyAlignment="1">
      <alignment horizontal="left"/>
    </xf>
    <xf numFmtId="166" fontId="11" fillId="0" borderId="0" xfId="3" applyNumberFormat="1" applyFont="1" applyAlignment="1">
      <alignment horizontal="center"/>
    </xf>
    <xf numFmtId="166" fontId="13" fillId="0" borderId="0" xfId="3" applyNumberFormat="1" applyFont="1" applyAlignment="1">
      <alignment horizontal="center"/>
    </xf>
    <xf numFmtId="166" fontId="0" fillId="0" borderId="0" xfId="0" applyNumberFormat="1" applyAlignment="1">
      <alignment horizontal="center"/>
    </xf>
    <xf numFmtId="3" fontId="7" fillId="0" borderId="0" xfId="3" applyNumberFormat="1" applyFill="1" applyBorder="1" applyAlignment="1">
      <alignment horizontal="center"/>
    </xf>
    <xf numFmtId="4" fontId="7" fillId="0" borderId="0" xfId="3" applyNumberFormat="1" applyFill="1" applyBorder="1" applyAlignment="1">
      <alignment horizontal="center"/>
    </xf>
    <xf numFmtId="166" fontId="0" fillId="0" borderId="0" xfId="0" applyNumberFormat="1" applyFill="1" applyAlignment="1">
      <alignment horizontal="center"/>
    </xf>
    <xf numFmtId="3" fontId="0" fillId="0" borderId="0" xfId="0" applyNumberFormat="1" applyFill="1" applyAlignment="1">
      <alignment horizontal="right"/>
    </xf>
    <xf numFmtId="3" fontId="0" fillId="0" borderId="0" xfId="0" applyNumberFormat="1" applyAlignment="1">
      <alignment horizontal="right"/>
    </xf>
    <xf numFmtId="165" fontId="0" fillId="0" borderId="0" xfId="0" applyNumberFormat="1" applyAlignment="1">
      <alignment horizontal="center"/>
    </xf>
    <xf numFmtId="165" fontId="0" fillId="4" borderId="0" xfId="0" applyNumberFormat="1" applyFill="1" applyAlignment="1">
      <alignment horizontal="center"/>
    </xf>
    <xf numFmtId="1" fontId="5" fillId="0" borderId="0" xfId="0" applyNumberFormat="1" applyFont="1" applyFill="1" applyBorder="1" applyAlignment="1">
      <alignment horizontal="center"/>
    </xf>
    <xf numFmtId="3" fontId="0" fillId="0" borderId="0" xfId="0" applyNumberFormat="1" applyFont="1" applyBorder="1" applyAlignment="1">
      <alignment horizontal="center"/>
    </xf>
    <xf numFmtId="3" fontId="0" fillId="6" borderId="0" xfId="0" applyNumberFormat="1" applyFill="1"/>
    <xf numFmtId="1" fontId="0" fillId="6" borderId="0" xfId="0" applyNumberFormat="1" applyFill="1" applyAlignment="1">
      <alignment horizontal="center"/>
    </xf>
    <xf numFmtId="3" fontId="0" fillId="6" borderId="0" xfId="0" applyNumberFormat="1" applyFill="1" applyAlignment="1">
      <alignment horizontal="center"/>
    </xf>
    <xf numFmtId="0" fontId="0" fillId="0" borderId="0" xfId="0" applyFont="1" applyFill="1"/>
    <xf numFmtId="3" fontId="5" fillId="0" borderId="0" xfId="3" applyNumberFormat="1" applyFont="1" applyFill="1" applyBorder="1" applyAlignment="1">
      <alignment horizontal="center"/>
    </xf>
    <xf numFmtId="4" fontId="5" fillId="0" borderId="0" xfId="3" applyNumberFormat="1" applyFont="1" applyFill="1" applyBorder="1" applyAlignment="1">
      <alignment horizontal="center"/>
    </xf>
    <xf numFmtId="2" fontId="5" fillId="0" borderId="0" xfId="3" applyNumberFormat="1" applyFont="1" applyFill="1" applyBorder="1" applyAlignment="1">
      <alignment horizontal="center"/>
    </xf>
    <xf numFmtId="0" fontId="6" fillId="5" borderId="0" xfId="0" applyFont="1" applyFill="1"/>
    <xf numFmtId="0" fontId="0" fillId="0" borderId="0" xfId="3" applyFont="1" applyAlignment="1">
      <alignment horizontal="left"/>
    </xf>
    <xf numFmtId="0" fontId="0" fillId="0" borderId="0" xfId="0" applyFont="1"/>
    <xf numFmtId="0" fontId="7" fillId="0" borderId="2" xfId="3" applyBorder="1" applyAlignment="1">
      <alignment horizontal="right"/>
    </xf>
    <xf numFmtId="0" fontId="7" fillId="0" borderId="2" xfId="3" applyFill="1" applyBorder="1" applyAlignment="1">
      <alignment horizontal="right"/>
    </xf>
    <xf numFmtId="0" fontId="0" fillId="0" borderId="0" xfId="0" applyAlignment="1">
      <alignment horizontal="left"/>
    </xf>
    <xf numFmtId="3" fontId="0" fillId="6" borderId="0" xfId="0" applyNumberFormat="1" applyFont="1" applyFill="1" applyAlignment="1">
      <alignment horizontal="center"/>
    </xf>
    <xf numFmtId="3" fontId="0" fillId="6" borderId="0" xfId="0" applyNumberFormat="1" applyFont="1" applyFill="1"/>
    <xf numFmtId="1" fontId="0" fillId="3" borderId="0" xfId="0" applyNumberFormat="1" applyFont="1" applyFill="1" applyAlignment="1">
      <alignment horizontal="center"/>
    </xf>
    <xf numFmtId="3" fontId="0" fillId="8" borderId="0" xfId="0" applyNumberFormat="1" applyFill="1"/>
    <xf numFmtId="3" fontId="0" fillId="0" borderId="0" xfId="0" applyNumberFormat="1" applyFont="1" applyFill="1" applyBorder="1" applyAlignment="1">
      <alignment horizontal="center"/>
    </xf>
    <xf numFmtId="0" fontId="0" fillId="0" borderId="0" xfId="0" applyFill="1" applyAlignment="1">
      <alignment horizontal="center"/>
    </xf>
    <xf numFmtId="0" fontId="5" fillId="0" borderId="0" xfId="0" applyFont="1" applyFill="1" applyBorder="1" applyAlignment="1">
      <alignment horizontal="center"/>
    </xf>
    <xf numFmtId="37" fontId="5" fillId="0" borderId="0" xfId="1" applyFont="1" applyFill="1" applyBorder="1">
      <alignment horizontal="center"/>
    </xf>
    <xf numFmtId="37" fontId="5" fillId="0" borderId="0" xfId="0" applyNumberFormat="1" applyFont="1" applyFill="1" applyBorder="1" applyAlignment="1">
      <alignment horizontal="center"/>
    </xf>
    <xf numFmtId="0" fontId="11" fillId="0" borderId="0" xfId="3" applyFont="1" applyBorder="1" applyAlignment="1">
      <alignment horizontal="center"/>
    </xf>
    <xf numFmtId="37" fontId="0" fillId="0" borderId="0" xfId="0" applyNumberFormat="1" applyFont="1" applyFill="1" applyBorder="1" applyAlignment="1">
      <alignment horizontal="center"/>
    </xf>
    <xf numFmtId="3" fontId="0" fillId="9" borderId="0" xfId="0" applyNumberFormat="1" applyFont="1" applyFill="1" applyBorder="1" applyAlignment="1">
      <alignment horizontal="center"/>
    </xf>
    <xf numFmtId="3" fontId="6" fillId="7" borderId="0" xfId="0" applyNumberFormat="1" applyFont="1" applyFill="1" applyBorder="1"/>
    <xf numFmtId="167" fontId="0" fillId="0" borderId="0" xfId="0" applyNumberFormat="1" applyBorder="1"/>
    <xf numFmtId="166" fontId="0" fillId="0" borderId="0" xfId="0" applyNumberFormat="1" applyBorder="1" applyAlignment="1">
      <alignment horizontal="center"/>
    </xf>
    <xf numFmtId="3" fontId="6" fillId="6" borderId="0" xfId="0" applyNumberFormat="1" applyFont="1" applyFill="1" applyBorder="1" applyAlignment="1">
      <alignment horizontal="center"/>
    </xf>
    <xf numFmtId="0" fontId="11" fillId="0" borderId="0" xfId="3" applyFont="1" applyFill="1" applyBorder="1" applyAlignment="1">
      <alignment horizontal="center"/>
    </xf>
    <xf numFmtId="0" fontId="5" fillId="0" borderId="12" xfId="0" applyFont="1" applyFill="1" applyBorder="1"/>
    <xf numFmtId="0" fontId="0" fillId="0" borderId="12" xfId="0" applyFont="1" applyFill="1" applyBorder="1"/>
    <xf numFmtId="0" fontId="0" fillId="0" borderId="13" xfId="0" applyFill="1" applyBorder="1"/>
    <xf numFmtId="0" fontId="0" fillId="0" borderId="12" xfId="0" applyFill="1" applyBorder="1"/>
    <xf numFmtId="0" fontId="5" fillId="0" borderId="12" xfId="0" applyFont="1" applyBorder="1"/>
    <xf numFmtId="37" fontId="0" fillId="0" borderId="0" xfId="0" applyNumberFormat="1" applyFont="1" applyBorder="1" applyAlignment="1">
      <alignment horizontal="center"/>
    </xf>
    <xf numFmtId="0" fontId="14" fillId="0" borderId="0" xfId="3" applyFont="1" applyBorder="1" applyAlignment="1">
      <alignment horizontal="center"/>
    </xf>
    <xf numFmtId="3" fontId="5" fillId="0" borderId="0" xfId="3" applyNumberFormat="1" applyFont="1" applyBorder="1" applyAlignment="1">
      <alignment horizontal="center"/>
    </xf>
    <xf numFmtId="0" fontId="14" fillId="0" borderId="0" xfId="0" applyFont="1" applyBorder="1" applyAlignment="1">
      <alignment horizontal="center"/>
    </xf>
    <xf numFmtId="0" fontId="0" fillId="0" borderId="0" xfId="0"/>
    <xf numFmtId="0" fontId="0" fillId="0" borderId="0" xfId="0" applyFill="1"/>
    <xf numFmtId="0" fontId="6" fillId="0" borderId="0" xfId="0" applyFont="1" applyAlignment="1">
      <alignment horizontal="center"/>
    </xf>
    <xf numFmtId="164" fontId="0" fillId="0" borderId="0" xfId="0" applyNumberFormat="1"/>
    <xf numFmtId="0" fontId="0" fillId="0" borderId="0" xfId="0"/>
    <xf numFmtId="0" fontId="0" fillId="0" borderId="0" xfId="0" applyBorder="1"/>
    <xf numFmtId="0" fontId="0" fillId="0" borderId="1" xfId="0" applyBorder="1" applyAlignment="1">
      <alignment horizontal="center"/>
    </xf>
    <xf numFmtId="37" fontId="0" fillId="0" borderId="0" xfId="1" applyFont="1" applyFill="1">
      <alignment horizontal="center"/>
    </xf>
    <xf numFmtId="37" fontId="0" fillId="0" borderId="0" xfId="0" applyNumberFormat="1"/>
    <xf numFmtId="0" fontId="0" fillId="0" borderId="0" xfId="0" applyBorder="1" applyAlignment="1">
      <alignment horizontal="center"/>
    </xf>
    <xf numFmtId="3" fontId="0" fillId="0" borderId="0" xfId="0" applyNumberFormat="1"/>
    <xf numFmtId="3" fontId="5" fillId="0" borderId="0" xfId="0" applyNumberFormat="1" applyFont="1" applyBorder="1" applyAlignment="1">
      <alignment horizontal="center"/>
    </xf>
    <xf numFmtId="0" fontId="0" fillId="0" borderId="12" xfId="0" applyBorder="1"/>
    <xf numFmtId="0" fontId="0" fillId="0" borderId="13" xfId="0" applyBorder="1"/>
    <xf numFmtId="3" fontId="0" fillId="0" borderId="0" xfId="0" applyNumberFormat="1" applyBorder="1" applyAlignment="1">
      <alignment horizontal="center"/>
    </xf>
    <xf numFmtId="0" fontId="0" fillId="0" borderId="11" xfId="0" applyBorder="1"/>
    <xf numFmtId="3" fontId="5" fillId="0" borderId="0" xfId="0" applyNumberFormat="1" applyFont="1" applyFill="1" applyBorder="1" applyAlignment="1">
      <alignment horizontal="center"/>
    </xf>
    <xf numFmtId="0" fontId="6" fillId="0" borderId="0" xfId="0" applyFont="1" applyAlignment="1">
      <alignment horizontal="center"/>
    </xf>
    <xf numFmtId="164" fontId="0" fillId="0" borderId="0" xfId="0" applyNumberFormat="1"/>
    <xf numFmtId="0" fontId="0" fillId="0" borderId="1" xfId="0" applyBorder="1"/>
    <xf numFmtId="0" fontId="0" fillId="0" borderId="2" xfId="0" applyBorder="1"/>
    <xf numFmtId="3" fontId="0" fillId="0" borderId="0" xfId="0" applyNumberFormat="1" applyFill="1"/>
    <xf numFmtId="4" fontId="0" fillId="0" borderId="0" xfId="0" applyNumberFormat="1" applyFill="1" applyBorder="1" applyAlignment="1">
      <alignment horizontal="center"/>
    </xf>
    <xf numFmtId="0" fontId="0" fillId="0" borderId="3" xfId="0" applyBorder="1" applyAlignment="1">
      <alignment horizontal="center"/>
    </xf>
    <xf numFmtId="0" fontId="0" fillId="0" borderId="6" xfId="0" applyBorder="1" applyAlignment="1">
      <alignment horizontal="center"/>
    </xf>
    <xf numFmtId="0" fontId="0" fillId="0" borderId="8" xfId="0" applyBorder="1" applyAlignment="1">
      <alignment horizontal="center"/>
    </xf>
    <xf numFmtId="0" fontId="0" fillId="0" borderId="14" xfId="0" applyBorder="1" applyAlignment="1">
      <alignment horizontal="center"/>
    </xf>
    <xf numFmtId="1" fontId="16" fillId="0" borderId="0" xfId="0" applyNumberFormat="1" applyFont="1" applyFill="1" applyBorder="1" applyAlignment="1">
      <alignment horizontal="center"/>
    </xf>
    <xf numFmtId="1" fontId="16" fillId="0" borderId="0" xfId="1" applyNumberFormat="1" applyFont="1" applyFill="1" applyBorder="1">
      <alignment horizontal="center"/>
    </xf>
    <xf numFmtId="1" fontId="16" fillId="10" borderId="0" xfId="1" applyNumberFormat="1" applyFont="1" applyFill="1" applyBorder="1">
      <alignment horizontal="center"/>
    </xf>
    <xf numFmtId="1" fontId="5" fillId="4" borderId="0" xfId="1" applyNumberFormat="1" applyFont="1" applyFill="1" applyBorder="1">
      <alignment horizontal="center"/>
    </xf>
    <xf numFmtId="1" fontId="0" fillId="0" borderId="0" xfId="1" applyNumberFormat="1" applyFont="1" applyFill="1">
      <alignment horizontal="center"/>
    </xf>
    <xf numFmtId="3" fontId="0" fillId="7" borderId="0" xfId="0" applyNumberFormat="1" applyFill="1"/>
    <xf numFmtId="0" fontId="0" fillId="7" borderId="0" xfId="0" applyFill="1"/>
    <xf numFmtId="0" fontId="0" fillId="0" borderId="17" xfId="0" applyBorder="1" applyAlignment="1">
      <alignment vertical="top"/>
    </xf>
    <xf numFmtId="0" fontId="0" fillId="0" borderId="18" xfId="0" applyBorder="1" applyAlignment="1">
      <alignment vertical="top"/>
    </xf>
    <xf numFmtId="0" fontId="0" fillId="0" borderId="19" xfId="0" applyBorder="1" applyAlignment="1">
      <alignment vertical="top"/>
    </xf>
    <xf numFmtId="0" fontId="0" fillId="0" borderId="20" xfId="0" applyBorder="1" applyAlignment="1">
      <alignment vertical="top"/>
    </xf>
    <xf numFmtId="0" fontId="0" fillId="0" borderId="17" xfId="0" applyBorder="1" applyAlignment="1">
      <alignment vertical="top" wrapText="1"/>
    </xf>
    <xf numFmtId="0" fontId="0" fillId="0" borderId="18" xfId="0" applyBorder="1"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0" fillId="0" borderId="0" xfId="0" applyBorder="1" applyAlignment="1">
      <alignment vertical="top" wrapText="1"/>
    </xf>
    <xf numFmtId="1" fontId="5" fillId="9" borderId="0" xfId="3" applyNumberFormat="1" applyFont="1" applyFill="1" applyBorder="1" applyAlignment="1">
      <alignment horizontal="center"/>
    </xf>
    <xf numFmtId="168" fontId="0" fillId="0" borderId="0" xfId="0" applyNumberFormat="1"/>
    <xf numFmtId="1" fontId="0" fillId="6" borderId="0" xfId="0" applyNumberFormat="1" applyFill="1"/>
    <xf numFmtId="0" fontId="0" fillId="6" borderId="12" xfId="0" applyFill="1" applyBorder="1"/>
    <xf numFmtId="3" fontId="0" fillId="6" borderId="0" xfId="0" applyNumberFormat="1" applyFill="1" applyBorder="1"/>
    <xf numFmtId="0" fontId="0" fillId="9" borderId="12" xfId="0" applyFill="1" applyBorder="1"/>
    <xf numFmtId="3" fontId="0" fillId="11" borderId="0" xfId="0" applyNumberFormat="1" applyFont="1" applyFill="1" applyBorder="1" applyAlignment="1">
      <alignment horizontal="center"/>
    </xf>
    <xf numFmtId="1" fontId="5" fillId="11" borderId="0" xfId="3" applyNumberFormat="1" applyFont="1" applyFill="1" applyBorder="1" applyAlignment="1">
      <alignment horizontal="center"/>
    </xf>
    <xf numFmtId="37" fontId="0" fillId="9" borderId="0" xfId="0" applyNumberFormat="1" applyFont="1" applyFill="1" applyBorder="1" applyAlignment="1">
      <alignment horizontal="center"/>
    </xf>
    <xf numFmtId="3" fontId="0" fillId="0" borderId="0" xfId="0" applyNumberFormat="1" applyFont="1" applyFill="1" applyAlignment="1">
      <alignment horizontal="center"/>
    </xf>
    <xf numFmtId="0" fontId="11" fillId="0" borderId="0" xfId="3" applyFont="1" applyFill="1" applyBorder="1" applyAlignment="1">
      <alignment horizontal="center"/>
    </xf>
    <xf numFmtId="0" fontId="11" fillId="0" borderId="0" xfId="3" applyFont="1" applyFill="1" applyBorder="1" applyAlignment="1">
      <alignment horizontal="center"/>
    </xf>
    <xf numFmtId="0" fontId="0" fillId="0" borderId="0" xfId="0" applyBorder="1" applyAlignment="1">
      <alignment horizontal="center"/>
    </xf>
    <xf numFmtId="0" fontId="0" fillId="0" borderId="1" xfId="0" applyBorder="1" applyAlignment="1">
      <alignment horizontal="center"/>
    </xf>
    <xf numFmtId="3" fontId="0" fillId="0" borderId="0" xfId="1" applyNumberFormat="1" applyFont="1" applyAlignment="1">
      <alignment horizontal="center"/>
    </xf>
    <xf numFmtId="4" fontId="0" fillId="0" borderId="0" xfId="0" applyNumberFormat="1" applyAlignment="1">
      <alignment horizontal="center"/>
    </xf>
    <xf numFmtId="3" fontId="0" fillId="2" borderId="0" xfId="1" applyNumberFormat="1" applyFont="1" applyFill="1" applyAlignment="1">
      <alignment horizontal="center"/>
    </xf>
    <xf numFmtId="3" fontId="0" fillId="0" borderId="0" xfId="1" applyNumberFormat="1" applyFont="1" applyFill="1" applyAlignment="1">
      <alignment horizontal="center"/>
    </xf>
    <xf numFmtId="3" fontId="0" fillId="0" borderId="4" xfId="1" applyNumberFormat="1" applyFont="1" applyFill="1" applyBorder="1" applyAlignment="1">
      <alignment horizontal="center"/>
    </xf>
    <xf numFmtId="3" fontId="0" fillId="0" borderId="4" xfId="1" applyNumberFormat="1" applyFont="1" applyBorder="1" applyAlignment="1">
      <alignment horizontal="center"/>
    </xf>
    <xf numFmtId="4" fontId="0" fillId="0" borderId="4" xfId="0" applyNumberFormat="1" applyFill="1" applyBorder="1" applyAlignment="1">
      <alignment horizontal="center"/>
    </xf>
    <xf numFmtId="3" fontId="0" fillId="0" borderId="5" xfId="1" applyNumberFormat="1" applyFont="1" applyFill="1" applyBorder="1" applyAlignment="1">
      <alignment horizontal="center"/>
    </xf>
    <xf numFmtId="3" fontId="0" fillId="0" borderId="0" xfId="1" applyNumberFormat="1" applyFont="1" applyFill="1" applyBorder="1" applyAlignment="1">
      <alignment horizontal="center"/>
    </xf>
    <xf numFmtId="3" fontId="0" fillId="0" borderId="0" xfId="1" applyNumberFormat="1" applyFont="1" applyBorder="1" applyAlignment="1">
      <alignment horizontal="center"/>
    </xf>
    <xf numFmtId="3" fontId="0" fillId="0" borderId="7" xfId="1" applyNumberFormat="1" applyFont="1" applyFill="1" applyBorder="1" applyAlignment="1">
      <alignment horizontal="center"/>
    </xf>
    <xf numFmtId="4" fontId="0" fillId="0" borderId="0" xfId="0" applyNumberFormat="1" applyBorder="1" applyAlignment="1">
      <alignment horizontal="center"/>
    </xf>
    <xf numFmtId="3" fontId="5" fillId="0" borderId="0" xfId="1" applyNumberFormat="1" applyFont="1" applyFill="1" applyBorder="1" applyAlignment="1">
      <alignment horizontal="center"/>
    </xf>
    <xf numFmtId="3" fontId="0" fillId="0" borderId="9" xfId="1" applyNumberFormat="1" applyFont="1" applyFill="1" applyBorder="1" applyAlignment="1">
      <alignment horizontal="center"/>
    </xf>
    <xf numFmtId="3" fontId="5" fillId="0" borderId="9" xfId="1" applyNumberFormat="1" applyFont="1" applyFill="1" applyBorder="1" applyAlignment="1">
      <alignment horizontal="center"/>
    </xf>
    <xf numFmtId="4" fontId="0" fillId="0" borderId="9" xfId="0" applyNumberFormat="1" applyFill="1" applyBorder="1" applyAlignment="1">
      <alignment horizontal="center"/>
    </xf>
    <xf numFmtId="3" fontId="0" fillId="0" borderId="10" xfId="1" applyNumberFormat="1" applyFont="1" applyFill="1" applyBorder="1" applyAlignment="1">
      <alignment horizontal="center"/>
    </xf>
    <xf numFmtId="3" fontId="0" fillId="0" borderId="15" xfId="1" applyNumberFormat="1" applyFont="1" applyFill="1" applyBorder="1" applyAlignment="1">
      <alignment horizontal="center"/>
    </xf>
    <xf numFmtId="3" fontId="5" fillId="0" borderId="15" xfId="1" applyNumberFormat="1" applyFont="1" applyFill="1" applyBorder="1" applyAlignment="1">
      <alignment horizontal="center"/>
    </xf>
    <xf numFmtId="4" fontId="0" fillId="0" borderId="15" xfId="0" applyNumberFormat="1" applyFill="1" applyBorder="1" applyAlignment="1">
      <alignment horizontal="center"/>
    </xf>
    <xf numFmtId="3" fontId="0" fillId="0" borderId="16" xfId="1" applyNumberFormat="1" applyFont="1" applyFill="1" applyBorder="1" applyAlignment="1">
      <alignment horizontal="center"/>
    </xf>
    <xf numFmtId="3" fontId="0" fillId="3" borderId="0" xfId="0" applyNumberFormat="1" applyFill="1" applyAlignment="1">
      <alignment horizontal="center"/>
    </xf>
    <xf numFmtId="1" fontId="5" fillId="0" borderId="0" xfId="3" applyNumberFormat="1" applyFont="1" applyFill="1" applyBorder="1" applyAlignment="1">
      <alignment horizontal="center"/>
    </xf>
    <xf numFmtId="169" fontId="0" fillId="0" borderId="0" xfId="1" applyNumberFormat="1" applyFont="1" applyFill="1">
      <alignment horizontal="center"/>
    </xf>
    <xf numFmtId="169" fontId="5" fillId="0" borderId="0" xfId="1" applyNumberFormat="1" applyFont="1" applyFill="1">
      <alignment horizontal="center"/>
    </xf>
    <xf numFmtId="0" fontId="7" fillId="0" borderId="2" xfId="3" applyBorder="1" applyAlignment="1">
      <alignment horizontal="center"/>
    </xf>
    <xf numFmtId="0" fontId="0" fillId="0" borderId="2" xfId="0" applyBorder="1" applyAlignment="1">
      <alignment horizontal="center"/>
    </xf>
    <xf numFmtId="0" fontId="11" fillId="0" borderId="0" xfId="3" applyFont="1" applyFill="1" applyBorder="1" applyAlignment="1">
      <alignment horizontal="center"/>
    </xf>
    <xf numFmtId="0" fontId="11" fillId="0" borderId="0" xfId="3" applyFont="1" applyBorder="1" applyAlignment="1">
      <alignment horizontal="center"/>
    </xf>
    <xf numFmtId="0" fontId="0" fillId="0" borderId="0" xfId="0" applyBorder="1" applyAlignment="1">
      <alignment horizontal="center"/>
    </xf>
    <xf numFmtId="0" fontId="7" fillId="0" borderId="1" xfId="3" applyFont="1" applyFill="1" applyBorder="1" applyAlignment="1">
      <alignment horizontal="center"/>
    </xf>
    <xf numFmtId="0" fontId="0" fillId="0" borderId="1" xfId="0" applyBorder="1" applyAlignment="1">
      <alignment horizontal="center"/>
    </xf>
  </cellXfs>
  <cellStyles count="162">
    <cellStyle name="Comma" xfId="1" builtinId="3"/>
    <cellStyle name="Comma [0] 2" xfId="12"/>
    <cellStyle name="Comma 10" xfId="149"/>
    <cellStyle name="Comma 11" xfId="150"/>
    <cellStyle name="Comma 12" xfId="151"/>
    <cellStyle name="Comma 2" xfId="5"/>
    <cellStyle name="Comma 2 2" xfId="13"/>
    <cellStyle name="Comma 2 3" xfId="14"/>
    <cellStyle name="Comma 2 4" xfId="15"/>
    <cellStyle name="Comma 2 4 2" xfId="154"/>
    <cellStyle name="Comma 3" xfId="9"/>
    <cellStyle name="Comma 3 2" xfId="16"/>
    <cellStyle name="Comma 3 3" xfId="155"/>
    <cellStyle name="Comma 4" xfId="17"/>
    <cellStyle name="Comma 5" xfId="18"/>
    <cellStyle name="Comma 6" xfId="19"/>
    <cellStyle name="Comma 7" xfId="146"/>
    <cellStyle name="Comma 7 2" xfId="156"/>
    <cellStyle name="Comma 8" xfId="152"/>
    <cellStyle name="Comma 9" xfId="153"/>
    <cellStyle name="Normal" xfId="0" builtinId="0"/>
    <cellStyle name="Normal 10" xfId="6"/>
    <cellStyle name="Normal 10 2" xfId="10"/>
    <cellStyle name="Normal 10 2 2" xfId="158"/>
    <cellStyle name="Normal 10 3" xfId="147"/>
    <cellStyle name="Normal 10 4" xfId="157"/>
    <cellStyle name="Normal 11" xfId="145"/>
    <cellStyle name="Normal 2" xfId="4"/>
    <cellStyle name="Normal 2 10" xfId="20"/>
    <cellStyle name="Normal 2 10 2" xfId="21"/>
    <cellStyle name="Normal 2 11" xfId="22"/>
    <cellStyle name="Normal 2 12" xfId="23"/>
    <cellStyle name="Normal 2 13" xfId="24"/>
    <cellStyle name="Normal 2 13 2" xfId="159"/>
    <cellStyle name="Normal 2 2" xfId="25"/>
    <cellStyle name="Normal 2 2 10" xfId="26"/>
    <cellStyle name="Normal 2 2 10 2" xfId="27"/>
    <cellStyle name="Normal 2 2 11" xfId="28"/>
    <cellStyle name="Normal 2 2 2" xfId="29"/>
    <cellStyle name="Normal 2 2 2 2" xfId="30"/>
    <cellStyle name="Normal 2 2 3" xfId="31"/>
    <cellStyle name="Normal 2 2 3 2" xfId="32"/>
    <cellStyle name="Normal 2 2 4" xfId="33"/>
    <cellStyle name="Normal 2 2 4 2" xfId="34"/>
    <cellStyle name="Normal 2 2 5" xfId="35"/>
    <cellStyle name="Normal 2 2 5 2" xfId="36"/>
    <cellStyle name="Normal 2 2 6" xfId="37"/>
    <cellStyle name="Normal 2 2 6 2" xfId="38"/>
    <cellStyle name="Normal 2 2 7" xfId="39"/>
    <cellStyle name="Normal 2 2 7 2" xfId="40"/>
    <cellStyle name="Normal 2 2 8" xfId="41"/>
    <cellStyle name="Normal 2 2 8 2" xfId="42"/>
    <cellStyle name="Normal 2 2 9" xfId="43"/>
    <cellStyle name="Normal 2 2 9 2" xfId="44"/>
    <cellStyle name="Normal 2 3" xfId="45"/>
    <cellStyle name="Normal 2 3 2" xfId="46"/>
    <cellStyle name="Normal 2 4" xfId="47"/>
    <cellStyle name="Normal 2 4 2" xfId="48"/>
    <cellStyle name="Normal 2 5" xfId="49"/>
    <cellStyle name="Normal 2 5 2" xfId="50"/>
    <cellStyle name="Normal 2 6" xfId="51"/>
    <cellStyle name="Normal 2 6 2" xfId="52"/>
    <cellStyle name="Normal 2 7" xfId="53"/>
    <cellStyle name="Normal 2 7 2" xfId="54"/>
    <cellStyle name="Normal 2 8" xfId="55"/>
    <cellStyle name="Normal 2 8 2" xfId="56"/>
    <cellStyle name="Normal 2 9" xfId="57"/>
    <cellStyle name="Normal 2 9 2" xfId="58"/>
    <cellStyle name="Normal 3" xfId="8"/>
    <cellStyle name="Normal 3 10" xfId="59"/>
    <cellStyle name="Normal 3 10 2" xfId="60"/>
    <cellStyle name="Normal 3 11" xfId="61"/>
    <cellStyle name="Normal 3 2" xfId="62"/>
    <cellStyle name="Normal 3 2 2" xfId="63"/>
    <cellStyle name="Normal 3 3" xfId="64"/>
    <cellStyle name="Normal 3 3 2" xfId="65"/>
    <cellStyle name="Normal 3 4" xfId="66"/>
    <cellStyle name="Normal 3 4 2" xfId="67"/>
    <cellStyle name="Normal 3 5" xfId="68"/>
    <cellStyle name="Normal 3 5 2" xfId="69"/>
    <cellStyle name="Normal 3 6" xfId="70"/>
    <cellStyle name="Normal 3 6 2" xfId="71"/>
    <cellStyle name="Normal 3 7" xfId="72"/>
    <cellStyle name="Normal 3 7 2" xfId="73"/>
    <cellStyle name="Normal 3 8" xfId="74"/>
    <cellStyle name="Normal 3 8 2" xfId="75"/>
    <cellStyle name="Normal 3 9" xfId="76"/>
    <cellStyle name="Normal 3 9 2" xfId="77"/>
    <cellStyle name="Normal 4" xfId="78"/>
    <cellStyle name="Normal 4 10" xfId="79"/>
    <cellStyle name="Normal 4 10 2" xfId="80"/>
    <cellStyle name="Normal 4 11" xfId="81"/>
    <cellStyle name="Normal 4 2" xfId="82"/>
    <cellStyle name="Normal 4 2 2" xfId="83"/>
    <cellStyle name="Normal 4 3" xfId="84"/>
    <cellStyle name="Normal 4 3 2" xfId="85"/>
    <cellStyle name="Normal 4 4" xfId="86"/>
    <cellStyle name="Normal 4 4 2" xfId="87"/>
    <cellStyle name="Normal 4 5" xfId="88"/>
    <cellStyle name="Normal 4 5 2" xfId="89"/>
    <cellStyle name="Normal 4 6" xfId="90"/>
    <cellStyle name="Normal 4 6 2" xfId="91"/>
    <cellStyle name="Normal 4 7" xfId="92"/>
    <cellStyle name="Normal 4 7 2" xfId="93"/>
    <cellStyle name="Normal 4 8" xfId="94"/>
    <cellStyle name="Normal 4 8 2" xfId="95"/>
    <cellStyle name="Normal 4 9" xfId="96"/>
    <cellStyle name="Normal 4 9 2" xfId="97"/>
    <cellStyle name="Normal 5" xfId="98"/>
    <cellStyle name="Normal 5 10" xfId="99"/>
    <cellStyle name="Normal 5 10 2" xfId="100"/>
    <cellStyle name="Normal 5 11" xfId="101"/>
    <cellStyle name="Normal 5 2" xfId="102"/>
    <cellStyle name="Normal 5 2 2" xfId="103"/>
    <cellStyle name="Normal 5 3" xfId="104"/>
    <cellStyle name="Normal 5 3 2" xfId="105"/>
    <cellStyle name="Normal 5 4" xfId="106"/>
    <cellStyle name="Normal 5 4 2" xfId="107"/>
    <cellStyle name="Normal 5 5" xfId="108"/>
    <cellStyle name="Normal 5 5 2" xfId="109"/>
    <cellStyle name="Normal 5 6" xfId="110"/>
    <cellStyle name="Normal 5 6 2" xfId="111"/>
    <cellStyle name="Normal 5 7" xfId="112"/>
    <cellStyle name="Normal 5 7 2" xfId="113"/>
    <cellStyle name="Normal 5 8" xfId="114"/>
    <cellStyle name="Normal 5 8 2" xfId="115"/>
    <cellStyle name="Normal 5 9" xfId="116"/>
    <cellStyle name="Normal 5 9 2" xfId="117"/>
    <cellStyle name="Normal 6" xfId="118"/>
    <cellStyle name="Normal 6 10" xfId="119"/>
    <cellStyle name="Normal 6 10 2" xfId="120"/>
    <cellStyle name="Normal 6 11" xfId="121"/>
    <cellStyle name="Normal 6 2" xfId="122"/>
    <cellStyle name="Normal 6 2 2" xfId="123"/>
    <cellStyle name="Normal 6 3" xfId="124"/>
    <cellStyle name="Normal 6 3 2" xfId="125"/>
    <cellStyle name="Normal 6 4" xfId="126"/>
    <cellStyle name="Normal 6 4 2" xfId="127"/>
    <cellStyle name="Normal 6 5" xfId="128"/>
    <cellStyle name="Normal 6 5 2" xfId="129"/>
    <cellStyle name="Normal 6 6" xfId="130"/>
    <cellStyle name="Normal 6 6 2" xfId="131"/>
    <cellStyle name="Normal 6 7" xfId="132"/>
    <cellStyle name="Normal 6 7 2" xfId="133"/>
    <cellStyle name="Normal 6 8" xfId="134"/>
    <cellStyle name="Normal 6 8 2" xfId="135"/>
    <cellStyle name="Normal 6 9" xfId="136"/>
    <cellStyle name="Normal 6 9 2" xfId="137"/>
    <cellStyle name="Normal 7" xfId="138"/>
    <cellStyle name="Normal 8" xfId="139"/>
    <cellStyle name="Normal 8 2" xfId="140"/>
    <cellStyle name="Normal 9" xfId="141"/>
    <cellStyle name="Normal_Kvichak2001Forecast" xfId="3"/>
    <cellStyle name="Percent" xfId="2" builtinId="5"/>
    <cellStyle name="Percent 2" xfId="7"/>
    <cellStyle name="Percent 2 2" xfId="142"/>
    <cellStyle name="Percent 2 3" xfId="143"/>
    <cellStyle name="Percent 2 4" xfId="144"/>
    <cellStyle name="Percent 2 4 2" xfId="160"/>
    <cellStyle name="Percent 3" xfId="11"/>
    <cellStyle name="Percent 3 2" xfId="161"/>
    <cellStyle name="Percent 4" xfId="148"/>
  </cellStyles>
  <dxfs count="0"/>
  <tableStyles count="2" defaultTableStyle="TableStyleMedium9" defaultPivotStyle="PivotStyleLight16">
    <tableStyle name="PivotTable Style 1" table="0" count="0"/>
    <tableStyle name="PivotTable Style 2" table="0" count="0"/>
  </tableStyles>
  <colors>
    <mruColors>
      <color rgb="FF00FFFF"/>
      <color rgb="FFCCFFCC"/>
      <color rgb="FF808080"/>
      <color rgb="FF3333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5.xml"/><Relationship Id="rId4" Type="http://schemas.openxmlformats.org/officeDocument/2006/relationships/worksheet" Target="worksheets/sheet4.xml"/><Relationship Id="rId9" Type="http://schemas.openxmlformats.org/officeDocument/2006/relationships/externalLink" Target="externalLinks/externalLink4.xml"/><Relationship Id="rId14"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scatterChart>
        <c:scatterStyle val="lineMarker"/>
        <c:varyColors val="0"/>
        <c:ser>
          <c:idx val="0"/>
          <c:order val="0"/>
          <c:tx>
            <c:v> R/S vs S</c:v>
          </c:tx>
          <c:spPr>
            <a:ln w="28575">
              <a:noFill/>
            </a:ln>
          </c:spPr>
          <c:xVal>
            <c:numRef>
              <c:f>'1.3 forecast'!$B$2:$B$32</c:f>
              <c:numCache>
                <c:formatCode>0</c:formatCode>
                <c:ptCount val="31"/>
                <c:pt idx="0">
                  <c:v>15200.808429049157</c:v>
                </c:pt>
                <c:pt idx="1">
                  <c:v>14087.516841715718</c:v>
                </c:pt>
                <c:pt idx="2">
                  <c:v>48915.878750988399</c:v>
                </c:pt>
                <c:pt idx="3">
                  <c:v>85783.90587469301</c:v>
                </c:pt>
                <c:pt idx="4">
                  <c:v>54967.090958155022</c:v>
                </c:pt>
                <c:pt idx="5">
                  <c:v>60607.494461508577</c:v>
                </c:pt>
                <c:pt idx="6">
                  <c:v>35096.273954716482</c:v>
                </c:pt>
                <c:pt idx="7">
                  <c:v>23162.28110894659</c:v>
                </c:pt>
                <c:pt idx="8">
                  <c:v>37222.208996949157</c:v>
                </c:pt>
                <c:pt idx="9">
                  <c:v>43871.147868163811</c:v>
                </c:pt>
                <c:pt idx="10">
                  <c:v>39054.415815955479</c:v>
                </c:pt>
                <c:pt idx="11">
                  <c:v>41640.4566064588</c:v>
                </c:pt>
                <c:pt idx="12">
                  <c:v>47656.750073801319</c:v>
                </c:pt>
                <c:pt idx="13">
                  <c:v>35225.678696417599</c:v>
                </c:pt>
                <c:pt idx="14">
                  <c:v>43795.14825795839</c:v>
                </c:pt>
                <c:pt idx="15">
                  <c:v>23246.496893228272</c:v>
                </c:pt>
                <c:pt idx="16">
                  <c:v>41671.267259244785</c:v>
                </c:pt>
                <c:pt idx="17">
                  <c:v>21019.913718561394</c:v>
                </c:pt>
                <c:pt idx="18">
                  <c:v>20247.593355392808</c:v>
                </c:pt>
                <c:pt idx="19">
                  <c:v>16207.289753391196</c:v>
                </c:pt>
                <c:pt idx="20">
                  <c:v>9831.5386702122378</c:v>
                </c:pt>
                <c:pt idx="21">
                  <c:v>10048</c:v>
                </c:pt>
                <c:pt idx="22">
                  <c:v>14349</c:v>
                </c:pt>
                <c:pt idx="23">
                  <c:v>35587</c:v>
                </c:pt>
                <c:pt idx="24">
                  <c:v>36310.213674484126</c:v>
                </c:pt>
                <c:pt idx="25">
                  <c:v>29088</c:v>
                </c:pt>
                <c:pt idx="26">
                  <c:v>33965</c:v>
                </c:pt>
                <c:pt idx="27">
                  <c:v>27966</c:v>
                </c:pt>
                <c:pt idx="28">
                  <c:v>28535</c:v>
                </c:pt>
                <c:pt idx="29">
                  <c:v>39257</c:v>
                </c:pt>
                <c:pt idx="30">
                  <c:v>56659</c:v>
                </c:pt>
              </c:numCache>
            </c:numRef>
          </c:xVal>
          <c:yVal>
            <c:numRef>
              <c:f>'1.3 forecast'!$I$2:$I$32</c:f>
              <c:numCache>
                <c:formatCode>General</c:formatCode>
                <c:ptCount val="31"/>
                <c:pt idx="0">
                  <c:v>2.5394520355630039</c:v>
                </c:pt>
                <c:pt idx="1">
                  <c:v>1.4342874120278781</c:v>
                </c:pt>
                <c:pt idx="2">
                  <c:v>0.31220346352471556</c:v>
                </c:pt>
                <c:pt idx="3">
                  <c:v>0.22600588195998508</c:v>
                </c:pt>
                <c:pt idx="4">
                  <c:v>0.41592660310581259</c:v>
                </c:pt>
                <c:pt idx="5">
                  <c:v>0.35337602816715064</c:v>
                </c:pt>
                <c:pt idx="6">
                  <c:v>0.60608972294209429</c:v>
                </c:pt>
                <c:pt idx="7">
                  <c:v>1.0234262644172691</c:v>
                </c:pt>
                <c:pt idx="8">
                  <c:v>0.65450753171656584</c:v>
                </c:pt>
                <c:pt idx="9">
                  <c:v>0.30224249781904844</c:v>
                </c:pt>
                <c:pt idx="10">
                  <c:v>0.22461876665511302</c:v>
                </c:pt>
                <c:pt idx="11">
                  <c:v>0.53445707089597283</c:v>
                </c:pt>
                <c:pt idx="12">
                  <c:v>0.23208664444430963</c:v>
                </c:pt>
                <c:pt idx="13">
                  <c:v>0.25414236540432</c:v>
                </c:pt>
                <c:pt idx="14">
                  <c:v>0.23677220257403342</c:v>
                </c:pt>
                <c:pt idx="15">
                  <c:v>0.19718536904046957</c:v>
                </c:pt>
                <c:pt idx="16">
                  <c:v>7.4362138472193015E-2</c:v>
                </c:pt>
                <c:pt idx="17">
                  <c:v>0.26508753851134531</c:v>
                </c:pt>
                <c:pt idx="18">
                  <c:v>1.1720052324258152</c:v>
                </c:pt>
                <c:pt idx="19">
                  <c:v>1.0580250271437213</c:v>
                </c:pt>
                <c:pt idx="20">
                  <c:v>1.4856288391515426</c:v>
                </c:pt>
                <c:pt idx="21">
                  <c:v>3.3043561514554387</c:v>
                </c:pt>
                <c:pt idx="22">
                  <c:v>1.0857923105440304</c:v>
                </c:pt>
                <c:pt idx="23">
                  <c:v>0.52967065264263014</c:v>
                </c:pt>
                <c:pt idx="24">
                  <c:v>0.6268777074695655</c:v>
                </c:pt>
                <c:pt idx="25">
                  <c:v>1.5212023434868744</c:v>
                </c:pt>
                <c:pt idx="26">
                  <c:v>0.75980421019674249</c:v>
                </c:pt>
                <c:pt idx="27">
                  <c:v>0.75786907699952677</c:v>
                </c:pt>
                <c:pt idx="28">
                  <c:v>0.5989961435739759</c:v>
                </c:pt>
                <c:pt idx="29">
                  <c:v>9.3430419665605391E-2</c:v>
                </c:pt>
                <c:pt idx="30">
                  <c:v>5.4088998446026403E-2</c:v>
                </c:pt>
              </c:numCache>
            </c:numRef>
          </c:yVal>
          <c:smooth val="0"/>
        </c:ser>
        <c:dLbls>
          <c:showLegendKey val="0"/>
          <c:showVal val="0"/>
          <c:showCatName val="0"/>
          <c:showSerName val="0"/>
          <c:showPercent val="0"/>
          <c:showBubbleSize val="0"/>
        </c:dLbls>
        <c:axId val="160308608"/>
        <c:axId val="158893184"/>
      </c:scatterChart>
      <c:valAx>
        <c:axId val="160308608"/>
        <c:scaling>
          <c:orientation val="minMax"/>
        </c:scaling>
        <c:delete val="0"/>
        <c:axPos val="b"/>
        <c:numFmt formatCode="0" sourceLinked="1"/>
        <c:majorTickMark val="out"/>
        <c:minorTickMark val="none"/>
        <c:tickLblPos val="nextTo"/>
        <c:crossAx val="158893184"/>
        <c:crosses val="autoZero"/>
        <c:crossBetween val="midCat"/>
      </c:valAx>
      <c:valAx>
        <c:axId val="158893184"/>
        <c:scaling>
          <c:orientation val="minMax"/>
        </c:scaling>
        <c:delete val="0"/>
        <c:axPos val="l"/>
        <c:majorGridlines/>
        <c:numFmt formatCode="General" sourceLinked="1"/>
        <c:majorTickMark val="out"/>
        <c:minorTickMark val="none"/>
        <c:tickLblPos val="nextTo"/>
        <c:crossAx val="160308608"/>
        <c:crosses val="autoZero"/>
        <c:crossBetween val="midCat"/>
      </c:valAx>
    </c:plotArea>
    <c:plotVisOnly val="1"/>
    <c:dispBlanksAs val="gap"/>
    <c:showDLblsOverMax val="0"/>
  </c:chart>
  <c:printSettings>
    <c:headerFooter/>
    <c:pageMargins b="0.75000000000000155" l="0.70000000000000062" r="0.70000000000000062" t="0.75000000000000155"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r13 vs S</a:t>
            </a:r>
          </a:p>
        </c:rich>
      </c:tx>
      <c:overlay val="0"/>
    </c:title>
    <c:autoTitleDeleted val="0"/>
    <c:plotArea>
      <c:layout/>
      <c:scatterChart>
        <c:scatterStyle val="lineMarker"/>
        <c:varyColors val="0"/>
        <c:ser>
          <c:idx val="0"/>
          <c:order val="0"/>
          <c:tx>
            <c:strRef>
              <c:f>'1.3 forecast'!$C$1</c:f>
              <c:strCache>
                <c:ptCount val="1"/>
                <c:pt idx="0">
                  <c:v>r13</c:v>
                </c:pt>
              </c:strCache>
            </c:strRef>
          </c:tx>
          <c:spPr>
            <a:ln w="28575">
              <a:noFill/>
            </a:ln>
          </c:spPr>
          <c:xVal>
            <c:numRef>
              <c:f>'1.3 forecast'!$B$2:$B$32</c:f>
              <c:numCache>
                <c:formatCode>0</c:formatCode>
                <c:ptCount val="31"/>
                <c:pt idx="0">
                  <c:v>15200.808429049157</c:v>
                </c:pt>
                <c:pt idx="1">
                  <c:v>14087.516841715718</c:v>
                </c:pt>
                <c:pt idx="2">
                  <c:v>48915.878750988399</c:v>
                </c:pt>
                <c:pt idx="3">
                  <c:v>85783.90587469301</c:v>
                </c:pt>
                <c:pt idx="4">
                  <c:v>54967.090958155022</c:v>
                </c:pt>
                <c:pt idx="5">
                  <c:v>60607.494461508577</c:v>
                </c:pt>
                <c:pt idx="6">
                  <c:v>35096.273954716482</c:v>
                </c:pt>
                <c:pt idx="7">
                  <c:v>23162.28110894659</c:v>
                </c:pt>
                <c:pt idx="8">
                  <c:v>37222.208996949157</c:v>
                </c:pt>
                <c:pt idx="9">
                  <c:v>43871.147868163811</c:v>
                </c:pt>
                <c:pt idx="10">
                  <c:v>39054.415815955479</c:v>
                </c:pt>
                <c:pt idx="11">
                  <c:v>41640.4566064588</c:v>
                </c:pt>
                <c:pt idx="12">
                  <c:v>47656.750073801319</c:v>
                </c:pt>
                <c:pt idx="13">
                  <c:v>35225.678696417599</c:v>
                </c:pt>
                <c:pt idx="14">
                  <c:v>43795.14825795839</c:v>
                </c:pt>
                <c:pt idx="15">
                  <c:v>23246.496893228272</c:v>
                </c:pt>
                <c:pt idx="16">
                  <c:v>41671.267259244785</c:v>
                </c:pt>
                <c:pt idx="17">
                  <c:v>21019.913718561394</c:v>
                </c:pt>
                <c:pt idx="18">
                  <c:v>20247.593355392808</c:v>
                </c:pt>
                <c:pt idx="19">
                  <c:v>16207.289753391196</c:v>
                </c:pt>
                <c:pt idx="20">
                  <c:v>9831.5386702122378</c:v>
                </c:pt>
                <c:pt idx="21">
                  <c:v>10048</c:v>
                </c:pt>
                <c:pt idx="22">
                  <c:v>14349</c:v>
                </c:pt>
                <c:pt idx="23">
                  <c:v>35587</c:v>
                </c:pt>
                <c:pt idx="24">
                  <c:v>36310.213674484126</c:v>
                </c:pt>
                <c:pt idx="25">
                  <c:v>29088</c:v>
                </c:pt>
                <c:pt idx="26">
                  <c:v>33965</c:v>
                </c:pt>
                <c:pt idx="27">
                  <c:v>27966</c:v>
                </c:pt>
                <c:pt idx="28">
                  <c:v>28535</c:v>
                </c:pt>
                <c:pt idx="29">
                  <c:v>39257</c:v>
                </c:pt>
                <c:pt idx="30">
                  <c:v>56659</c:v>
                </c:pt>
              </c:numCache>
            </c:numRef>
          </c:xVal>
          <c:yVal>
            <c:numRef>
              <c:f>'1.3 forecast'!$C$2:$C$32</c:f>
              <c:numCache>
                <c:formatCode>0</c:formatCode>
                <c:ptCount val="31"/>
                <c:pt idx="0">
                  <c:v>38601.723907352149</c:v>
                </c:pt>
                <c:pt idx="1">
                  <c:v>20205.548072803584</c:v>
                </c:pt>
                <c:pt idx="2">
                  <c:v>15271.706767413616</c:v>
                </c:pt>
                <c:pt idx="3">
                  <c:v>19387.667305182338</c:v>
                </c:pt>
                <c:pt idx="4">
                  <c:v>22862.275424833642</c:v>
                </c:pt>
                <c:pt idx="5">
                  <c:v>21417.23566997048</c:v>
                </c:pt>
                <c:pt idx="6">
                  <c:v>21271.490957513954</c:v>
                </c:pt>
                <c:pt idx="7">
                  <c:v>23704.88683071189</c:v>
                </c:pt>
                <c:pt idx="8">
                  <c:v>24362.216135631345</c:v>
                </c:pt>
                <c:pt idx="9">
                  <c:v>13259.725313862651</c:v>
                </c:pt>
                <c:pt idx="10">
                  <c:v>8772.3547130158586</c:v>
                </c:pt>
                <c:pt idx="11">
                  <c:v>22255.036468658829</c:v>
                </c:pt>
                <c:pt idx="12">
                  <c:v>11060.495209749653</c:v>
                </c:pt>
                <c:pt idx="13">
                  <c:v>8952.337306880132</c:v>
                </c:pt>
                <c:pt idx="14">
                  <c:v>10369.473715093151</c:v>
                </c:pt>
                <c:pt idx="15">
                  <c:v>4583.8690687893459</c:v>
                </c:pt>
                <c:pt idx="16">
                  <c:v>3098.7645462437235</c:v>
                </c:pt>
                <c:pt idx="17">
                  <c:v>5572.1171873742987</c:v>
                </c:pt>
                <c:pt idx="18">
                  <c:v>23730.285356550539</c:v>
                </c:pt>
                <c:pt idx="19">
                  <c:v>17147.718181257875</c:v>
                </c:pt>
                <c:pt idx="20">
                  <c:v>14606.017381700909</c:v>
                </c:pt>
                <c:pt idx="21">
                  <c:v>33202.17060982425</c:v>
                </c:pt>
                <c:pt idx="22">
                  <c:v>15580.03386399629</c:v>
                </c:pt>
                <c:pt idx="23">
                  <c:v>18849.389515593277</c:v>
                </c:pt>
                <c:pt idx="24">
                  <c:v>22762.063505990678</c:v>
                </c:pt>
                <c:pt idx="25">
                  <c:v>44248.733767346203</c:v>
                </c:pt>
                <c:pt idx="26">
                  <c:v>25806.749999332358</c:v>
                </c:pt>
                <c:pt idx="27">
                  <c:v>21194.566607368764</c:v>
                </c:pt>
                <c:pt idx="28">
                  <c:v>17092.354956883402</c:v>
                </c:pt>
                <c:pt idx="29">
                  <c:v>3667.7979848126706</c:v>
                </c:pt>
                <c:pt idx="30">
                  <c:v>3064.62856295341</c:v>
                </c:pt>
              </c:numCache>
            </c:numRef>
          </c:yVal>
          <c:smooth val="0"/>
        </c:ser>
        <c:dLbls>
          <c:showLegendKey val="0"/>
          <c:showVal val="0"/>
          <c:showCatName val="0"/>
          <c:showSerName val="0"/>
          <c:showPercent val="0"/>
          <c:showBubbleSize val="0"/>
        </c:dLbls>
        <c:axId val="158913280"/>
        <c:axId val="158914816"/>
      </c:scatterChart>
      <c:valAx>
        <c:axId val="158913280"/>
        <c:scaling>
          <c:orientation val="minMax"/>
        </c:scaling>
        <c:delete val="0"/>
        <c:axPos val="b"/>
        <c:numFmt formatCode="0" sourceLinked="1"/>
        <c:majorTickMark val="out"/>
        <c:minorTickMark val="none"/>
        <c:tickLblPos val="nextTo"/>
        <c:crossAx val="158914816"/>
        <c:crosses val="autoZero"/>
        <c:crossBetween val="midCat"/>
      </c:valAx>
      <c:valAx>
        <c:axId val="158914816"/>
        <c:scaling>
          <c:orientation val="minMax"/>
        </c:scaling>
        <c:delete val="0"/>
        <c:axPos val="l"/>
        <c:majorGridlines/>
        <c:numFmt formatCode="0" sourceLinked="1"/>
        <c:majorTickMark val="out"/>
        <c:minorTickMark val="none"/>
        <c:tickLblPos val="nextTo"/>
        <c:crossAx val="158913280"/>
        <c:crosses val="autoZero"/>
        <c:crossBetween val="midCat"/>
      </c:valAx>
    </c:plotArea>
    <c:plotVisOnly val="1"/>
    <c:dispBlanksAs val="gap"/>
    <c:showDLblsOverMax val="0"/>
  </c:chart>
  <c:printSettings>
    <c:headerFooter/>
    <c:pageMargins b="0.75000000000000155" l="0.70000000000000062" r="0.70000000000000062" t="0.75000000000000155"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scatterChart>
        <c:scatterStyle val="lineMarker"/>
        <c:varyColors val="0"/>
        <c:ser>
          <c:idx val="0"/>
          <c:order val="0"/>
          <c:tx>
            <c:strRef>
              <c:f>'1.3 forecast'!$C$1</c:f>
              <c:strCache>
                <c:ptCount val="1"/>
                <c:pt idx="0">
                  <c:v>r13</c:v>
                </c:pt>
              </c:strCache>
            </c:strRef>
          </c:tx>
          <c:spPr>
            <a:ln w="9525"/>
          </c:spPr>
          <c:marker>
            <c:symbol val="circle"/>
            <c:size val="3"/>
          </c:marker>
          <c:trendline>
            <c:trendlineType val="linear"/>
            <c:dispRSqr val="1"/>
            <c:dispEq val="1"/>
            <c:trendlineLbl>
              <c:layout>
                <c:manualLayout>
                  <c:x val="4.4260788964120015E-2"/>
                  <c:y val="-0.4122373345983999"/>
                </c:manualLayout>
              </c:layout>
              <c:numFmt formatCode="General" sourceLinked="0"/>
            </c:trendlineLbl>
          </c:trendline>
          <c:xVal>
            <c:numRef>
              <c:f>'1.3 forecast'!$A$2:$A$37</c:f>
              <c:numCache>
                <c:formatCode>0</c:formatCode>
                <c:ptCount val="36"/>
                <c:pt idx="0">
                  <c:v>1974</c:v>
                </c:pt>
                <c:pt idx="1">
                  <c:v>1975</c:v>
                </c:pt>
                <c:pt idx="2">
                  <c:v>1976</c:v>
                </c:pt>
                <c:pt idx="3">
                  <c:v>1977</c:v>
                </c:pt>
                <c:pt idx="4">
                  <c:v>1978</c:v>
                </c:pt>
                <c:pt idx="5">
                  <c:v>1979</c:v>
                </c:pt>
                <c:pt idx="6">
                  <c:v>1980</c:v>
                </c:pt>
                <c:pt idx="7">
                  <c:v>1981</c:v>
                </c:pt>
                <c:pt idx="8">
                  <c:v>1982</c:v>
                </c:pt>
                <c:pt idx="9">
                  <c:v>1983</c:v>
                </c:pt>
                <c:pt idx="10">
                  <c:v>1984</c:v>
                </c:pt>
                <c:pt idx="11">
                  <c:v>1985</c:v>
                </c:pt>
                <c:pt idx="12">
                  <c:v>1986</c:v>
                </c:pt>
                <c:pt idx="13">
                  <c:v>1987</c:v>
                </c:pt>
                <c:pt idx="14">
                  <c:v>1988</c:v>
                </c:pt>
                <c:pt idx="15">
                  <c:v>1989</c:v>
                </c:pt>
                <c:pt idx="16">
                  <c:v>1990</c:v>
                </c:pt>
                <c:pt idx="17">
                  <c:v>1991</c:v>
                </c:pt>
                <c:pt idx="18">
                  <c:v>1992</c:v>
                </c:pt>
                <c:pt idx="19">
                  <c:v>1993</c:v>
                </c:pt>
                <c:pt idx="20">
                  <c:v>1994</c:v>
                </c:pt>
                <c:pt idx="21">
                  <c:v>1995</c:v>
                </c:pt>
                <c:pt idx="22">
                  <c:v>1996</c:v>
                </c:pt>
                <c:pt idx="23">
                  <c:v>1997</c:v>
                </c:pt>
                <c:pt idx="24">
                  <c:v>1998</c:v>
                </c:pt>
                <c:pt idx="25">
                  <c:v>1999</c:v>
                </c:pt>
                <c:pt idx="26">
                  <c:v>2000</c:v>
                </c:pt>
                <c:pt idx="27">
                  <c:v>2001</c:v>
                </c:pt>
                <c:pt idx="28">
                  <c:v>2002</c:v>
                </c:pt>
                <c:pt idx="29">
                  <c:v>2003</c:v>
                </c:pt>
                <c:pt idx="30">
                  <c:v>2004</c:v>
                </c:pt>
                <c:pt idx="31">
                  <c:v>2005</c:v>
                </c:pt>
                <c:pt idx="32">
                  <c:v>2006</c:v>
                </c:pt>
                <c:pt idx="33">
                  <c:v>2007</c:v>
                </c:pt>
                <c:pt idx="34">
                  <c:v>2008</c:v>
                </c:pt>
                <c:pt idx="35">
                  <c:v>2009</c:v>
                </c:pt>
              </c:numCache>
            </c:numRef>
          </c:xVal>
          <c:yVal>
            <c:numRef>
              <c:f>'1.3 forecast'!$C$2:$C$37</c:f>
              <c:numCache>
                <c:formatCode>0</c:formatCode>
                <c:ptCount val="36"/>
                <c:pt idx="0">
                  <c:v>38601.723907352149</c:v>
                </c:pt>
                <c:pt idx="1">
                  <c:v>20205.548072803584</c:v>
                </c:pt>
                <c:pt idx="2">
                  <c:v>15271.706767413616</c:v>
                </c:pt>
                <c:pt idx="3">
                  <c:v>19387.667305182338</c:v>
                </c:pt>
                <c:pt idx="4">
                  <c:v>22862.275424833642</c:v>
                </c:pt>
                <c:pt idx="5">
                  <c:v>21417.23566997048</c:v>
                </c:pt>
                <c:pt idx="6">
                  <c:v>21271.490957513954</c:v>
                </c:pt>
                <c:pt idx="7">
                  <c:v>23704.88683071189</c:v>
                </c:pt>
                <c:pt idx="8">
                  <c:v>24362.216135631345</c:v>
                </c:pt>
                <c:pt idx="9">
                  <c:v>13259.725313862651</c:v>
                </c:pt>
                <c:pt idx="10">
                  <c:v>8772.3547130158586</c:v>
                </c:pt>
                <c:pt idx="11">
                  <c:v>22255.036468658829</c:v>
                </c:pt>
                <c:pt idx="12">
                  <c:v>11060.495209749653</c:v>
                </c:pt>
                <c:pt idx="13">
                  <c:v>8952.337306880132</c:v>
                </c:pt>
                <c:pt idx="14">
                  <c:v>10369.473715093151</c:v>
                </c:pt>
                <c:pt idx="15">
                  <c:v>4583.8690687893459</c:v>
                </c:pt>
                <c:pt idx="16">
                  <c:v>3098.7645462437235</c:v>
                </c:pt>
                <c:pt idx="17">
                  <c:v>5572.1171873742987</c:v>
                </c:pt>
                <c:pt idx="18">
                  <c:v>23730.285356550539</c:v>
                </c:pt>
                <c:pt idx="19">
                  <c:v>17147.718181257875</c:v>
                </c:pt>
                <c:pt idx="20">
                  <c:v>14606.017381700909</c:v>
                </c:pt>
                <c:pt idx="21">
                  <c:v>33202.17060982425</c:v>
                </c:pt>
                <c:pt idx="22">
                  <c:v>15580.03386399629</c:v>
                </c:pt>
                <c:pt idx="23">
                  <c:v>18849.389515593277</c:v>
                </c:pt>
                <c:pt idx="24">
                  <c:v>22762.063505990678</c:v>
                </c:pt>
                <c:pt idx="25">
                  <c:v>44248.733767346203</c:v>
                </c:pt>
                <c:pt idx="26">
                  <c:v>25806.749999332358</c:v>
                </c:pt>
                <c:pt idx="27">
                  <c:v>21194.566607368764</c:v>
                </c:pt>
                <c:pt idx="28">
                  <c:v>17092.354956883402</c:v>
                </c:pt>
                <c:pt idx="29">
                  <c:v>3667.7979848126706</c:v>
                </c:pt>
                <c:pt idx="30">
                  <c:v>3064.62856295341</c:v>
                </c:pt>
                <c:pt idx="31">
                  <c:v>15605.481536909188</c:v>
                </c:pt>
                <c:pt idx="32">
                  <c:v>14461.244097439354</c:v>
                </c:pt>
                <c:pt idx="33">
                  <c:v>4181.522334695208</c:v>
                </c:pt>
                <c:pt idx="34">
                  <c:v>11682.391796439155</c:v>
                </c:pt>
                <c:pt idx="35">
                  <c:v>7107.6941322480016</c:v>
                </c:pt>
              </c:numCache>
            </c:numRef>
          </c:yVal>
          <c:smooth val="0"/>
        </c:ser>
        <c:dLbls>
          <c:showLegendKey val="0"/>
          <c:showVal val="0"/>
          <c:showCatName val="0"/>
          <c:showSerName val="0"/>
          <c:showPercent val="0"/>
          <c:showBubbleSize val="0"/>
        </c:dLbls>
        <c:axId val="158820992"/>
        <c:axId val="158826880"/>
      </c:scatterChart>
      <c:valAx>
        <c:axId val="158820992"/>
        <c:scaling>
          <c:orientation val="minMax"/>
          <c:max val="2009"/>
          <c:min val="1974"/>
        </c:scaling>
        <c:delete val="0"/>
        <c:axPos val="b"/>
        <c:numFmt formatCode="0" sourceLinked="1"/>
        <c:majorTickMark val="out"/>
        <c:minorTickMark val="none"/>
        <c:tickLblPos val="nextTo"/>
        <c:crossAx val="158826880"/>
        <c:crosses val="autoZero"/>
        <c:crossBetween val="midCat"/>
      </c:valAx>
      <c:valAx>
        <c:axId val="158826880"/>
        <c:scaling>
          <c:orientation val="minMax"/>
        </c:scaling>
        <c:delete val="0"/>
        <c:axPos val="l"/>
        <c:majorGridlines/>
        <c:numFmt formatCode="0" sourceLinked="1"/>
        <c:majorTickMark val="out"/>
        <c:minorTickMark val="none"/>
        <c:tickLblPos val="nextTo"/>
        <c:crossAx val="158820992"/>
        <c:crosses val="autoZero"/>
        <c:crossBetween val="midCat"/>
      </c:valAx>
    </c:plotArea>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scatterChart>
        <c:scatterStyle val="lineMarker"/>
        <c:varyColors val="0"/>
        <c:ser>
          <c:idx val="0"/>
          <c:order val="0"/>
          <c:tx>
            <c:strRef>
              <c:f>'1.3 forecast'!$E$1</c:f>
              <c:strCache>
                <c:ptCount val="1"/>
                <c:pt idx="0">
                  <c:v>lnr13</c:v>
                </c:pt>
              </c:strCache>
            </c:strRef>
          </c:tx>
          <c:spPr>
            <a:ln w="9525"/>
          </c:spPr>
          <c:marker>
            <c:symbol val="circle"/>
            <c:size val="3"/>
          </c:marker>
          <c:xVal>
            <c:numRef>
              <c:f>'1.3 forecast'!$A$2:$A$37</c:f>
              <c:numCache>
                <c:formatCode>0</c:formatCode>
                <c:ptCount val="36"/>
                <c:pt idx="0">
                  <c:v>1974</c:v>
                </c:pt>
                <c:pt idx="1">
                  <c:v>1975</c:v>
                </c:pt>
                <c:pt idx="2">
                  <c:v>1976</c:v>
                </c:pt>
                <c:pt idx="3">
                  <c:v>1977</c:v>
                </c:pt>
                <c:pt idx="4">
                  <c:v>1978</c:v>
                </c:pt>
                <c:pt idx="5">
                  <c:v>1979</c:v>
                </c:pt>
                <c:pt idx="6">
                  <c:v>1980</c:v>
                </c:pt>
                <c:pt idx="7">
                  <c:v>1981</c:v>
                </c:pt>
                <c:pt idx="8">
                  <c:v>1982</c:v>
                </c:pt>
                <c:pt idx="9">
                  <c:v>1983</c:v>
                </c:pt>
                <c:pt idx="10">
                  <c:v>1984</c:v>
                </c:pt>
                <c:pt idx="11">
                  <c:v>1985</c:v>
                </c:pt>
                <c:pt idx="12">
                  <c:v>1986</c:v>
                </c:pt>
                <c:pt idx="13">
                  <c:v>1987</c:v>
                </c:pt>
                <c:pt idx="14">
                  <c:v>1988</c:v>
                </c:pt>
                <c:pt idx="15">
                  <c:v>1989</c:v>
                </c:pt>
                <c:pt idx="16">
                  <c:v>1990</c:v>
                </c:pt>
                <c:pt idx="17">
                  <c:v>1991</c:v>
                </c:pt>
                <c:pt idx="18">
                  <c:v>1992</c:v>
                </c:pt>
                <c:pt idx="19">
                  <c:v>1993</c:v>
                </c:pt>
                <c:pt idx="20">
                  <c:v>1994</c:v>
                </c:pt>
                <c:pt idx="21">
                  <c:v>1995</c:v>
                </c:pt>
                <c:pt idx="22">
                  <c:v>1996</c:v>
                </c:pt>
                <c:pt idx="23">
                  <c:v>1997</c:v>
                </c:pt>
                <c:pt idx="24">
                  <c:v>1998</c:v>
                </c:pt>
                <c:pt idx="25">
                  <c:v>1999</c:v>
                </c:pt>
                <c:pt idx="26">
                  <c:v>2000</c:v>
                </c:pt>
                <c:pt idx="27">
                  <c:v>2001</c:v>
                </c:pt>
                <c:pt idx="28">
                  <c:v>2002</c:v>
                </c:pt>
                <c:pt idx="29">
                  <c:v>2003</c:v>
                </c:pt>
                <c:pt idx="30">
                  <c:v>2004</c:v>
                </c:pt>
                <c:pt idx="31">
                  <c:v>2005</c:v>
                </c:pt>
                <c:pt idx="32">
                  <c:v>2006</c:v>
                </c:pt>
                <c:pt idx="33">
                  <c:v>2007</c:v>
                </c:pt>
                <c:pt idx="34">
                  <c:v>2008</c:v>
                </c:pt>
                <c:pt idx="35">
                  <c:v>2009</c:v>
                </c:pt>
              </c:numCache>
            </c:numRef>
          </c:xVal>
          <c:yVal>
            <c:numRef>
              <c:f>'1.3 forecast'!$E$2:$E$37</c:f>
              <c:numCache>
                <c:formatCode>0.000</c:formatCode>
                <c:ptCount val="36"/>
                <c:pt idx="0">
                  <c:v>10.561052215267889</c:v>
                </c:pt>
                <c:pt idx="1">
                  <c:v>9.9137125027474333</c:v>
                </c:pt>
                <c:pt idx="2">
                  <c:v>9.6337571645542504</c:v>
                </c:pt>
                <c:pt idx="3">
                  <c:v>9.872392436986301</c:v>
                </c:pt>
                <c:pt idx="4">
                  <c:v>10.037243469789582</c:v>
                </c:pt>
                <c:pt idx="5">
                  <c:v>9.9719512819840759</c:v>
                </c:pt>
                <c:pt idx="6">
                  <c:v>9.9651230024707651</c:v>
                </c:pt>
                <c:pt idx="7">
                  <c:v>10.073436501256563</c:v>
                </c:pt>
                <c:pt idx="8">
                  <c:v>10.100788692055019</c:v>
                </c:pt>
                <c:pt idx="9">
                  <c:v>9.492486548130314</c:v>
                </c:pt>
                <c:pt idx="10">
                  <c:v>9.0793605456805384</c:v>
                </c:pt>
                <c:pt idx="11">
                  <c:v>10.010323620121218</c:v>
                </c:pt>
                <c:pt idx="12">
                  <c:v>9.3111350489157036</c:v>
                </c:pt>
                <c:pt idx="13">
                  <c:v>9.0996699287814753</c:v>
                </c:pt>
                <c:pt idx="14">
                  <c:v>9.2466215492214552</c:v>
                </c:pt>
                <c:pt idx="15">
                  <c:v>8.4302986953316257</c:v>
                </c:pt>
                <c:pt idx="16">
                  <c:v>8.0387587775679012</c:v>
                </c:pt>
                <c:pt idx="17">
                  <c:v>8.6255303661527485</c:v>
                </c:pt>
                <c:pt idx="18">
                  <c:v>10.074507374496594</c:v>
                </c:pt>
                <c:pt idx="19">
                  <c:v>9.7496203930865448</c:v>
                </c:pt>
                <c:pt idx="20">
                  <c:v>9.5891888722177487</c:v>
                </c:pt>
                <c:pt idx="21">
                  <c:v>10.410370532581396</c:v>
                </c:pt>
                <c:pt idx="22">
                  <c:v>9.6537454929779791</c:v>
                </c:pt>
                <c:pt idx="23">
                  <c:v>9.8442358059110298</c:v>
                </c:pt>
                <c:pt idx="24">
                  <c:v>10.032850547838413</c:v>
                </c:pt>
                <c:pt idx="25">
                  <c:v>10.697582034599442</c:v>
                </c:pt>
                <c:pt idx="26">
                  <c:v>10.158391364572202</c:v>
                </c:pt>
                <c:pt idx="27">
                  <c:v>9.961500135706423</c:v>
                </c:pt>
                <c:pt idx="28">
                  <c:v>9.746386563976511</c:v>
                </c:pt>
                <c:pt idx="29">
                  <c:v>8.2073467568358627</c:v>
                </c:pt>
                <c:pt idx="30">
                  <c:v>8.0276816543882532</c:v>
                </c:pt>
                <c:pt idx="31">
                  <c:v>9.6553775120890357</c:v>
                </c:pt>
                <c:pt idx="32">
                  <c:v>9.579227529179084</c:v>
                </c:pt>
                <c:pt idx="33">
                  <c:v>8.3384306541190956</c:v>
                </c:pt>
                <c:pt idx="34">
                  <c:v>9.3658380125106451</c:v>
                </c:pt>
                <c:pt idx="35">
                  <c:v>8.8689331568697654</c:v>
                </c:pt>
              </c:numCache>
            </c:numRef>
          </c:yVal>
          <c:smooth val="0"/>
        </c:ser>
        <c:dLbls>
          <c:showLegendKey val="0"/>
          <c:showVal val="0"/>
          <c:showCatName val="0"/>
          <c:showSerName val="0"/>
          <c:showPercent val="0"/>
          <c:showBubbleSize val="0"/>
        </c:dLbls>
        <c:axId val="158846976"/>
        <c:axId val="158848512"/>
      </c:scatterChart>
      <c:valAx>
        <c:axId val="158846976"/>
        <c:scaling>
          <c:orientation val="minMax"/>
          <c:max val="2009"/>
          <c:min val="1974"/>
        </c:scaling>
        <c:delete val="0"/>
        <c:axPos val="b"/>
        <c:numFmt formatCode="0" sourceLinked="1"/>
        <c:majorTickMark val="out"/>
        <c:minorTickMark val="none"/>
        <c:tickLblPos val="nextTo"/>
        <c:crossAx val="158848512"/>
        <c:crosses val="autoZero"/>
        <c:crossBetween val="midCat"/>
      </c:valAx>
      <c:valAx>
        <c:axId val="158848512"/>
        <c:scaling>
          <c:orientation val="minMax"/>
          <c:max val="12"/>
          <c:min val="6"/>
        </c:scaling>
        <c:delete val="0"/>
        <c:axPos val="l"/>
        <c:majorGridlines/>
        <c:numFmt formatCode="0.0" sourceLinked="0"/>
        <c:majorTickMark val="out"/>
        <c:minorTickMark val="none"/>
        <c:tickLblPos val="nextTo"/>
        <c:crossAx val="158846976"/>
        <c:crosses val="autoZero"/>
        <c:crossBetween val="midCat"/>
      </c:valAx>
    </c:plotArea>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spPr>
            <a:ln w="28575">
              <a:noFill/>
            </a:ln>
          </c:spPr>
          <c:trendline>
            <c:trendlineType val="linear"/>
            <c:dispRSqr val="1"/>
            <c:dispEq val="1"/>
            <c:trendlineLbl>
              <c:layout>
                <c:manualLayout>
                  <c:x val="6.7860236220472533E-2"/>
                  <c:y val="-0.19446886847477399"/>
                </c:manualLayout>
              </c:layout>
              <c:numFmt formatCode="General" sourceLinked="0"/>
            </c:trendlineLbl>
          </c:trendline>
          <c:xVal>
            <c:numRef>
              <c:f>'1.4 forecast'!$C$2:$C$32</c:f>
              <c:numCache>
                <c:formatCode>0</c:formatCode>
                <c:ptCount val="31"/>
                <c:pt idx="0">
                  <c:v>15451.301467438034</c:v>
                </c:pt>
                <c:pt idx="1">
                  <c:v>8841.5144442920955</c:v>
                </c:pt>
                <c:pt idx="2">
                  <c:v>18525.993202729787</c:v>
                </c:pt>
                <c:pt idx="3">
                  <c:v>16471.334827818337</c:v>
                </c:pt>
                <c:pt idx="4">
                  <c:v>16404.691151466748</c:v>
                </c:pt>
                <c:pt idx="5">
                  <c:v>20497.695775415767</c:v>
                </c:pt>
                <c:pt idx="6">
                  <c:v>15978.824857683823</c:v>
                </c:pt>
                <c:pt idx="7">
                  <c:v>12989.544227520477</c:v>
                </c:pt>
                <c:pt idx="8">
                  <c:v>31446.764835646642</c:v>
                </c:pt>
                <c:pt idx="9">
                  <c:v>15608.843390360413</c:v>
                </c:pt>
                <c:pt idx="10">
                  <c:v>20247.440203855847</c:v>
                </c:pt>
                <c:pt idx="11">
                  <c:v>15904.842762988237</c:v>
                </c:pt>
                <c:pt idx="12">
                  <c:v>10566.346948847491</c:v>
                </c:pt>
                <c:pt idx="13">
                  <c:v>7367.4248176555466</c:v>
                </c:pt>
                <c:pt idx="14">
                  <c:v>4305.4615651202876</c:v>
                </c:pt>
                <c:pt idx="15">
                  <c:v>3286.3170388531744</c:v>
                </c:pt>
                <c:pt idx="16">
                  <c:v>2013.7231180938411</c:v>
                </c:pt>
                <c:pt idx="17">
                  <c:v>6113.3832126036305</c:v>
                </c:pt>
                <c:pt idx="18">
                  <c:v>12061.913381326702</c:v>
                </c:pt>
                <c:pt idx="19">
                  <c:v>8452.9820339873313</c:v>
                </c:pt>
                <c:pt idx="20">
                  <c:v>4416.0035800613459</c:v>
                </c:pt>
                <c:pt idx="21">
                  <c:v>9463.3110676139477</c:v>
                </c:pt>
                <c:pt idx="22">
                  <c:v>5263.1451543065714</c:v>
                </c:pt>
                <c:pt idx="23">
                  <c:v>6599.162149429244</c:v>
                </c:pt>
                <c:pt idx="24">
                  <c:v>10056.530401669592</c:v>
                </c:pt>
                <c:pt idx="25">
                  <c:v>5290.0263156526171</c:v>
                </c:pt>
                <c:pt idx="26">
                  <c:v>8509.3427271220298</c:v>
                </c:pt>
                <c:pt idx="27">
                  <c:v>4765.1413819190093</c:v>
                </c:pt>
                <c:pt idx="28">
                  <c:v>4479.2149738152111</c:v>
                </c:pt>
                <c:pt idx="29">
                  <c:v>1153.8472837686768</c:v>
                </c:pt>
                <c:pt idx="30">
                  <c:v>1934.0126691041301</c:v>
                </c:pt>
              </c:numCache>
            </c:numRef>
          </c:xVal>
          <c:yVal>
            <c:numRef>
              <c:f>'1.4 forecast'!$D$2:$D$32</c:f>
              <c:numCache>
                <c:formatCode>0</c:formatCode>
                <c:ptCount val="31"/>
                <c:pt idx="0">
                  <c:v>38601.723907352149</c:v>
                </c:pt>
                <c:pt idx="1">
                  <c:v>20205.548072803584</c:v>
                </c:pt>
                <c:pt idx="2">
                  <c:v>15271.706767413616</c:v>
                </c:pt>
                <c:pt idx="3">
                  <c:v>19387.667305182338</c:v>
                </c:pt>
                <c:pt idx="4">
                  <c:v>22862.275424833642</c:v>
                </c:pt>
                <c:pt idx="5">
                  <c:v>21417.23566997048</c:v>
                </c:pt>
                <c:pt idx="6">
                  <c:v>21271.490957513954</c:v>
                </c:pt>
                <c:pt idx="7">
                  <c:v>23704.88683071189</c:v>
                </c:pt>
                <c:pt idx="8">
                  <c:v>24362.216135631345</c:v>
                </c:pt>
                <c:pt idx="9">
                  <c:v>13259.725313862651</c:v>
                </c:pt>
                <c:pt idx="10">
                  <c:v>8772.3547130158586</c:v>
                </c:pt>
                <c:pt idx="11">
                  <c:v>22255.036468658829</c:v>
                </c:pt>
                <c:pt idx="12">
                  <c:v>11060.495209749653</c:v>
                </c:pt>
                <c:pt idx="13">
                  <c:v>8952.337306880132</c:v>
                </c:pt>
                <c:pt idx="14">
                  <c:v>10369.473715093151</c:v>
                </c:pt>
                <c:pt idx="15">
                  <c:v>4583.8690687893459</c:v>
                </c:pt>
                <c:pt idx="16">
                  <c:v>3098.7645462437235</c:v>
                </c:pt>
                <c:pt idx="17">
                  <c:v>5572.1171873742987</c:v>
                </c:pt>
                <c:pt idx="18">
                  <c:v>23730.285356550539</c:v>
                </c:pt>
                <c:pt idx="19">
                  <c:v>17147.718181257875</c:v>
                </c:pt>
                <c:pt idx="20">
                  <c:v>14606.017381700909</c:v>
                </c:pt>
                <c:pt idx="21">
                  <c:v>33202.17060982425</c:v>
                </c:pt>
                <c:pt idx="22">
                  <c:v>15580.03386399629</c:v>
                </c:pt>
                <c:pt idx="23">
                  <c:v>18849.389515593277</c:v>
                </c:pt>
                <c:pt idx="24">
                  <c:v>22762.063505990678</c:v>
                </c:pt>
                <c:pt idx="25">
                  <c:v>44248.733767346203</c:v>
                </c:pt>
                <c:pt idx="26">
                  <c:v>25806.749999332358</c:v>
                </c:pt>
                <c:pt idx="27">
                  <c:v>21194.566607368764</c:v>
                </c:pt>
                <c:pt idx="28">
                  <c:v>17092.354956883402</c:v>
                </c:pt>
                <c:pt idx="29">
                  <c:v>3667.7979848126706</c:v>
                </c:pt>
                <c:pt idx="30">
                  <c:v>3064.62856295341</c:v>
                </c:pt>
              </c:numCache>
            </c:numRef>
          </c:yVal>
          <c:smooth val="0"/>
        </c:ser>
        <c:dLbls>
          <c:showLegendKey val="0"/>
          <c:showVal val="0"/>
          <c:showCatName val="0"/>
          <c:showSerName val="0"/>
          <c:showPercent val="0"/>
          <c:showBubbleSize val="0"/>
        </c:dLbls>
        <c:axId val="160586368"/>
        <c:axId val="160588160"/>
      </c:scatterChart>
      <c:valAx>
        <c:axId val="160586368"/>
        <c:scaling>
          <c:orientation val="minMax"/>
        </c:scaling>
        <c:delete val="0"/>
        <c:axPos val="b"/>
        <c:numFmt formatCode="0" sourceLinked="1"/>
        <c:majorTickMark val="out"/>
        <c:minorTickMark val="none"/>
        <c:tickLblPos val="nextTo"/>
        <c:crossAx val="160588160"/>
        <c:crosses val="autoZero"/>
        <c:crossBetween val="midCat"/>
      </c:valAx>
      <c:valAx>
        <c:axId val="160588160"/>
        <c:scaling>
          <c:orientation val="minMax"/>
        </c:scaling>
        <c:delete val="0"/>
        <c:axPos val="l"/>
        <c:majorGridlines/>
        <c:numFmt formatCode="0" sourceLinked="1"/>
        <c:majorTickMark val="out"/>
        <c:minorTickMark val="none"/>
        <c:tickLblPos val="nextTo"/>
        <c:crossAx val="160586368"/>
        <c:crosses val="autoZero"/>
        <c:crossBetween val="midCat"/>
      </c:valAx>
    </c:plotArea>
    <c:plotVisOnly val="1"/>
    <c:dispBlanksAs val="gap"/>
    <c:showDLblsOverMax val="0"/>
  </c:chart>
  <c:printSettings>
    <c:headerFooter/>
    <c:pageMargins b="0.75000000000000111" l="0.70000000000000062" r="0.70000000000000062" t="0.75000000000000111" header="0.30000000000000032" footer="0.30000000000000032"/>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spPr>
            <a:ln>
              <a:noFill/>
            </a:ln>
          </c:spPr>
          <c:val>
            <c:numRef>
              <c:f>Summary!$B$54:$H$54</c:f>
              <c:numCache>
                <c:formatCode>#,##0</c:formatCode>
                <c:ptCount val="7"/>
                <c:pt idx="0">
                  <c:v>24787.988665105055</c:v>
                </c:pt>
                <c:pt idx="1">
                  <c:v>24457.369194648156</c:v>
                </c:pt>
                <c:pt idx="2">
                  <c:v>21687.721758026946</c:v>
                </c:pt>
                <c:pt idx="3">
                  <c:v>13125.798806125704</c:v>
                </c:pt>
                <c:pt idx="4">
                  <c:v>14356.290348029401</c:v>
                </c:pt>
                <c:pt idx="5">
                  <c:v>18821.16951142273</c:v>
                </c:pt>
                <c:pt idx="6">
                  <c:v>20374.435401104369</c:v>
                </c:pt>
              </c:numCache>
            </c:numRef>
          </c:val>
          <c:smooth val="0"/>
        </c:ser>
        <c:ser>
          <c:idx val="1"/>
          <c:order val="1"/>
          <c:spPr>
            <a:ln w="0">
              <a:noFill/>
            </a:ln>
          </c:spPr>
          <c:val>
            <c:numRef>
              <c:f>Summary!$B$56:$H$56</c:f>
              <c:numCache>
                <c:formatCode>#,##0</c:formatCode>
                <c:ptCount val="7"/>
                <c:pt idx="0">
                  <c:v>22207.800648678458</c:v>
                </c:pt>
                <c:pt idx="1">
                  <c:v>22048.53360147704</c:v>
                </c:pt>
                <c:pt idx="2">
                  <c:v>15443.755822807634</c:v>
                </c:pt>
                <c:pt idx="3">
                  <c:v>19242.097024720766</c:v>
                </c:pt>
                <c:pt idx="4">
                  <c:v>16351.210860750807</c:v>
                </c:pt>
                <c:pt idx="5">
                  <c:v>23306.654377512612</c:v>
                </c:pt>
                <c:pt idx="6">
                  <c:v>21756.065678775456</c:v>
                </c:pt>
              </c:numCache>
            </c:numRef>
          </c:val>
          <c:smooth val="0"/>
        </c:ser>
        <c:dLbls>
          <c:showLegendKey val="0"/>
          <c:showVal val="0"/>
          <c:showCatName val="0"/>
          <c:showSerName val="0"/>
          <c:showPercent val="0"/>
          <c:showBubbleSize val="0"/>
        </c:dLbls>
        <c:marker val="1"/>
        <c:smooth val="0"/>
        <c:axId val="160904320"/>
        <c:axId val="160905856"/>
      </c:lineChart>
      <c:catAx>
        <c:axId val="160904320"/>
        <c:scaling>
          <c:orientation val="minMax"/>
        </c:scaling>
        <c:delete val="0"/>
        <c:axPos val="b"/>
        <c:majorTickMark val="out"/>
        <c:minorTickMark val="none"/>
        <c:tickLblPos val="nextTo"/>
        <c:crossAx val="160905856"/>
        <c:crosses val="autoZero"/>
        <c:auto val="1"/>
        <c:lblAlgn val="ctr"/>
        <c:lblOffset val="100"/>
        <c:noMultiLvlLbl val="0"/>
      </c:catAx>
      <c:valAx>
        <c:axId val="160905856"/>
        <c:scaling>
          <c:orientation val="minMax"/>
        </c:scaling>
        <c:delete val="0"/>
        <c:axPos val="l"/>
        <c:numFmt formatCode="#,##0" sourceLinked="1"/>
        <c:majorTickMark val="out"/>
        <c:minorTickMark val="none"/>
        <c:tickLblPos val="nextTo"/>
        <c:crossAx val="160904320"/>
        <c:crosses val="autoZero"/>
        <c:crossBetween val="between"/>
      </c:valAx>
    </c:plotArea>
    <c:legend>
      <c:legendPos val="t"/>
      <c:layout/>
      <c:overlay val="0"/>
    </c:legend>
    <c:plotVisOnly val="1"/>
    <c:dispBlanksAs val="gap"/>
    <c:showDLblsOverMax val="0"/>
  </c:chart>
  <c:printSettings>
    <c:headerFooter/>
    <c:pageMargins b="0.75000000000000111" l="0.70000000000000062" r="0.70000000000000062" t="0.75000000000000111" header="0.30000000000000032" footer="0.30000000000000032"/>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scatterChart>
        <c:scatterStyle val="lineMarker"/>
        <c:varyColors val="0"/>
        <c:ser>
          <c:idx val="0"/>
          <c:order val="0"/>
          <c:tx>
            <c:v>Forecast vs. Actual Run</c:v>
          </c:tx>
          <c:spPr>
            <a:ln w="28575">
              <a:noFill/>
            </a:ln>
          </c:spPr>
          <c:trendline>
            <c:trendlineType val="linear"/>
            <c:dispRSqr val="1"/>
            <c:dispEq val="1"/>
            <c:trendlineLbl>
              <c:layout>
                <c:manualLayout>
                  <c:x val="0.26470975503062116"/>
                  <c:y val="-0.25785673942655901"/>
                </c:manualLayout>
              </c:layout>
              <c:numFmt formatCode="General" sourceLinked="0"/>
            </c:trendlineLbl>
          </c:trendline>
          <c:xVal>
            <c:numRef>
              <c:f>Summary!$B$56:$F$56</c:f>
              <c:numCache>
                <c:formatCode>#,##0</c:formatCode>
                <c:ptCount val="5"/>
                <c:pt idx="0">
                  <c:v>22207.800648678458</c:v>
                </c:pt>
                <c:pt idx="1">
                  <c:v>22048.53360147704</c:v>
                </c:pt>
                <c:pt idx="2">
                  <c:v>15443.755822807634</c:v>
                </c:pt>
                <c:pt idx="3">
                  <c:v>19242.097024720766</c:v>
                </c:pt>
                <c:pt idx="4">
                  <c:v>16351.210860750807</c:v>
                </c:pt>
              </c:numCache>
            </c:numRef>
          </c:xVal>
          <c:yVal>
            <c:numRef>
              <c:f>Summary!$B$54:$F$54</c:f>
              <c:numCache>
                <c:formatCode>#,##0</c:formatCode>
                <c:ptCount val="5"/>
                <c:pt idx="0">
                  <c:v>24787.988665105055</c:v>
                </c:pt>
                <c:pt idx="1">
                  <c:v>24457.369194648156</c:v>
                </c:pt>
                <c:pt idx="2">
                  <c:v>21687.721758026946</c:v>
                </c:pt>
                <c:pt idx="3">
                  <c:v>13125.798806125704</c:v>
                </c:pt>
                <c:pt idx="4">
                  <c:v>14356.290348029401</c:v>
                </c:pt>
              </c:numCache>
            </c:numRef>
          </c:yVal>
          <c:smooth val="0"/>
        </c:ser>
        <c:dLbls>
          <c:showLegendKey val="0"/>
          <c:showVal val="0"/>
          <c:showCatName val="0"/>
          <c:showSerName val="0"/>
          <c:showPercent val="0"/>
          <c:showBubbleSize val="0"/>
        </c:dLbls>
        <c:axId val="160914432"/>
        <c:axId val="160936704"/>
      </c:scatterChart>
      <c:valAx>
        <c:axId val="160914432"/>
        <c:scaling>
          <c:orientation val="minMax"/>
          <c:max val="30000"/>
          <c:min val="7000"/>
        </c:scaling>
        <c:delete val="0"/>
        <c:axPos val="b"/>
        <c:numFmt formatCode="#,##0" sourceLinked="1"/>
        <c:majorTickMark val="out"/>
        <c:minorTickMark val="none"/>
        <c:tickLblPos val="nextTo"/>
        <c:crossAx val="160936704"/>
        <c:crosses val="autoZero"/>
        <c:crossBetween val="midCat"/>
      </c:valAx>
      <c:valAx>
        <c:axId val="160936704"/>
        <c:scaling>
          <c:orientation val="minMax"/>
        </c:scaling>
        <c:delete val="0"/>
        <c:axPos val="l"/>
        <c:majorGridlines/>
        <c:numFmt formatCode="#,##0" sourceLinked="1"/>
        <c:majorTickMark val="out"/>
        <c:minorTickMark val="none"/>
        <c:tickLblPos val="nextTo"/>
        <c:crossAx val="160914432"/>
        <c:crosses val="autoZero"/>
        <c:crossBetween val="midCat"/>
      </c:valAx>
    </c:plotArea>
    <c:plotVisOnly val="1"/>
    <c:dispBlanksAs val="gap"/>
    <c:showDLblsOverMax val="0"/>
  </c:chart>
  <c:printSettings>
    <c:headerFooter/>
    <c:pageMargins b="0.750000000000001" l="0.70000000000000062" r="0.70000000000000062" t="0.750000000000001" header="0.30000000000000032" footer="0.30000000000000032"/>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3505796150481189"/>
          <c:y val="2.8252405949256341E-2"/>
          <c:w val="0.82010870516185475"/>
          <c:h val="0.64435185185185184"/>
        </c:manualLayout>
      </c:layout>
      <c:scatterChart>
        <c:scatterStyle val="lineMarker"/>
        <c:varyColors val="0"/>
        <c:ser>
          <c:idx val="0"/>
          <c:order val="0"/>
          <c:tx>
            <c:strRef>
              <c:f>Summary!$V$18</c:f>
              <c:strCache>
                <c:ptCount val="1"/>
                <c:pt idx="0">
                  <c:v>Actual return of 1.3</c:v>
                </c:pt>
              </c:strCache>
            </c:strRef>
          </c:tx>
          <c:spPr>
            <a:ln w="12700">
              <a:noFill/>
            </a:ln>
          </c:spPr>
          <c:marker>
            <c:symbol val="circle"/>
            <c:size val="7"/>
          </c:marker>
          <c:xVal>
            <c:numRef>
              <c:f>Summary!$W$17:$AA$17</c:f>
              <c:numCache>
                <c:formatCode>General</c:formatCode>
                <c:ptCount val="5"/>
                <c:pt idx="0">
                  <c:v>2010</c:v>
                </c:pt>
                <c:pt idx="1">
                  <c:v>2011</c:v>
                </c:pt>
                <c:pt idx="2">
                  <c:v>2012</c:v>
                </c:pt>
                <c:pt idx="3">
                  <c:v>2013</c:v>
                </c:pt>
                <c:pt idx="4">
                  <c:v>2014</c:v>
                </c:pt>
              </c:numCache>
            </c:numRef>
          </c:xVal>
          <c:yVal>
            <c:numRef>
              <c:f>Summary!$W$18:$AA$18</c:f>
              <c:numCache>
                <c:formatCode>#,##0</c:formatCode>
                <c:ptCount val="5"/>
                <c:pt idx="0">
                  <c:v>15605.481536909188</c:v>
                </c:pt>
                <c:pt idx="1">
                  <c:v>14461.244097439354</c:v>
                </c:pt>
                <c:pt idx="2">
                  <c:v>4181.522334695208</c:v>
                </c:pt>
                <c:pt idx="3">
                  <c:v>11682.391796439155</c:v>
                </c:pt>
                <c:pt idx="4">
                  <c:v>7107.6941322480016</c:v>
                </c:pt>
              </c:numCache>
            </c:numRef>
          </c:yVal>
          <c:smooth val="0"/>
        </c:ser>
        <c:ser>
          <c:idx val="1"/>
          <c:order val="1"/>
          <c:tx>
            <c:strRef>
              <c:f>Summary!$A$18</c:f>
              <c:strCache>
                <c:ptCount val="1"/>
                <c:pt idx="0">
                  <c:v>5-year average</c:v>
                </c:pt>
              </c:strCache>
            </c:strRef>
          </c:tx>
          <c:spPr>
            <a:ln w="9525"/>
          </c:spPr>
          <c:marker>
            <c:symbol val="square"/>
            <c:size val="4"/>
          </c:marker>
          <c:xVal>
            <c:numRef>
              <c:f>Summary!$B$17:$I$17</c:f>
              <c:numCache>
                <c:formatCode>General</c:formatCode>
                <c:ptCount val="8"/>
                <c:pt idx="0">
                  <c:v>2010</c:v>
                </c:pt>
                <c:pt idx="1">
                  <c:v>2011</c:v>
                </c:pt>
                <c:pt idx="2">
                  <c:v>2012</c:v>
                </c:pt>
                <c:pt idx="3">
                  <c:v>2013</c:v>
                </c:pt>
                <c:pt idx="4">
                  <c:v>2014</c:v>
                </c:pt>
                <c:pt idx="5">
                  <c:v>2015</c:v>
                </c:pt>
                <c:pt idx="6">
                  <c:v>2016</c:v>
                </c:pt>
                <c:pt idx="7">
                  <c:v>2017</c:v>
                </c:pt>
              </c:numCache>
            </c:numRef>
          </c:xVal>
          <c:yVal>
            <c:numRef>
              <c:f>Summary!$B$18:$I$18</c:f>
              <c:numCache>
                <c:formatCode>#,##0</c:formatCode>
                <c:ptCount val="8"/>
                <c:pt idx="0">
                  <c:v>14165.21962227012</c:v>
                </c:pt>
                <c:pt idx="1">
                  <c:v>12124.965929785487</c:v>
                </c:pt>
                <c:pt idx="2">
                  <c:v>10778.301427799606</c:v>
                </c:pt>
                <c:pt idx="3">
                  <c:v>8196.1349033619663</c:v>
                </c:pt>
                <c:pt idx="4">
                  <c:v>9799.0536656872628</c:v>
                </c:pt>
                <c:pt idx="5">
                  <c:v>10607.66677954618</c:v>
                </c:pt>
                <c:pt idx="6">
                  <c:v>10039.232014661349</c:v>
                </c:pt>
                <c:pt idx="7">
                  <c:v>8936.5637266257945</c:v>
                </c:pt>
              </c:numCache>
            </c:numRef>
          </c:yVal>
          <c:smooth val="0"/>
        </c:ser>
        <c:ser>
          <c:idx val="2"/>
          <c:order val="2"/>
          <c:tx>
            <c:v>Log Sibling 1979 on</c:v>
          </c:tx>
          <c:spPr>
            <a:ln w="9525">
              <a:solidFill>
                <a:schemeClr val="tx1"/>
              </a:solidFill>
            </a:ln>
          </c:spPr>
          <c:marker>
            <c:symbol val="triangle"/>
            <c:size val="4"/>
          </c:marker>
          <c:xVal>
            <c:numRef>
              <c:f>Summary!$B$17:$I$17</c:f>
              <c:numCache>
                <c:formatCode>General</c:formatCode>
                <c:ptCount val="8"/>
                <c:pt idx="0">
                  <c:v>2010</c:v>
                </c:pt>
                <c:pt idx="1">
                  <c:v>2011</c:v>
                </c:pt>
                <c:pt idx="2">
                  <c:v>2012</c:v>
                </c:pt>
                <c:pt idx="3">
                  <c:v>2013</c:v>
                </c:pt>
                <c:pt idx="4">
                  <c:v>2014</c:v>
                </c:pt>
                <c:pt idx="5">
                  <c:v>2015</c:v>
                </c:pt>
                <c:pt idx="6">
                  <c:v>2016</c:v>
                </c:pt>
                <c:pt idx="7">
                  <c:v>2017</c:v>
                </c:pt>
              </c:numCache>
            </c:numRef>
          </c:xVal>
          <c:yVal>
            <c:numRef>
              <c:f>Summary!$B$27:$I$27</c:f>
              <c:numCache>
                <c:formatCode>#,##0</c:formatCode>
                <c:ptCount val="8"/>
                <c:pt idx="0">
                  <c:v>16228.145199612831</c:v>
                </c:pt>
                <c:pt idx="1">
                  <c:v>8748.8900955131649</c:v>
                </c:pt>
                <c:pt idx="2">
                  <c:v>11390.70195709884</c:v>
                </c:pt>
                <c:pt idx="3">
                  <c:v>16830.121516380408</c:v>
                </c:pt>
                <c:pt idx="4">
                  <c:v>7995.9976394674777</c:v>
                </c:pt>
                <c:pt idx="5">
                  <c:v>13371.11611899025</c:v>
                </c:pt>
                <c:pt idx="6">
                  <c:v>13694.253553977456</c:v>
                </c:pt>
                <c:pt idx="7">
                  <c:v>21199.81112040305</c:v>
                </c:pt>
              </c:numCache>
            </c:numRef>
          </c:yVal>
          <c:smooth val="0"/>
        </c:ser>
        <c:ser>
          <c:idx val="3"/>
          <c:order val="3"/>
          <c:tx>
            <c:strRef>
              <c:f>Summary!$A$26</c:f>
              <c:strCache>
                <c:ptCount val="1"/>
                <c:pt idx="0">
                  <c:v>Log Sibling AR1/MA1</c:v>
                </c:pt>
              </c:strCache>
            </c:strRef>
          </c:tx>
          <c:spPr>
            <a:ln w="9525">
              <a:solidFill>
                <a:schemeClr val="tx1"/>
              </a:solidFill>
            </a:ln>
          </c:spPr>
          <c:marker>
            <c:symbol val="plus"/>
            <c:size val="5"/>
            <c:spPr>
              <a:ln w="12700"/>
            </c:spPr>
          </c:marker>
          <c:xVal>
            <c:numRef>
              <c:f>Summary!$B$17:$I$17</c:f>
              <c:numCache>
                <c:formatCode>General</c:formatCode>
                <c:ptCount val="8"/>
                <c:pt idx="0">
                  <c:v>2010</c:v>
                </c:pt>
                <c:pt idx="1">
                  <c:v>2011</c:v>
                </c:pt>
                <c:pt idx="2">
                  <c:v>2012</c:v>
                </c:pt>
                <c:pt idx="3">
                  <c:v>2013</c:v>
                </c:pt>
                <c:pt idx="4">
                  <c:v>2014</c:v>
                </c:pt>
                <c:pt idx="5">
                  <c:v>2015</c:v>
                </c:pt>
                <c:pt idx="6">
                  <c:v>2016</c:v>
                </c:pt>
                <c:pt idx="7">
                  <c:v>2017</c:v>
                </c:pt>
              </c:numCache>
            </c:numRef>
          </c:xVal>
          <c:yVal>
            <c:numRef>
              <c:f>Summary!$B$26:$I$26</c:f>
              <c:numCache>
                <c:formatCode>#,##0</c:formatCode>
                <c:ptCount val="8"/>
                <c:pt idx="0">
                  <c:v>14524.613905646931</c:v>
                </c:pt>
                <c:pt idx="1">
                  <c:v>9356.2514205788393</c:v>
                </c:pt>
                <c:pt idx="2">
                  <c:v>13717.120456660596</c:v>
                </c:pt>
                <c:pt idx="3">
                  <c:v>12384.487990861753</c:v>
                </c:pt>
                <c:pt idx="4">
                  <c:v>7085.4594620933385</c:v>
                </c:pt>
                <c:pt idx="5">
                  <c:v>11228.382460468398</c:v>
                </c:pt>
                <c:pt idx="6">
                  <c:v>12507.703331548031</c:v>
                </c:pt>
                <c:pt idx="7">
                  <c:v>17053.316842347271</c:v>
                </c:pt>
              </c:numCache>
            </c:numRef>
          </c:yVal>
          <c:smooth val="0"/>
        </c:ser>
        <c:dLbls>
          <c:showLegendKey val="0"/>
          <c:showVal val="0"/>
          <c:showCatName val="0"/>
          <c:showSerName val="0"/>
          <c:showPercent val="0"/>
          <c:showBubbleSize val="0"/>
        </c:dLbls>
        <c:axId val="160786688"/>
        <c:axId val="160792960"/>
      </c:scatterChart>
      <c:valAx>
        <c:axId val="160786688"/>
        <c:scaling>
          <c:orientation val="minMax"/>
          <c:max val="2015"/>
          <c:min val="2010"/>
        </c:scaling>
        <c:delete val="0"/>
        <c:axPos val="b"/>
        <c:numFmt formatCode="General" sourceLinked="1"/>
        <c:majorTickMark val="out"/>
        <c:minorTickMark val="none"/>
        <c:tickLblPos val="nextTo"/>
        <c:crossAx val="160792960"/>
        <c:crosses val="autoZero"/>
        <c:crossBetween val="midCat"/>
        <c:majorUnit val="1"/>
      </c:valAx>
      <c:valAx>
        <c:axId val="160792960"/>
        <c:scaling>
          <c:orientation val="minMax"/>
        </c:scaling>
        <c:delete val="0"/>
        <c:axPos val="l"/>
        <c:majorGridlines/>
        <c:numFmt formatCode="#,##0" sourceLinked="1"/>
        <c:majorTickMark val="out"/>
        <c:minorTickMark val="none"/>
        <c:tickLblPos val="nextTo"/>
        <c:crossAx val="160786688"/>
        <c:crosses val="autoZero"/>
        <c:crossBetween val="midCat"/>
      </c:valAx>
    </c:plotArea>
    <c:legend>
      <c:legendPos val="b"/>
      <c:layout/>
      <c:overlay val="0"/>
    </c:legend>
    <c:plotVisOnly val="1"/>
    <c:dispBlanksAs val="gap"/>
    <c:showDLblsOverMax val="0"/>
  </c:chart>
  <c:printSettings>
    <c:headerFooter/>
    <c:pageMargins b="0.75" l="0.7" r="0.7" t="0.75" header="0.3" footer="0.3"/>
    <c:pageSetup/>
  </c:printSettings>
</c:chartSpac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14</xdr:col>
      <xdr:colOff>0</xdr:colOff>
      <xdr:row>43</xdr:row>
      <xdr:rowOff>0</xdr:rowOff>
    </xdr:from>
    <xdr:to>
      <xdr:col>22</xdr:col>
      <xdr:colOff>495300</xdr:colOff>
      <xdr:row>62</xdr:row>
      <xdr:rowOff>66675</xdr:rowOff>
    </xdr:to>
    <xdr:sp macro="" textlink="">
      <xdr:nvSpPr>
        <xdr:cNvPr id="2" name="TextBox 1"/>
        <xdr:cNvSpPr txBox="1"/>
      </xdr:nvSpPr>
      <xdr:spPr>
        <a:xfrm>
          <a:off x="10125075" y="6962775"/>
          <a:ext cx="5372100" cy="2819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Notes:</a:t>
          </a:r>
        </a:p>
        <a:p>
          <a:r>
            <a:rPr lang="en-US" sz="1100"/>
            <a:t>Sibling and ln sibling models are insignficant.</a:t>
          </a:r>
          <a:r>
            <a:rPr lang="en-US" sz="1100" baseline="0"/>
            <a:t>  Also, the number of 11's in 2013 far exceeds anything in your dataset.  Last year I think I remember a discusion about how your guys are not convinced that the weir actually counts all of the 11's.  For all of these reasons i'm leary of using those models for this age class.  Unfortunatly they have the lowest MADs.  On the other hand, there does not seem to be a good choice for this age class.</a:t>
          </a:r>
        </a:p>
        <a:p>
          <a:endParaRPr lang="en-US" sz="1100" baseline="0"/>
        </a:p>
        <a:p>
          <a:r>
            <a:rPr lang="en-US" sz="1100" baseline="0"/>
            <a:t>FYI, your Ricker model for year 2012 uses a different range of data than the other years.</a:t>
          </a:r>
        </a:p>
        <a:p>
          <a:endParaRPr lang="en-US" sz="1100" baseline="0"/>
        </a:p>
        <a:p>
          <a:r>
            <a:rPr lang="en-US" sz="1100" baseline="0"/>
            <a:t>Amongst the Ricker models, the Ricker MA1 model is prefered based on model selection criteria.</a:t>
          </a:r>
        </a:p>
        <a:p>
          <a:endParaRPr lang="en-US" sz="1100"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Amongst the univatiate models, the AR1 model is prefered based on model selection criteria.</a:t>
          </a:r>
          <a:endParaRPr lang="en-US">
            <a:effectLst/>
          </a:endParaRPr>
        </a:p>
        <a:p>
          <a:endParaRPr lang="en-US" sz="1100" baseline="0"/>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171450</xdr:colOff>
      <xdr:row>58</xdr:row>
      <xdr:rowOff>9524</xdr:rowOff>
    </xdr:from>
    <xdr:to>
      <xdr:col>7</xdr:col>
      <xdr:colOff>476250</xdr:colOff>
      <xdr:row>75</xdr:row>
      <xdr:rowOff>57150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85725</xdr:colOff>
      <xdr:row>64</xdr:row>
      <xdr:rowOff>133350</xdr:rowOff>
    </xdr:from>
    <xdr:to>
      <xdr:col>15</xdr:col>
      <xdr:colOff>0</xdr:colOff>
      <xdr:row>81</xdr:row>
      <xdr:rowOff>123825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213754</xdr:colOff>
      <xdr:row>78</xdr:row>
      <xdr:rowOff>142504</xdr:rowOff>
    </xdr:from>
    <xdr:to>
      <xdr:col>8</xdr:col>
      <xdr:colOff>148441</xdr:colOff>
      <xdr:row>97</xdr:row>
      <xdr:rowOff>148440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237506</xdr:colOff>
      <xdr:row>98</xdr:row>
      <xdr:rowOff>157348</xdr:rowOff>
    </xdr:from>
    <xdr:to>
      <xdr:col>7</xdr:col>
      <xdr:colOff>35625</xdr:colOff>
      <xdr:row>116</xdr:row>
      <xdr:rowOff>14844</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19</xdr:col>
      <xdr:colOff>95250</xdr:colOff>
      <xdr:row>42</xdr:row>
      <xdr:rowOff>123825</xdr:rowOff>
    </xdr:from>
    <xdr:to>
      <xdr:col>27</xdr:col>
      <xdr:colOff>114300</xdr:colOff>
      <xdr:row>61</xdr:row>
      <xdr:rowOff>95250</xdr:rowOff>
    </xdr:to>
    <xdr:sp macro="" textlink="">
      <xdr:nvSpPr>
        <xdr:cNvPr id="7" name="TextBox 6"/>
        <xdr:cNvSpPr txBox="1"/>
      </xdr:nvSpPr>
      <xdr:spPr>
        <a:xfrm>
          <a:off x="15163800" y="6924675"/>
          <a:ext cx="4895850" cy="2886075"/>
        </a:xfrm>
        <a:prstGeom prst="rect">
          <a:avLst/>
        </a:prstGeom>
        <a:solidFill>
          <a:schemeClr val="lt1"/>
        </a:solidFill>
        <a:ln w="9525"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Notes:</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Log sibling with AR1/MA1 has the best statistical fit.  Log Sibling with AR1 is a close second, Log Sibling with MA1  is third.  I checked</a:t>
          </a:r>
          <a:r>
            <a:rPr lang="en-US" sz="1100" baseline="0">
              <a:solidFill>
                <a:schemeClr val="dk1"/>
              </a:solidFill>
              <a:effectLst/>
              <a:latin typeface="+mn-lt"/>
              <a:ea typeface="+mn-ea"/>
              <a:cs typeface="+mn-cs"/>
            </a:rPr>
            <a:t> the MA1 MAD and its very close to the AR1 MAD.</a:t>
          </a:r>
        </a:p>
        <a:p>
          <a:endParaRPr lang="en-US" sz="1100"/>
        </a:p>
        <a:p>
          <a:r>
            <a:rPr lang="en-US" sz="1100"/>
            <a:t>Ricker models with AR1 and MA1 are both significant, but the MA model has a better</a:t>
          </a:r>
          <a:r>
            <a:rPr lang="en-US" sz="1100" baseline="0"/>
            <a:t> statistical fit.</a:t>
          </a:r>
        </a:p>
        <a:p>
          <a:endParaRPr lang="en-US" sz="1100" baseline="0"/>
        </a:p>
        <a:p>
          <a:r>
            <a:rPr lang="en-US" sz="1100" baseline="0"/>
            <a:t>THe univarate model without log transformation has poorly distributed residuals... I would omit it.  I replaced it with a 5 year median and average assuming a log normal distribution.  The latter  seems to preform well based on MAD.</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15</xdr:col>
      <xdr:colOff>247650</xdr:colOff>
      <xdr:row>1</xdr:row>
      <xdr:rowOff>142875</xdr:rowOff>
    </xdr:from>
    <xdr:to>
      <xdr:col>20</xdr:col>
      <xdr:colOff>47625</xdr:colOff>
      <xdr:row>18</xdr:row>
      <xdr:rowOff>133350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133350</xdr:colOff>
      <xdr:row>41</xdr:row>
      <xdr:rowOff>28575</xdr:rowOff>
    </xdr:from>
    <xdr:to>
      <xdr:col>27</xdr:col>
      <xdr:colOff>0</xdr:colOff>
      <xdr:row>59</xdr:row>
      <xdr:rowOff>38100</xdr:rowOff>
    </xdr:to>
    <xdr:sp macro="" textlink="">
      <xdr:nvSpPr>
        <xdr:cNvPr id="4" name="TextBox 3"/>
        <xdr:cNvSpPr txBox="1"/>
      </xdr:nvSpPr>
      <xdr:spPr>
        <a:xfrm>
          <a:off x="16192500" y="6505575"/>
          <a:ext cx="4743450" cy="2762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general, I don't like the non-log transformed models</a:t>
          </a:r>
          <a:r>
            <a:rPr lang="en-US" sz="1100" baseline="0"/>
            <a:t> becasue  they violate some of the model assumtions.  I left two of those models blank.  I added 5 year average and median forecasts under the assumtion the returns are log normally distributed (which is probably true).</a:t>
          </a:r>
        </a:p>
        <a:p>
          <a:endParaRPr lang="en-US" sz="1100" baseline="0"/>
        </a:p>
        <a:p>
          <a:r>
            <a:rPr lang="en-US" sz="1100" baseline="0"/>
            <a:t>For the Ln sibling model the AR1/MA1 modle has a better statistical fit than any of the other options.  The AR2 model has the second best fit.</a:t>
          </a:r>
        </a:p>
        <a:p>
          <a:endParaRPr lang="en-US" sz="1100" baseline="0"/>
        </a:p>
        <a:p>
          <a:r>
            <a:rPr lang="en-US" sz="1100"/>
            <a:t>For the Ricker models I tried</a:t>
          </a:r>
          <a:r>
            <a:rPr lang="en-US" sz="1100" baseline="0"/>
            <a:t> AR1, AR2, MA1 and AR1/MA1 models.  The MA1 model had a poor fit while the AR2 and AR1/MA1 models had insignificant terms.</a:t>
          </a:r>
        </a:p>
        <a:p>
          <a:endParaRPr lang="en-US" sz="1100" baseline="0"/>
        </a:p>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For the ln Univariate models I tried</a:t>
          </a:r>
          <a:r>
            <a:rPr lang="en-US" sz="1100" baseline="0">
              <a:solidFill>
                <a:schemeClr val="dk1"/>
              </a:solidFill>
              <a:effectLst/>
              <a:latin typeface="+mn-lt"/>
              <a:ea typeface="+mn-ea"/>
              <a:cs typeface="+mn-cs"/>
            </a:rPr>
            <a:t> AR1, AR2, MA1 and AR1/MA1 models.  The MA1 model had a poor fit while the AR2 and AR1/MA1 models had insignificant terms.</a:t>
          </a:r>
          <a:endParaRPr lang="en-US">
            <a:effectLst/>
          </a:endParaRPr>
        </a:p>
        <a:p>
          <a:endParaRPr lang="en-US" sz="1100" baseline="0"/>
        </a:p>
        <a:p>
          <a:endParaRPr lang="en-US" sz="1100" baseline="0"/>
        </a:p>
        <a:p>
          <a:endParaRPr lang="en-US" sz="1100" baseline="0"/>
        </a:p>
        <a:p>
          <a:endParaRPr lang="en-US" sz="1100" baseline="0"/>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13</xdr:col>
      <xdr:colOff>247650</xdr:colOff>
      <xdr:row>55</xdr:row>
      <xdr:rowOff>116205</xdr:rowOff>
    </xdr:from>
    <xdr:to>
      <xdr:col>25</xdr:col>
      <xdr:colOff>38100</xdr:colOff>
      <xdr:row>72</xdr:row>
      <xdr:rowOff>43815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342900</xdr:colOff>
      <xdr:row>77</xdr:row>
      <xdr:rowOff>104775</xdr:rowOff>
    </xdr:from>
    <xdr:to>
      <xdr:col>19</xdr:col>
      <xdr:colOff>38100</xdr:colOff>
      <xdr:row>96</xdr:row>
      <xdr:rowOff>38100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30</xdr:col>
      <xdr:colOff>549630</xdr:colOff>
      <xdr:row>9</xdr:row>
      <xdr:rowOff>91141</xdr:rowOff>
    </xdr:from>
    <xdr:to>
      <xdr:col>38</xdr:col>
      <xdr:colOff>189412</xdr:colOff>
      <xdr:row>28</xdr:row>
      <xdr:rowOff>108954</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236220</xdr:colOff>
      <xdr:row>0</xdr:row>
      <xdr:rowOff>45720</xdr:rowOff>
    </xdr:from>
    <xdr:to>
      <xdr:col>13</xdr:col>
      <xdr:colOff>7620</xdr:colOff>
      <xdr:row>2</xdr:row>
      <xdr:rowOff>38100</xdr:rowOff>
    </xdr:to>
    <xdr:sp macro="" textlink="">
      <xdr:nvSpPr>
        <xdr:cNvPr id="5" name="TextBox 4"/>
        <xdr:cNvSpPr txBox="1"/>
      </xdr:nvSpPr>
      <xdr:spPr>
        <a:xfrm>
          <a:off x="6530340" y="45720"/>
          <a:ext cx="3116580" cy="3886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Only green shaded cells</a:t>
          </a:r>
          <a:r>
            <a:rPr lang="en-US" sz="1100" baseline="0"/>
            <a:t> are current. ND 12/6/17</a:t>
          </a:r>
          <a:endParaRPr 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f-pal1\USER\RY-Documents\Palmer\projects\Beg\Willow\Willow%20rps%20ry.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Sf-pal1\USER\RY-Documents\Palmer\projects\analyses\KS%20escapement%20correlations.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Sf-pal1\USER\RY-Documents\Palmer\projects\BEG\Little%20Su\LittleSuBrood%20Tables%20ry.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SF\SALMON\CHINOOK\Streams\DESHKA~1\Brood%20Table\Deshka%20KS%20Brood.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SF\SALMON\CHINOOK\Streams\DESHKA~1\Brood%20Table\status%20report\Deshka%20tables1-1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atchery with alternate age com"/>
      <sheetName val="Deception RPS wild"/>
      <sheetName val="hatchery"/>
      <sheetName val="yield"/>
      <sheetName val="groundfish"/>
      <sheetName val="Willow RPS wild"/>
      <sheetName val="RTS analysis"/>
    </sheetNames>
    <sheetDataSet>
      <sheetData sheetId="0" refreshError="1"/>
      <sheetData sheetId="1" refreshError="1"/>
      <sheetData sheetId="2" refreshError="1"/>
      <sheetData sheetId="3" refreshError="1"/>
      <sheetData sheetId="4" refreshError="1"/>
      <sheetData sheetId="5">
        <row r="45">
          <cell r="AF45" t="str">
            <v>uses only SF age comps for both harvest and escapement</v>
          </cell>
        </row>
        <row r="46">
          <cell r="AF46" t="str">
            <v>WILLOW CREEK MAINSTEM WILD STOCK ONLY</v>
          </cell>
        </row>
        <row r="47">
          <cell r="J47" t="str">
            <v>Exploitation</v>
          </cell>
          <cell r="AF47" t="str">
            <v>Brood year</v>
          </cell>
          <cell r="AG47" t="str">
            <v>Aerial survey *2</v>
          </cell>
          <cell r="AH47" t="str">
            <v>brood year return</v>
          </cell>
        </row>
        <row r="48">
          <cell r="J48" t="str">
            <v>Rate</v>
          </cell>
        </row>
        <row r="49">
          <cell r="AF49">
            <v>1977</v>
          </cell>
          <cell r="AG49">
            <v>1820</v>
          </cell>
          <cell r="AH49">
            <v>1414.2502928246358</v>
          </cell>
        </row>
        <row r="50">
          <cell r="AF50">
            <v>1978</v>
          </cell>
          <cell r="AG50">
            <v>2332</v>
          </cell>
          <cell r="AH50">
            <v>3670.7897762626499</v>
          </cell>
        </row>
        <row r="51">
          <cell r="AF51">
            <v>1979</v>
          </cell>
          <cell r="AG51">
            <v>1696</v>
          </cell>
          <cell r="AH51">
            <v>5876.0426996162496</v>
          </cell>
        </row>
        <row r="52">
          <cell r="AF52">
            <v>1980</v>
          </cell>
          <cell r="AG52">
            <v>2000</v>
          </cell>
          <cell r="AH52">
            <v>4487.9981038983406</v>
          </cell>
        </row>
        <row r="53">
          <cell r="AF53">
            <v>1981</v>
          </cell>
          <cell r="AG53">
            <v>1982</v>
          </cell>
          <cell r="AH53">
            <v>6075.4473455802108</v>
          </cell>
        </row>
        <row r="54">
          <cell r="AF54">
            <v>1982</v>
          </cell>
          <cell r="AG54">
            <v>1184</v>
          </cell>
          <cell r="AH54">
            <v>5812.7703927902767</v>
          </cell>
        </row>
        <row r="55">
          <cell r="AF55">
            <v>1983</v>
          </cell>
          <cell r="AG55">
            <v>1554</v>
          </cell>
          <cell r="AH55">
            <v>15527.383888777067</v>
          </cell>
        </row>
        <row r="56">
          <cell r="AF56">
            <v>1984</v>
          </cell>
          <cell r="AG56">
            <v>5578</v>
          </cell>
          <cell r="AH56">
            <v>7134.559053760674</v>
          </cell>
        </row>
        <row r="57">
          <cell r="J57">
            <v>0.3169352776158077</v>
          </cell>
          <cell r="AF57">
            <v>1985</v>
          </cell>
          <cell r="AG57">
            <v>3712</v>
          </cell>
          <cell r="AH57">
            <v>5223.0809648766481</v>
          </cell>
        </row>
        <row r="58">
          <cell r="J58">
            <v>0.2125984251968504</v>
          </cell>
          <cell r="AF58">
            <v>1986</v>
          </cell>
          <cell r="AG58">
            <v>4118</v>
          </cell>
          <cell r="AH58">
            <v>7248.5641750434679</v>
          </cell>
        </row>
        <row r="59">
          <cell r="J59">
            <v>0.33793269913961566</v>
          </cell>
          <cell r="AF59">
            <v>1987</v>
          </cell>
          <cell r="AG59">
            <v>5536</v>
          </cell>
          <cell r="AH59">
            <v>6009.7047413855271</v>
          </cell>
        </row>
        <row r="60">
          <cell r="J60">
            <v>0.45976146872159801</v>
          </cell>
          <cell r="AF60">
            <v>1988</v>
          </cell>
          <cell r="AG60">
            <v>4992</v>
          </cell>
          <cell r="AH60">
            <v>9025.0870875869023</v>
          </cell>
        </row>
        <row r="61">
          <cell r="J61">
            <v>0.37977056609442122</v>
          </cell>
          <cell r="AF61">
            <v>1989</v>
          </cell>
          <cell r="AG61">
            <v>9571.1037587459996</v>
          </cell>
          <cell r="AH61">
            <v>7457.8413975967196</v>
          </cell>
        </row>
        <row r="62">
          <cell r="J62">
            <v>0.19723030168942404</v>
          </cell>
          <cell r="AF62">
            <v>1990</v>
          </cell>
          <cell r="AG62">
            <v>4625.1637636858459</v>
          </cell>
          <cell r="AH62">
            <v>3869.9976566025362</v>
          </cell>
        </row>
        <row r="63">
          <cell r="J63">
            <v>0.28575742734227544</v>
          </cell>
          <cell r="AF63">
            <v>1991</v>
          </cell>
          <cell r="AG63">
            <v>4012</v>
          </cell>
          <cell r="AH63">
            <v>5871.6500700552397</v>
          </cell>
        </row>
        <row r="64">
          <cell r="J64">
            <v>0.42858887262962636</v>
          </cell>
          <cell r="AF64">
            <v>1992</v>
          </cell>
          <cell r="AG64">
            <v>3174.3269805675172</v>
          </cell>
          <cell r="AH64">
            <v>10452.01970768094</v>
          </cell>
        </row>
        <row r="65">
          <cell r="J65">
            <v>0.47586230953689607</v>
          </cell>
          <cell r="AF65">
            <v>1993</v>
          </cell>
          <cell r="AG65">
            <v>3867.0098302384804</v>
          </cell>
          <cell r="AH65">
            <v>7100.9820235663428</v>
          </cell>
        </row>
        <row r="66">
          <cell r="J66">
            <v>0.45215421357752544</v>
          </cell>
          <cell r="AF66">
            <v>1994</v>
          </cell>
          <cell r="AG66">
            <v>2860.7466604639749</v>
          </cell>
          <cell r="AH66">
            <v>6219.6686721359329</v>
          </cell>
        </row>
        <row r="67">
          <cell r="J67">
            <v>0.43581413157497689</v>
          </cell>
        </row>
        <row r="68">
          <cell r="J68">
            <v>0.48301923214813658</v>
          </cell>
        </row>
        <row r="69">
          <cell r="J69">
            <v>0.51549097359268392</v>
          </cell>
        </row>
        <row r="70">
          <cell r="J70">
            <v>0.69875370879156395</v>
          </cell>
        </row>
        <row r="71">
          <cell r="J71">
            <v>0.67601242381596205</v>
          </cell>
        </row>
        <row r="72">
          <cell r="J72">
            <v>0.66179528868211324</v>
          </cell>
        </row>
        <row r="73">
          <cell r="J73">
            <v>0.36089212165734058</v>
          </cell>
        </row>
        <row r="74">
          <cell r="J74">
            <v>0.41766804960209364</v>
          </cell>
        </row>
        <row r="75">
          <cell r="J75">
            <v>0.29132739508581429</v>
          </cell>
        </row>
        <row r="76">
          <cell r="J76">
            <v>0.35508041063551266</v>
          </cell>
        </row>
        <row r="77">
          <cell r="J77">
            <v>0.49476523987101345</v>
          </cell>
        </row>
        <row r="78">
          <cell r="J78">
            <v>0.48414425113087267</v>
          </cell>
        </row>
      </sheetData>
      <sheetData sheetId="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nikarmdata"/>
      <sheetName val="westCIdata"/>
      <sheetName val="westdata"/>
      <sheetName val="eastdata"/>
      <sheetName val="ancdata"/>
      <sheetName val="deshka"/>
      <sheetName val="prairie"/>
      <sheetName val="tyonek"/>
      <sheetName val="deception"/>
      <sheetName val="ship"/>
      <sheetName val="summary"/>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xpansion factor"/>
      <sheetName val="S-R analysis 01"/>
      <sheetName val="brood table 01"/>
      <sheetName val="Escapement Data"/>
      <sheetName val="Harvest and Total Run"/>
      <sheetName val="S-R analysis age 3 and 4."/>
      <sheetName val="age 3 and 4_stats"/>
      <sheetName val="MSY range"/>
      <sheetName val="age 3 and 4 _Yield"/>
      <sheetName val="S-R analysis 50 50 "/>
      <sheetName val="50 50 Stats"/>
      <sheetName val="50 50 Yield"/>
      <sheetName val="S-R analysis age 4 only return"/>
      <sheetName val="age 4 only_stats"/>
      <sheetName val="age 4 only_Yield"/>
      <sheetName val="S-R analysis 3 and 4 lo"/>
      <sheetName val="age 3 and 4 lo_Stats"/>
      <sheetName val="age 3 and 4 lo_Yield"/>
      <sheetName val="S-R analysis 3 and 4 hi"/>
      <sheetName val="age 3 and 4 hi_stats"/>
      <sheetName val="age 3 and 4 hi_Yield"/>
      <sheetName val="S-R model summary"/>
      <sheetName val="Sheet1"/>
      <sheetName val="Regression Statistics"/>
    </sheetNames>
    <sheetDataSet>
      <sheetData sheetId="0"/>
      <sheetData sheetId="1"/>
      <sheetData sheetId="2"/>
      <sheetData sheetId="3">
        <row r="6">
          <cell r="A6" t="str">
            <v xml:space="preserve">Table 21.  </v>
          </cell>
          <cell r="B6" t="str">
            <v>Little Susitna River coho salmon escapement survey and weir counts, 1978-1998.</v>
          </cell>
        </row>
        <row r="9">
          <cell r="B9" t="str">
            <v>Foot, boat and aerial surveys</v>
          </cell>
          <cell r="N9" t="str">
            <v>Weir-based escapement counts</v>
          </cell>
        </row>
        <row r="10">
          <cell r="D10" t="str">
            <v>Survey</v>
          </cell>
          <cell r="F10" t="str">
            <v>Conditons</v>
          </cell>
          <cell r="J10" t="str">
            <v>Survey</v>
          </cell>
          <cell r="N10" t="str">
            <v>hatchery</v>
          </cell>
          <cell r="R10" t="str">
            <v>non-hatchery</v>
          </cell>
        </row>
        <row r="11">
          <cell r="B11" t="str">
            <v>date</v>
          </cell>
          <cell r="D11" t="str">
            <v>method</v>
          </cell>
          <cell r="F11" t="str">
            <v>weather</v>
          </cell>
          <cell r="G11" t="str">
            <v>stream</v>
          </cell>
          <cell r="H11" t="str">
            <v>visibility</v>
          </cell>
          <cell r="J11" t="str">
            <v>Count</v>
          </cell>
          <cell r="L11" t="str">
            <v>Survey Location</v>
          </cell>
          <cell r="N11" t="str">
            <v>number</v>
          </cell>
          <cell r="P11" t="str">
            <v>proportion</v>
          </cell>
          <cell r="R11" t="str">
            <v>number</v>
          </cell>
          <cell r="T11" t="str">
            <v>proportion</v>
          </cell>
          <cell r="V11" t="str">
            <v>Total</v>
          </cell>
        </row>
        <row r="12">
          <cell r="A12">
            <v>1978</v>
          </cell>
          <cell r="B12">
            <v>36063</v>
          </cell>
          <cell r="D12" t="str">
            <v>foot</v>
          </cell>
          <cell r="F12" t="str">
            <v>clear</v>
          </cell>
          <cell r="G12" t="str">
            <v>low</v>
          </cell>
          <cell r="H12" t="str">
            <v>excellent</v>
          </cell>
          <cell r="J12">
            <v>6156</v>
          </cell>
          <cell r="K12" t="str">
            <v>a</v>
          </cell>
          <cell r="L12" t="str">
            <v>Edgerton Park Rd. to Nancy Lake Creek</v>
          </cell>
        </row>
        <row r="13">
          <cell r="A13">
            <v>1979</v>
          </cell>
        </row>
        <row r="14">
          <cell r="A14">
            <v>1980</v>
          </cell>
          <cell r="B14">
            <v>36063</v>
          </cell>
          <cell r="D14" t="str">
            <v>foot</v>
          </cell>
          <cell r="F14" t="str">
            <v>overcast</v>
          </cell>
          <cell r="G14" t="str">
            <v>normal</v>
          </cell>
          <cell r="H14" t="str">
            <v>normal</v>
          </cell>
          <cell r="J14">
            <v>1599</v>
          </cell>
          <cell r="L14" t="str">
            <v>Shrock Road to Burnt Cabin (Index Area #4 only)</v>
          </cell>
        </row>
        <row r="15">
          <cell r="A15">
            <v>1980</v>
          </cell>
          <cell r="B15">
            <v>36067</v>
          </cell>
          <cell r="D15" t="str">
            <v>foot</v>
          </cell>
          <cell r="F15" t="str">
            <v>overcast</v>
          </cell>
          <cell r="G15" t="str">
            <v>normal</v>
          </cell>
          <cell r="H15" t="str">
            <v>normal</v>
          </cell>
          <cell r="J15">
            <v>93</v>
          </cell>
          <cell r="L15" t="str">
            <v>Burnt cabin to Parks Highway Br (Index Area #5 only)</v>
          </cell>
        </row>
        <row r="16">
          <cell r="A16">
            <v>1981</v>
          </cell>
          <cell r="B16">
            <v>36067</v>
          </cell>
          <cell r="D16" t="str">
            <v>foot/boat</v>
          </cell>
          <cell r="F16" t="str">
            <v>clear</v>
          </cell>
          <cell r="G16" t="str">
            <v>low</v>
          </cell>
          <cell r="H16" t="str">
            <v>excellent</v>
          </cell>
          <cell r="J16">
            <v>6750</v>
          </cell>
          <cell r="K16" t="str">
            <v>a</v>
          </cell>
          <cell r="L16" t="str">
            <v>Edgerton Park Rd. to Nancy Lk Creek</v>
          </cell>
        </row>
        <row r="17">
          <cell r="A17">
            <v>1982</v>
          </cell>
          <cell r="B17">
            <v>36076</v>
          </cell>
          <cell r="D17" t="str">
            <v>helicopter</v>
          </cell>
          <cell r="F17" t="str">
            <v>overcast</v>
          </cell>
          <cell r="G17" t="str">
            <v>low</v>
          </cell>
          <cell r="H17" t="str">
            <v>normal</v>
          </cell>
          <cell r="J17">
            <v>6800</v>
          </cell>
          <cell r="K17" t="str">
            <v>a</v>
          </cell>
          <cell r="L17" t="str">
            <v>Edgerton Park Rd. to 10 mi below Schrock Rd. bridge</v>
          </cell>
        </row>
        <row r="18">
          <cell r="A18">
            <v>1983</v>
          </cell>
          <cell r="B18">
            <v>36066</v>
          </cell>
          <cell r="D18" t="str">
            <v>foot</v>
          </cell>
          <cell r="F18" t="str">
            <v>overcast</v>
          </cell>
          <cell r="G18" t="str">
            <v>normal/clear</v>
          </cell>
          <cell r="H18" t="str">
            <v>poor/normal</v>
          </cell>
          <cell r="J18">
            <v>2666</v>
          </cell>
          <cell r="K18" t="str">
            <v>a</v>
          </cell>
          <cell r="L18" t="str">
            <v>Edgerton Park Rd. to Burnt Cabin</v>
          </cell>
        </row>
        <row r="19">
          <cell r="A19">
            <v>1983</v>
          </cell>
          <cell r="B19">
            <v>36071</v>
          </cell>
          <cell r="D19" t="str">
            <v>helicopter</v>
          </cell>
          <cell r="F19" t="str">
            <v>overcast</v>
          </cell>
          <cell r="G19" t="str">
            <v>high</v>
          </cell>
          <cell r="H19" t="str">
            <v>normal/poor</v>
          </cell>
          <cell r="J19">
            <v>959</v>
          </cell>
          <cell r="L19" t="str">
            <v>Rock pinnacle to Parks Highway</v>
          </cell>
        </row>
        <row r="20">
          <cell r="A20">
            <v>1984</v>
          </cell>
          <cell r="B20">
            <v>36064</v>
          </cell>
          <cell r="D20" t="str">
            <v>heicopter/foot</v>
          </cell>
          <cell r="F20" t="str">
            <v>clear</v>
          </cell>
          <cell r="G20" t="str">
            <v>low/normal</v>
          </cell>
          <cell r="H20" t="str">
            <v>normal/excellent</v>
          </cell>
          <cell r="J20">
            <v>22208</v>
          </cell>
          <cell r="L20" t="str">
            <v>L.Sw. Roadhouse to Nancy Lake Creek</v>
          </cell>
        </row>
        <row r="21">
          <cell r="A21">
            <v>1985</v>
          </cell>
          <cell r="B21">
            <v>36069</v>
          </cell>
          <cell r="D21" t="str">
            <v>heicopter/foot</v>
          </cell>
          <cell r="F21" t="str">
            <v>overcast</v>
          </cell>
          <cell r="G21" t="str">
            <v>high</v>
          </cell>
          <cell r="H21" t="str">
            <v>normal/poor</v>
          </cell>
          <cell r="J21">
            <v>3889</v>
          </cell>
          <cell r="K21" t="str">
            <v>a</v>
          </cell>
          <cell r="L21" t="str">
            <v xml:space="preserve">Archangel Cr. to Nancy Lk </v>
          </cell>
        </row>
        <row r="22">
          <cell r="A22">
            <v>1986</v>
          </cell>
          <cell r="B22">
            <v>36068</v>
          </cell>
          <cell r="D22" t="str">
            <v>helicopter</v>
          </cell>
          <cell r="F22" t="str">
            <v>overcast</v>
          </cell>
          <cell r="G22" t="str">
            <v>high</v>
          </cell>
          <cell r="H22" t="str">
            <v>poor</v>
          </cell>
          <cell r="J22">
            <v>1308</v>
          </cell>
          <cell r="L22" t="str">
            <v>Edgerton Parks Rd. to Shrock Rd. bridge.</v>
          </cell>
          <cell r="R22">
            <v>6999</v>
          </cell>
          <cell r="V22">
            <v>6999</v>
          </cell>
        </row>
        <row r="23">
          <cell r="A23">
            <v>1987</v>
          </cell>
          <cell r="B23">
            <v>32049</v>
          </cell>
          <cell r="D23" t="str">
            <v>helicopter</v>
          </cell>
          <cell r="F23" t="str">
            <v>clear/overcast</v>
          </cell>
          <cell r="G23" t="str">
            <v>normal/clear</v>
          </cell>
          <cell r="H23" t="str">
            <v>excellent</v>
          </cell>
          <cell r="J23">
            <v>4865</v>
          </cell>
          <cell r="K23" t="str">
            <v>a</v>
          </cell>
          <cell r="L23" t="str">
            <v>Edgerton Parks Rd. to 1 mile below Nancy Lk. Cr.</v>
          </cell>
          <cell r="R23">
            <v>1184</v>
          </cell>
          <cell r="V23">
            <v>1184</v>
          </cell>
        </row>
        <row r="24">
          <cell r="A24">
            <v>1988</v>
          </cell>
          <cell r="N24">
            <v>4428</v>
          </cell>
          <cell r="P24">
            <v>0.21609487091894003</v>
          </cell>
          <cell r="R24">
            <v>16063</v>
          </cell>
          <cell r="S24" t="str">
            <v>a</v>
          </cell>
          <cell r="T24">
            <v>0.78390512908106003</v>
          </cell>
          <cell r="V24">
            <v>20491</v>
          </cell>
        </row>
        <row r="25">
          <cell r="A25">
            <v>1989</v>
          </cell>
          <cell r="B25">
            <v>32784</v>
          </cell>
          <cell r="D25" t="str">
            <v>foot</v>
          </cell>
          <cell r="F25" t="str">
            <v>part cloudy</v>
          </cell>
          <cell r="G25" t="str">
            <v>normal</v>
          </cell>
          <cell r="H25" t="str">
            <v>good</v>
          </cell>
          <cell r="J25">
            <v>814</v>
          </cell>
          <cell r="L25" t="str">
            <v>N. Sushana bridge to Shrock Rd. bridge</v>
          </cell>
          <cell r="N25">
            <v>6862</v>
          </cell>
          <cell r="P25">
            <v>0.45049894957983194</v>
          </cell>
          <cell r="R25">
            <v>8370</v>
          </cell>
          <cell r="S25" t="str">
            <v>a</v>
          </cell>
          <cell r="T25">
            <v>0.54950105042016806</v>
          </cell>
          <cell r="V25">
            <v>15232</v>
          </cell>
        </row>
        <row r="26">
          <cell r="A26">
            <v>1990</v>
          </cell>
          <cell r="N26">
            <v>3370</v>
          </cell>
          <cell r="P26">
            <v>0.23549965059399022</v>
          </cell>
          <cell r="R26">
            <v>10940</v>
          </cell>
          <cell r="S26" t="str">
            <v>a</v>
          </cell>
          <cell r="T26">
            <v>0.76450034940600975</v>
          </cell>
          <cell r="V26">
            <v>14310</v>
          </cell>
        </row>
        <row r="27">
          <cell r="A27">
            <v>1991</v>
          </cell>
          <cell r="B27">
            <v>33515</v>
          </cell>
          <cell r="D27" t="str">
            <v>helicopter</v>
          </cell>
          <cell r="F27" t="str">
            <v>clear</v>
          </cell>
          <cell r="G27" t="str">
            <v>normal</v>
          </cell>
          <cell r="H27" t="str">
            <v>excellent</v>
          </cell>
          <cell r="J27">
            <v>5254</v>
          </cell>
          <cell r="L27" t="str">
            <v>Edgerton Parks Rd. to 1 mile below Nancy Lk. Cr.</v>
          </cell>
          <cell r="N27">
            <v>8322</v>
          </cell>
          <cell r="P27">
            <v>0.22132390096008084</v>
          </cell>
          <cell r="R27">
            <v>29279</v>
          </cell>
          <cell r="T27">
            <v>0.77867609903991919</v>
          </cell>
          <cell r="V27">
            <v>37601</v>
          </cell>
        </row>
        <row r="28">
          <cell r="A28">
            <v>1992</v>
          </cell>
          <cell r="N28">
            <v>2324</v>
          </cell>
          <cell r="P28">
            <v>0.11396067277987544</v>
          </cell>
          <cell r="R28">
            <v>18069</v>
          </cell>
          <cell r="T28">
            <v>0.88603932722012457</v>
          </cell>
          <cell r="V28">
            <v>20393</v>
          </cell>
        </row>
        <row r="29">
          <cell r="A29">
            <v>1993</v>
          </cell>
          <cell r="N29">
            <v>9615</v>
          </cell>
          <cell r="P29">
            <v>0.28806399424770807</v>
          </cell>
          <cell r="R29">
            <v>23763</v>
          </cell>
          <cell r="T29">
            <v>0.71193600575229188</v>
          </cell>
          <cell r="V29">
            <v>33378</v>
          </cell>
        </row>
        <row r="30">
          <cell r="A30">
            <v>1994</v>
          </cell>
          <cell r="B30">
            <v>34608</v>
          </cell>
          <cell r="D30" t="str">
            <v>helicopter</v>
          </cell>
          <cell r="F30" t="str">
            <v>overcast</v>
          </cell>
          <cell r="G30" t="str">
            <v>normal</v>
          </cell>
          <cell r="H30" t="str">
            <v>excellent</v>
          </cell>
          <cell r="J30">
            <v>6979</v>
          </cell>
          <cell r="L30" t="str">
            <v>Edgerton Park Rd. to Nancy Lk Creek</v>
          </cell>
          <cell r="N30">
            <v>5124</v>
          </cell>
          <cell r="P30">
            <v>0.18418404025880661</v>
          </cell>
          <cell r="R30">
            <v>22696</v>
          </cell>
          <cell r="T30">
            <v>0.81581595974119336</v>
          </cell>
          <cell r="V30">
            <v>27820</v>
          </cell>
        </row>
        <row r="31">
          <cell r="A31">
            <v>1995</v>
          </cell>
          <cell r="N31">
            <v>1069</v>
          </cell>
          <cell r="P31">
            <v>9.0462892443090456E-2</v>
          </cell>
          <cell r="R31">
            <v>10748</v>
          </cell>
          <cell r="T31">
            <v>0.90953710755690953</v>
          </cell>
          <cell r="V31">
            <v>11817</v>
          </cell>
        </row>
        <row r="32">
          <cell r="A32">
            <v>1996</v>
          </cell>
          <cell r="N32">
            <v>444</v>
          </cell>
          <cell r="P32">
            <v>2.6588418468171747E-2</v>
          </cell>
          <cell r="R32">
            <v>16255</v>
          </cell>
          <cell r="T32">
            <v>0.97341158153182827</v>
          </cell>
          <cell r="V32">
            <v>16699</v>
          </cell>
        </row>
        <row r="33">
          <cell r="A33">
            <v>1997</v>
          </cell>
          <cell r="R33">
            <v>9894</v>
          </cell>
          <cell r="T33">
            <v>1</v>
          </cell>
          <cell r="V33">
            <v>9894</v>
          </cell>
        </row>
        <row r="34">
          <cell r="A34">
            <v>1998</v>
          </cell>
          <cell r="R34">
            <v>15159</v>
          </cell>
          <cell r="T34">
            <v>1</v>
          </cell>
          <cell r="V34">
            <v>15159</v>
          </cell>
        </row>
        <row r="35">
          <cell r="A35">
            <v>1999</v>
          </cell>
          <cell r="R35">
            <v>3017</v>
          </cell>
          <cell r="T35">
            <v>1</v>
          </cell>
          <cell r="V35">
            <v>3017</v>
          </cell>
        </row>
        <row r="36">
          <cell r="A36">
            <v>2000</v>
          </cell>
          <cell r="R36">
            <v>15436</v>
          </cell>
          <cell r="T36">
            <v>1</v>
          </cell>
          <cell r="V36">
            <v>15436</v>
          </cell>
        </row>
        <row r="38">
          <cell r="A38" t="str">
            <v>Mean</v>
          </cell>
          <cell r="J38">
            <v>7388.7777777777774</v>
          </cell>
          <cell r="N38">
            <v>4617.5555555555557</v>
          </cell>
          <cell r="R38">
            <v>15360.692307692309</v>
          </cell>
          <cell r="V38">
            <v>18557.461538461539</v>
          </cell>
        </row>
        <row r="39">
          <cell r="A39" t="str">
            <v>Median</v>
          </cell>
          <cell r="J39">
            <v>6750</v>
          </cell>
          <cell r="N39">
            <v>4428</v>
          </cell>
          <cell r="R39">
            <v>15436</v>
          </cell>
          <cell r="V39">
            <v>15436</v>
          </cell>
        </row>
        <row r="41">
          <cell r="A41" t="str">
            <v>a</v>
          </cell>
          <cell r="B41" t="str">
            <v>Escapement used in the development of the BEG.  Average of these counts equal</v>
          </cell>
          <cell r="L41">
            <v>6979.7777777777774</v>
          </cell>
        </row>
      </sheetData>
      <sheetData sheetId="4">
        <row r="6">
          <cell r="A6" t="str">
            <v>Table 22.</v>
          </cell>
          <cell r="D6" t="str">
            <v>Recreational harvest of hatchery and non-hatchery coho salmon and commercial harvest estimates of hatchery coho salmon, Little Susitna River coho salmon stock, 1978-1998.</v>
          </cell>
        </row>
        <row r="7">
          <cell r="C7" t="str">
            <v>Bartlett (96)</v>
          </cell>
          <cell r="Z7">
            <v>0</v>
          </cell>
          <cell r="AJ7" t="str">
            <v>Table 23</v>
          </cell>
          <cell r="AK7" t="str">
            <v>Estimated total brood year return of wild Little Su coho salmon by age</v>
          </cell>
          <cell r="AT7" t="str">
            <v>Table.24</v>
          </cell>
          <cell r="AU7" t="str">
            <v>Estimated total brood year return of wild Little Su coho salmon by age</v>
          </cell>
          <cell r="BB7" t="str">
            <v>Table 25.</v>
          </cell>
          <cell r="BC7" t="str">
            <v>Estimated total brood year return of wild Little Su coho salmon by age</v>
          </cell>
        </row>
        <row r="8">
          <cell r="C8" t="str">
            <v xml:space="preserve">Proportion </v>
          </cell>
          <cell r="D8" t="str">
            <v>Hatchery-origin coho salmon</v>
          </cell>
          <cell r="R8" t="str">
            <v>Wild-origin coho salmon</v>
          </cell>
          <cell r="AK8" t="str">
            <v>class, 1981-1993.  Return data are based on an assumed age class return</v>
          </cell>
          <cell r="AU8" t="str">
            <v>class, 1981-1993.  Return data are based on an assumed age class return</v>
          </cell>
          <cell r="BC8" t="str">
            <v>class, 1981-1993.  Return data are based on an assumed age class return</v>
          </cell>
        </row>
        <row r="9">
          <cell r="B9" t="str">
            <v>Total SWHS</v>
          </cell>
          <cell r="C9" t="str">
            <v xml:space="preserve">of hatchery </v>
          </cell>
          <cell r="D9" t="str">
            <v>Recreational harvest</v>
          </cell>
          <cell r="H9" t="str">
            <v>Commercial harvest</v>
          </cell>
          <cell r="K9" t="str">
            <v/>
          </cell>
          <cell r="P9" t="str">
            <v>Total</v>
          </cell>
          <cell r="R9" t="str">
            <v>Recreational harvest</v>
          </cell>
          <cell r="W9" t="str">
            <v>Commercial harvest</v>
          </cell>
          <cell r="AA9" t="str">
            <v/>
          </cell>
          <cell r="AB9" t="str">
            <v>Escapement Counts</v>
          </cell>
          <cell r="AG9" t="str">
            <v>Total</v>
          </cell>
          <cell r="AK9" t="str">
            <v>of 0.33:0.67 for age 3 and 4 salmon, respectively.  Commercial E = 0.54</v>
          </cell>
          <cell r="AU9" t="str">
            <v>of 0.00:1.00 for age 3 and 4 salmon, respectively.</v>
          </cell>
          <cell r="BC9" t="str">
            <v>of 0.50:0.50 for age 3 and 4 salmon, respectively</v>
          </cell>
        </row>
        <row r="10">
          <cell r="B10" t="str">
            <v xml:space="preserve">estimated </v>
          </cell>
          <cell r="C10" t="str">
            <v>salmon in</v>
          </cell>
          <cell r="F10" t="str">
            <v xml:space="preserve">Exploitation </v>
          </cell>
          <cell r="J10" t="str">
            <v xml:space="preserve">Exploitation </v>
          </cell>
          <cell r="L10" t="str">
            <v>Escapement</v>
          </cell>
          <cell r="N10" t="str">
            <v>Total Run</v>
          </cell>
          <cell r="P10" t="str">
            <v>Exploitation</v>
          </cell>
          <cell r="U10" t="str">
            <v xml:space="preserve">Exploitation </v>
          </cell>
          <cell r="Z10" t="str">
            <v xml:space="preserve">Exploitation </v>
          </cell>
          <cell r="AB10" t="str">
            <v>aerial /foot</v>
          </cell>
          <cell r="AC10" t="str">
            <v xml:space="preserve">weir </v>
          </cell>
          <cell r="AE10" t="str">
            <v>Total Run</v>
          </cell>
          <cell r="AG10" t="str">
            <v>Exploitation</v>
          </cell>
          <cell r="AJ10" t="str">
            <v>Brood</v>
          </cell>
          <cell r="AQ10" t="str">
            <v>Total</v>
          </cell>
          <cell r="AR10" t="str">
            <v>Return per</v>
          </cell>
          <cell r="AT10" t="str">
            <v>Brood</v>
          </cell>
          <cell r="AY10" t="str">
            <v>Total</v>
          </cell>
          <cell r="AZ10" t="str">
            <v>Return per</v>
          </cell>
          <cell r="BB10" t="str">
            <v>Brood</v>
          </cell>
          <cell r="BG10" t="str">
            <v>Total</v>
          </cell>
          <cell r="BH10" t="str">
            <v>Return per</v>
          </cell>
        </row>
        <row r="11">
          <cell r="B11" t="str">
            <v>sport harvest</v>
          </cell>
          <cell r="C11" t="str">
            <v>the harvest</v>
          </cell>
          <cell r="D11" t="str">
            <v>number</v>
          </cell>
          <cell r="E11" t="str">
            <v>proportion</v>
          </cell>
          <cell r="F11" t="str">
            <v>Rate</v>
          </cell>
          <cell r="H11" t="str">
            <v>number</v>
          </cell>
          <cell r="I11" t="str">
            <v>proportion</v>
          </cell>
          <cell r="J11" t="str">
            <v>Rate</v>
          </cell>
          <cell r="L11" t="str">
            <v>number</v>
          </cell>
          <cell r="N11" t="str">
            <v>number</v>
          </cell>
          <cell r="P11" t="str">
            <v>Rate</v>
          </cell>
          <cell r="R11" t="str">
            <v>number</v>
          </cell>
          <cell r="S11" t="str">
            <v>proportion</v>
          </cell>
          <cell r="U11" t="str">
            <v>Rate</v>
          </cell>
          <cell r="W11" t="str">
            <v>number</v>
          </cell>
          <cell r="Y11" t="str">
            <v>proportion</v>
          </cell>
          <cell r="Z11" t="str">
            <v>Rate</v>
          </cell>
          <cell r="AB11" t="str">
            <v>survey cnts</v>
          </cell>
          <cell r="AC11" t="str">
            <v>counts</v>
          </cell>
          <cell r="AE11" t="str">
            <v>number</v>
          </cell>
          <cell r="AG11" t="str">
            <v>Rate</v>
          </cell>
          <cell r="AJ11" t="str">
            <v>Year</v>
          </cell>
          <cell r="AK11" t="str">
            <v>Escapement</v>
          </cell>
          <cell r="AM11" t="str">
            <v>Brood year return by age class</v>
          </cell>
          <cell r="AQ11" t="str">
            <v>Return</v>
          </cell>
          <cell r="AR11" t="str">
            <v>Spawner</v>
          </cell>
          <cell r="AT11" t="str">
            <v>Year</v>
          </cell>
          <cell r="AU11" t="str">
            <v>Escapement</v>
          </cell>
          <cell r="AW11" t="str">
            <v>Brood year return by age class</v>
          </cell>
          <cell r="AY11" t="str">
            <v>Return</v>
          </cell>
          <cell r="AZ11" t="str">
            <v>Spawner</v>
          </cell>
          <cell r="BB11" t="str">
            <v>Year</v>
          </cell>
          <cell r="BC11" t="str">
            <v>Escapement</v>
          </cell>
          <cell r="BE11" t="str">
            <v>Brood year return by age class</v>
          </cell>
          <cell r="BG11" t="str">
            <v>Return</v>
          </cell>
          <cell r="BH11" t="str">
            <v>Spawner</v>
          </cell>
        </row>
        <row r="12">
          <cell r="A12">
            <v>1977</v>
          </cell>
          <cell r="B12">
            <v>3415</v>
          </cell>
          <cell r="R12">
            <v>3415</v>
          </cell>
        </row>
        <row r="13">
          <cell r="A13">
            <v>1978</v>
          </cell>
          <cell r="B13">
            <v>4865</v>
          </cell>
          <cell r="R13">
            <v>4865</v>
          </cell>
          <cell r="AK13" t="str">
            <v>Counts</v>
          </cell>
          <cell r="AM13">
            <v>3</v>
          </cell>
          <cell r="AO13">
            <v>4</v>
          </cell>
          <cell r="AU13" t="str">
            <v>Counts</v>
          </cell>
          <cell r="AW13">
            <v>3</v>
          </cell>
          <cell r="AX13">
            <v>4</v>
          </cell>
          <cell r="BC13" t="str">
            <v>Counts</v>
          </cell>
          <cell r="BE13">
            <v>3</v>
          </cell>
          <cell r="BF13">
            <v>4</v>
          </cell>
        </row>
        <row r="14">
          <cell r="A14">
            <v>1979</v>
          </cell>
          <cell r="B14">
            <v>3382</v>
          </cell>
          <cell r="R14">
            <v>3382</v>
          </cell>
          <cell r="AM14">
            <v>0.33</v>
          </cell>
          <cell r="AO14">
            <v>0.67</v>
          </cell>
          <cell r="AW14">
            <v>0</v>
          </cell>
          <cell r="AX14">
            <v>1</v>
          </cell>
          <cell r="BE14">
            <v>0.5</v>
          </cell>
          <cell r="BF14">
            <v>0.5</v>
          </cell>
        </row>
        <row r="15">
          <cell r="A15">
            <v>1980</v>
          </cell>
          <cell r="B15">
            <v>6302</v>
          </cell>
          <cell r="R15">
            <v>6302</v>
          </cell>
        </row>
        <row r="16">
          <cell r="A16">
            <v>1981</v>
          </cell>
          <cell r="B16">
            <v>5940</v>
          </cell>
          <cell r="R16">
            <v>5940</v>
          </cell>
          <cell r="S16">
            <v>0.28551804424011812</v>
          </cell>
          <cell r="U16">
            <v>0.21557442218332626</v>
          </cell>
          <cell r="V16" t="str">
            <v>d</v>
          </cell>
          <cell r="W16">
            <v>14864.289325421803</v>
          </cell>
          <cell r="X16" t="str">
            <v>b</v>
          </cell>
          <cell r="Y16">
            <v>0.71448195575988183</v>
          </cell>
          <cell r="Z16">
            <v>0.53945464351743933</v>
          </cell>
          <cell r="AA16" t="str">
            <v>a</v>
          </cell>
          <cell r="AB16">
            <v>6750</v>
          </cell>
          <cell r="AE16">
            <v>27554.289325421803</v>
          </cell>
          <cell r="AF16" t="str">
            <v>e</v>
          </cell>
          <cell r="AG16">
            <v>0.75502906570076567</v>
          </cell>
          <cell r="AJ16">
            <v>1981</v>
          </cell>
          <cell r="AK16">
            <v>6750</v>
          </cell>
          <cell r="AL16" t="str">
            <v>aerial</v>
          </cell>
          <cell r="AM16">
            <v>26125.830671480493</v>
          </cell>
          <cell r="AN16">
            <v>0.60646916980348442</v>
          </cell>
          <cell r="AO16">
            <v>16952.749365730811</v>
          </cell>
          <cell r="AP16">
            <v>0.39353083019651569</v>
          </cell>
          <cell r="AQ16">
            <v>43078.580037211301</v>
          </cell>
          <cell r="AR16">
            <v>6.3820118573646374</v>
          </cell>
          <cell r="AT16">
            <v>1981</v>
          </cell>
          <cell r="AU16">
            <v>6750</v>
          </cell>
          <cell r="AV16" t="str">
            <v>aerial</v>
          </cell>
          <cell r="AW16">
            <v>0</v>
          </cell>
          <cell r="AX16">
            <v>25302.610993628074</v>
          </cell>
          <cell r="AY16">
            <v>25302.610993628074</v>
          </cell>
          <cell r="AZ16">
            <v>3.7485349620189741</v>
          </cell>
          <cell r="BB16">
            <v>1981</v>
          </cell>
          <cell r="BC16">
            <v>6750</v>
          </cell>
          <cell r="BD16" t="str">
            <v>aerial</v>
          </cell>
          <cell r="BE16">
            <v>39584.591926485591</v>
          </cell>
          <cell r="BF16">
            <v>12651.305496814037</v>
          </cell>
          <cell r="BG16">
            <v>52235.897423299626</v>
          </cell>
          <cell r="BH16">
            <v>7.7386514701184632</v>
          </cell>
        </row>
        <row r="17">
          <cell r="A17">
            <v>1982</v>
          </cell>
          <cell r="B17">
            <v>7116</v>
          </cell>
          <cell r="R17">
            <v>7116</v>
          </cell>
          <cell r="S17">
            <v>0.30389022159304446</v>
          </cell>
          <cell r="U17">
            <v>0.23550163529246204</v>
          </cell>
          <cell r="V17" t="str">
            <v>d</v>
          </cell>
          <cell r="W17">
            <v>16300.35068972181</v>
          </cell>
          <cell r="X17" t="str">
            <v>b</v>
          </cell>
          <cell r="Y17">
            <v>0.69610977840695554</v>
          </cell>
          <cell r="Z17">
            <v>0.53945464351743933</v>
          </cell>
          <cell r="AA17" t="str">
            <v>a</v>
          </cell>
          <cell r="AB17">
            <v>6800</v>
          </cell>
          <cell r="AE17">
            <v>30216.35068972181</v>
          </cell>
          <cell r="AF17" t="str">
            <v>e</v>
          </cell>
          <cell r="AG17">
            <v>0.77495627880990137</v>
          </cell>
          <cell r="AJ17">
            <v>1982</v>
          </cell>
          <cell r="AK17">
            <v>6800</v>
          </cell>
          <cell r="AL17" t="str">
            <v>aerial</v>
          </cell>
          <cell r="AM17">
            <v>8349.861627897264</v>
          </cell>
          <cell r="AN17">
            <v>0.30744440322611588</v>
          </cell>
          <cell r="AO17">
            <v>18809.070329488855</v>
          </cell>
          <cell r="AP17">
            <v>0.69255559677388401</v>
          </cell>
          <cell r="AQ17">
            <v>27158.931957386121</v>
          </cell>
          <cell r="AR17">
            <v>3.9939605819685471</v>
          </cell>
          <cell r="AT17">
            <v>1982</v>
          </cell>
          <cell r="AU17">
            <v>6800</v>
          </cell>
          <cell r="AV17" t="str">
            <v>aerial</v>
          </cell>
          <cell r="AW17">
            <v>0</v>
          </cell>
          <cell r="AX17">
            <v>28073.23929774456</v>
          </cell>
          <cell r="AY17">
            <v>28073.23929774456</v>
          </cell>
          <cell r="AZ17">
            <v>4.1284175437859645</v>
          </cell>
          <cell r="BB17">
            <v>1982</v>
          </cell>
          <cell r="BC17">
            <v>6800</v>
          </cell>
          <cell r="BD17" t="str">
            <v>aerial</v>
          </cell>
          <cell r="BE17">
            <v>12651.305496814037</v>
          </cell>
          <cell r="BF17">
            <v>14036.61964887228</v>
          </cell>
          <cell r="BG17">
            <v>26687.925145686317</v>
          </cell>
          <cell r="BH17">
            <v>3.9246948743656347</v>
          </cell>
        </row>
        <row r="18">
          <cell r="A18">
            <v>1983</v>
          </cell>
          <cell r="B18">
            <v>2835</v>
          </cell>
          <cell r="R18">
            <v>2835</v>
          </cell>
          <cell r="S18">
            <v>0.30554393403456281</v>
          </cell>
          <cell r="U18">
            <v>0.23734704337903281</v>
          </cell>
          <cell r="V18" t="str">
            <v>d</v>
          </cell>
          <cell r="W18">
            <v>6443.5347186087729</v>
          </cell>
          <cell r="X18" t="str">
            <v>b</v>
          </cell>
          <cell r="Y18">
            <v>0.69445606596543719</v>
          </cell>
          <cell r="Z18">
            <v>0.53945464351743933</v>
          </cell>
          <cell r="AA18" t="str">
            <v>a</v>
          </cell>
          <cell r="AB18">
            <v>2666</v>
          </cell>
          <cell r="AE18">
            <v>11944.534718608773</v>
          </cell>
          <cell r="AF18" t="str">
            <v>e</v>
          </cell>
          <cell r="AG18">
            <v>0.77680168689647211</v>
          </cell>
          <cell r="AJ18">
            <v>1983</v>
          </cell>
          <cell r="AK18">
            <v>2666</v>
          </cell>
          <cell r="AL18" t="str">
            <v>aerial</v>
          </cell>
          <cell r="AM18">
            <v>9264.1689682557044</v>
          </cell>
          <cell r="AN18">
            <v>0.14905873390718752</v>
          </cell>
          <cell r="AO18">
            <v>52886.962504685056</v>
          </cell>
          <cell r="AP18">
            <v>0.85094126609281251</v>
          </cell>
          <cell r="AQ18">
            <v>62151.13147294076</v>
          </cell>
          <cell r="AR18">
            <v>23.312502427959775</v>
          </cell>
          <cell r="AT18">
            <v>1983</v>
          </cell>
          <cell r="AU18">
            <v>2666</v>
          </cell>
          <cell r="AV18" t="str">
            <v>aerial</v>
          </cell>
          <cell r="AW18">
            <v>0</v>
          </cell>
          <cell r="AX18">
            <v>78935.764932365753</v>
          </cell>
          <cell r="AY18">
            <v>78935.764932365753</v>
          </cell>
          <cell r="AZ18">
            <v>29.608313928119188</v>
          </cell>
          <cell r="BB18">
            <v>1983</v>
          </cell>
          <cell r="BC18">
            <v>2666</v>
          </cell>
          <cell r="BD18" t="str">
            <v>aerial</v>
          </cell>
          <cell r="BE18">
            <v>14036.61964887228</v>
          </cell>
          <cell r="BF18">
            <v>39467.882466182877</v>
          </cell>
          <cell r="BG18">
            <v>53504.502115055155</v>
          </cell>
          <cell r="BH18">
            <v>20.069205594544318</v>
          </cell>
        </row>
        <row r="19">
          <cell r="A19">
            <v>1984</v>
          </cell>
          <cell r="B19">
            <v>14253</v>
          </cell>
          <cell r="R19">
            <v>14253</v>
          </cell>
          <cell r="S19">
            <v>0.25022302971774596</v>
          </cell>
          <cell r="U19">
            <v>0.18003217042719447</v>
          </cell>
          <cell r="V19" t="str">
            <v>d</v>
          </cell>
          <cell r="W19">
            <v>42708.183852971182</v>
          </cell>
          <cell r="X19" t="str">
            <v>b</v>
          </cell>
          <cell r="Y19">
            <v>0.74977697028225399</v>
          </cell>
          <cell r="Z19">
            <v>0.53945464351743933</v>
          </cell>
          <cell r="AA19" t="str">
            <v>a</v>
          </cell>
          <cell r="AB19">
            <v>22208</v>
          </cell>
          <cell r="AE19">
            <v>79169.183852971182</v>
          </cell>
          <cell r="AF19" t="str">
            <v>e</v>
          </cell>
          <cell r="AG19">
            <v>0.71948681394463376</v>
          </cell>
          <cell r="AJ19">
            <v>1984</v>
          </cell>
          <cell r="AK19">
            <v>22208</v>
          </cell>
          <cell r="AL19" t="str">
            <v>aerial</v>
          </cell>
          <cell r="AM19">
            <v>26048.802427680701</v>
          </cell>
          <cell r="AN19">
            <v>0.41314444612618156</v>
          </cell>
          <cell r="AO19">
            <v>37001.306733716418</v>
          </cell>
          <cell r="AP19">
            <v>0.58685555387381838</v>
          </cell>
          <cell r="AQ19">
            <v>63050.109161397122</v>
          </cell>
          <cell r="AR19">
            <v>2.8390719182905766</v>
          </cell>
          <cell r="AT19">
            <v>1984</v>
          </cell>
          <cell r="AU19">
            <v>22208</v>
          </cell>
          <cell r="AV19" t="str">
            <v>aerial</v>
          </cell>
          <cell r="AW19">
            <v>0</v>
          </cell>
          <cell r="AX19">
            <v>55225.830945845395</v>
          </cell>
          <cell r="AY19">
            <v>55225.830945845395</v>
          </cell>
          <cell r="AZ19">
            <v>2.4867539150686868</v>
          </cell>
          <cell r="BB19">
            <v>1984</v>
          </cell>
          <cell r="BC19">
            <v>22208</v>
          </cell>
          <cell r="BD19" t="str">
            <v>aerial</v>
          </cell>
          <cell r="BE19">
            <v>39467.882466182877</v>
          </cell>
          <cell r="BF19">
            <v>27612.915472922698</v>
          </cell>
          <cell r="BG19">
            <v>67080.797939105571</v>
          </cell>
          <cell r="BH19">
            <v>3.0205690714654887</v>
          </cell>
        </row>
        <row r="20">
          <cell r="A20">
            <v>1985</v>
          </cell>
          <cell r="B20">
            <v>7764</v>
          </cell>
          <cell r="R20">
            <v>7764</v>
          </cell>
          <cell r="S20">
            <v>0.36257313174832068</v>
          </cell>
          <cell r="U20">
            <v>0.30684580346096296</v>
          </cell>
          <cell r="V20" t="str">
            <v>d</v>
          </cell>
          <cell r="W20">
            <v>13649.610993628074</v>
          </cell>
          <cell r="X20" t="str">
            <v>b</v>
          </cell>
          <cell r="Y20">
            <v>0.63742686825167927</v>
          </cell>
          <cell r="Z20">
            <v>0.53945464351743933</v>
          </cell>
          <cell r="AA20" t="str">
            <v>a</v>
          </cell>
          <cell r="AB20">
            <v>3889</v>
          </cell>
          <cell r="AE20">
            <v>25302.610993628074</v>
          </cell>
          <cell r="AF20" t="str">
            <v>e</v>
          </cell>
          <cell r="AG20">
            <v>0.84630044697840223</v>
          </cell>
          <cell r="AJ20">
            <v>1985</v>
          </cell>
          <cell r="AK20">
            <v>3889</v>
          </cell>
          <cell r="AL20" t="str">
            <v>aerial</v>
          </cell>
          <cell r="AM20">
            <v>18224.524212128981</v>
          </cell>
          <cell r="AN20">
            <v>0.51279604290437908</v>
          </cell>
          <cell r="AO20">
            <v>17314.993817122468</v>
          </cell>
          <cell r="AP20">
            <v>0.48720395709562087</v>
          </cell>
          <cell r="AQ20">
            <v>35539.518029251449</v>
          </cell>
          <cell r="AR20">
            <v>9.138472108318707</v>
          </cell>
          <cell r="AT20">
            <v>1985</v>
          </cell>
          <cell r="AU20">
            <v>3889</v>
          </cell>
          <cell r="AV20" t="str">
            <v>aerial</v>
          </cell>
          <cell r="AW20">
            <v>0</v>
          </cell>
          <cell r="AX20">
            <v>25843.274353914127</v>
          </cell>
          <cell r="AY20">
            <v>25843.274353914127</v>
          </cell>
          <cell r="AZ20">
            <v>6.645223541762439</v>
          </cell>
          <cell r="BB20">
            <v>1985</v>
          </cell>
          <cell r="BC20">
            <v>3889</v>
          </cell>
          <cell r="BD20" t="str">
            <v>aerial</v>
          </cell>
          <cell r="BE20">
            <v>27612.915472922698</v>
          </cell>
          <cell r="BF20">
            <v>12921.637176957063</v>
          </cell>
          <cell r="BG20">
            <v>40534.552649879763</v>
          </cell>
          <cell r="BH20">
            <v>10.422872885029509</v>
          </cell>
        </row>
        <row r="21">
          <cell r="A21">
            <v>1986</v>
          </cell>
          <cell r="B21">
            <v>6039</v>
          </cell>
          <cell r="C21">
            <v>1.7999999999999999E-2</v>
          </cell>
          <cell r="D21">
            <v>109</v>
          </cell>
          <cell r="R21">
            <v>5930</v>
          </cell>
          <cell r="S21">
            <v>0.28138619459610337</v>
          </cell>
          <cell r="U21">
            <v>0.21123319390065626</v>
          </cell>
          <cell r="V21" t="str">
            <v>d</v>
          </cell>
          <cell r="W21">
            <v>15144.23929774456</v>
          </cell>
          <cell r="X21" t="str">
            <v>b</v>
          </cell>
          <cell r="Y21">
            <v>0.71861380540389663</v>
          </cell>
          <cell r="Z21">
            <v>0.53945464351743933</v>
          </cell>
          <cell r="AA21" t="str">
            <v>a</v>
          </cell>
          <cell r="AB21">
            <v>1308</v>
          </cell>
          <cell r="AC21">
            <v>6999</v>
          </cell>
          <cell r="AE21">
            <v>28073.23929774456</v>
          </cell>
          <cell r="AF21" t="str">
            <v>e</v>
          </cell>
          <cell r="AG21">
            <v>0.75068783741809553</v>
          </cell>
          <cell r="AJ21">
            <v>1986</v>
          </cell>
          <cell r="AK21">
            <v>6999</v>
          </cell>
          <cell r="AL21" t="str">
            <v>weir</v>
          </cell>
          <cell r="AM21">
            <v>8528.2805367916626</v>
          </cell>
          <cell r="AN21">
            <v>0.26577193197327703</v>
          </cell>
          <cell r="AO21">
            <v>23560.437310393074</v>
          </cell>
          <cell r="AP21">
            <v>0.73422806802672291</v>
          </cell>
          <cell r="AQ21">
            <v>32088.717847184736</v>
          </cell>
          <cell r="AR21">
            <v>4.5847575149570989</v>
          </cell>
          <cell r="AT21">
            <v>1986</v>
          </cell>
          <cell r="AU21">
            <v>6999</v>
          </cell>
          <cell r="AV21" t="str">
            <v>weir</v>
          </cell>
          <cell r="AW21">
            <v>0</v>
          </cell>
          <cell r="AX21">
            <v>35164.831806556824</v>
          </cell>
          <cell r="AY21">
            <v>35164.831806556824</v>
          </cell>
          <cell r="AZ21">
            <v>5.0242651531014175</v>
          </cell>
          <cell r="BB21">
            <v>1986</v>
          </cell>
          <cell r="BC21">
            <v>6999</v>
          </cell>
          <cell r="BD21" t="str">
            <v>weir</v>
          </cell>
          <cell r="BE21">
            <v>12921.637176957063</v>
          </cell>
          <cell r="BF21">
            <v>17582.415903278412</v>
          </cell>
          <cell r="BG21">
            <v>30504.053080235477</v>
          </cell>
          <cell r="BH21">
            <v>4.358344489246389</v>
          </cell>
        </row>
        <row r="22">
          <cell r="A22">
            <v>1987</v>
          </cell>
          <cell r="B22">
            <v>13003</v>
          </cell>
          <cell r="C22">
            <v>0.26200000000000001</v>
          </cell>
          <cell r="D22">
            <v>3407</v>
          </cell>
          <cell r="R22">
            <v>9596</v>
          </cell>
          <cell r="S22">
            <v>0.18390799334624253</v>
          </cell>
          <cell r="U22">
            <v>0.12156720097945596</v>
          </cell>
          <cell r="V22" t="str">
            <v>d</v>
          </cell>
          <cell r="W22">
            <v>42582.264932365753</v>
          </cell>
          <cell r="X22" t="str">
            <v>b</v>
          </cell>
          <cell r="Y22">
            <v>0.81609200665375747</v>
          </cell>
          <cell r="Z22">
            <v>0.53945464351743933</v>
          </cell>
          <cell r="AA22" t="str">
            <v>a</v>
          </cell>
          <cell r="AB22">
            <v>4865</v>
          </cell>
          <cell r="AC22">
            <v>26757.5</v>
          </cell>
          <cell r="AE22">
            <v>78935.764932365753</v>
          </cell>
          <cell r="AF22" t="str">
            <v>e</v>
          </cell>
          <cell r="AG22">
            <v>0.66102184449689527</v>
          </cell>
          <cell r="AJ22">
            <v>1987</v>
          </cell>
          <cell r="AK22">
            <v>26757.5</v>
          </cell>
          <cell r="AL22" t="str">
            <v>aerial * 5.5</v>
          </cell>
          <cell r="AM22">
            <v>11604.394496163752</v>
          </cell>
          <cell r="AN22">
            <v>0.17338022251816335</v>
          </cell>
          <cell r="AO22">
            <v>55325.92966435619</v>
          </cell>
          <cell r="AP22">
            <v>0.82661977748183668</v>
          </cell>
          <cell r="AQ22">
            <v>66930.324160519944</v>
          </cell>
          <cell r="AR22">
            <v>2.5013668751011844</v>
          </cell>
          <cell r="AT22">
            <v>1987</v>
          </cell>
          <cell r="AU22">
            <v>26757.5</v>
          </cell>
          <cell r="AV22" t="str">
            <v>aerial * 5.5</v>
          </cell>
          <cell r="AW22">
            <v>0</v>
          </cell>
          <cell r="AX22">
            <v>82576.01442441222</v>
          </cell>
          <cell r="AY22">
            <v>82576.01442441222</v>
          </cell>
          <cell r="AZ22">
            <v>3.0860885517859376</v>
          </cell>
          <cell r="BB22">
            <v>1987</v>
          </cell>
          <cell r="BC22">
            <v>26757.5</v>
          </cell>
          <cell r="BD22" t="str">
            <v>aerial * 5.5</v>
          </cell>
          <cell r="BE22">
            <v>17582.415903278412</v>
          </cell>
          <cell r="BF22">
            <v>41288.00721220611</v>
          </cell>
          <cell r="BG22">
            <v>58870.423115484518</v>
          </cell>
          <cell r="BH22">
            <v>2.2001466174150992</v>
          </cell>
        </row>
        <row r="23">
          <cell r="A23">
            <v>1988</v>
          </cell>
          <cell r="B23">
            <v>19009</v>
          </cell>
          <cell r="C23">
            <v>0.50700000000000001</v>
          </cell>
          <cell r="D23">
            <v>9638</v>
          </cell>
          <cell r="L23">
            <v>4428</v>
          </cell>
          <cell r="N23">
            <v>14066</v>
          </cell>
          <cell r="P23">
            <v>0.68519835063273138</v>
          </cell>
          <cell r="R23">
            <v>9371</v>
          </cell>
          <cell r="S23">
            <v>0.23928300824213339</v>
          </cell>
          <cell r="U23">
            <v>0.16968508829118803</v>
          </cell>
          <cell r="V23" t="str">
            <v>d</v>
          </cell>
          <cell r="W23">
            <v>29791.830945845395</v>
          </cell>
          <cell r="X23" t="str">
            <v>b</v>
          </cell>
          <cell r="Y23">
            <v>0.76071699175786667</v>
          </cell>
          <cell r="Z23">
            <v>0.53945464351743933</v>
          </cell>
          <cell r="AA23" t="str">
            <v>a</v>
          </cell>
          <cell r="AC23">
            <v>16063</v>
          </cell>
          <cell r="AE23">
            <v>55225.830945845395</v>
          </cell>
          <cell r="AF23" t="str">
            <v>e</v>
          </cell>
          <cell r="AG23">
            <v>0.70913973180862733</v>
          </cell>
          <cell r="AJ23">
            <v>1988</v>
          </cell>
          <cell r="AK23">
            <v>16063</v>
          </cell>
          <cell r="AL23" t="str">
            <v>weir</v>
          </cell>
          <cell r="AM23">
            <v>27250.084760056034</v>
          </cell>
          <cell r="AN23">
            <v>0.35059288382963338</v>
          </cell>
          <cell r="AO23">
            <v>50475.636487891206</v>
          </cell>
          <cell r="AP23">
            <v>0.64940711617036662</v>
          </cell>
          <cell r="AQ23">
            <v>77725.721247947236</v>
          </cell>
          <cell r="AR23">
            <v>4.838804784159076</v>
          </cell>
          <cell r="AT23">
            <v>1988</v>
          </cell>
          <cell r="AU23">
            <v>16063</v>
          </cell>
          <cell r="AV23" t="str">
            <v>weir</v>
          </cell>
          <cell r="AW23">
            <v>0</v>
          </cell>
          <cell r="AX23">
            <v>75336.770877449555</v>
          </cell>
          <cell r="AY23">
            <v>75336.770877449555</v>
          </cell>
          <cell r="AZ23">
            <v>4.6900809859583861</v>
          </cell>
          <cell r="BB23">
            <v>1988</v>
          </cell>
          <cell r="BC23">
            <v>16063</v>
          </cell>
          <cell r="BD23" t="str">
            <v>weir</v>
          </cell>
          <cell r="BE23">
            <v>41288.00721220611</v>
          </cell>
          <cell r="BF23">
            <v>37668.385438724777</v>
          </cell>
          <cell r="BG23">
            <v>78956.39265093088</v>
          </cell>
          <cell r="BH23">
            <v>4.9154200741412488</v>
          </cell>
        </row>
        <row r="24">
          <cell r="A24">
            <v>1989</v>
          </cell>
          <cell r="B24">
            <v>14129</v>
          </cell>
          <cell r="C24">
            <v>0.75</v>
          </cell>
          <cell r="D24">
            <v>10597</v>
          </cell>
          <cell r="L24">
            <v>6862</v>
          </cell>
          <cell r="N24">
            <v>17459</v>
          </cell>
          <cell r="P24">
            <v>0.60696488916891</v>
          </cell>
          <cell r="R24">
            <v>3532</v>
          </cell>
          <cell r="S24">
            <v>0.20213727138146886</v>
          </cell>
          <cell r="U24">
            <v>0.1366699881613514</v>
          </cell>
          <cell r="V24" t="str">
            <v>d</v>
          </cell>
          <cell r="W24">
            <v>13941.274353914127</v>
          </cell>
          <cell r="X24" t="str">
            <v>b</v>
          </cell>
          <cell r="Y24">
            <v>0.79786272861853114</v>
          </cell>
          <cell r="Z24">
            <v>0.53945464351743933</v>
          </cell>
          <cell r="AA24" t="str">
            <v>a</v>
          </cell>
          <cell r="AB24">
            <v>814</v>
          </cell>
          <cell r="AC24">
            <v>8370</v>
          </cell>
          <cell r="AE24">
            <v>25843.274353914127</v>
          </cell>
          <cell r="AF24" t="str">
            <v>e</v>
          </cell>
          <cell r="AG24">
            <v>0.67612463167879067</v>
          </cell>
          <cell r="AJ24">
            <v>1989</v>
          </cell>
          <cell r="AK24">
            <v>8370</v>
          </cell>
          <cell r="AL24" t="str">
            <v>weir</v>
          </cell>
          <cell r="AM24">
            <v>24861.134389558356</v>
          </cell>
          <cell r="AN24">
            <v>0.3431271830795945</v>
          </cell>
          <cell r="AO24">
            <v>47593.441101743854</v>
          </cell>
          <cell r="AP24">
            <v>0.65687281692040544</v>
          </cell>
          <cell r="AQ24">
            <v>72454.57549130221</v>
          </cell>
          <cell r="AR24">
            <v>8.6564606321746957</v>
          </cell>
          <cell r="AT24">
            <v>1989</v>
          </cell>
          <cell r="AU24">
            <v>8370</v>
          </cell>
          <cell r="AV24" t="str">
            <v>weir</v>
          </cell>
          <cell r="AW24">
            <v>0</v>
          </cell>
          <cell r="AX24">
            <v>71034.986719020671</v>
          </cell>
          <cell r="AY24">
            <v>71034.986719020671</v>
          </cell>
          <cell r="AZ24">
            <v>8.4868562388316207</v>
          </cell>
          <cell r="BB24">
            <v>1989</v>
          </cell>
          <cell r="BC24">
            <v>8370</v>
          </cell>
          <cell r="BD24" t="str">
            <v>weir</v>
          </cell>
          <cell r="BE24">
            <v>37668.385438724777</v>
          </cell>
          <cell r="BF24">
            <v>35517.493359510336</v>
          </cell>
          <cell r="BG24">
            <v>73185.87879823512</v>
          </cell>
          <cell r="BH24">
            <v>8.7438325923817342</v>
          </cell>
        </row>
        <row r="25">
          <cell r="A25">
            <v>1990</v>
          </cell>
          <cell r="B25">
            <v>7497</v>
          </cell>
          <cell r="C25">
            <v>0.29899999999999999</v>
          </cell>
          <cell r="D25">
            <v>2242</v>
          </cell>
          <cell r="L25">
            <v>3370</v>
          </cell>
          <cell r="N25">
            <v>5612</v>
          </cell>
          <cell r="P25">
            <v>0.39950106913756239</v>
          </cell>
          <cell r="R25">
            <v>5255</v>
          </cell>
          <cell r="S25">
            <v>0.21692617071453324</v>
          </cell>
          <cell r="U25">
            <v>0.1494390767715873</v>
          </cell>
          <cell r="V25" t="str">
            <v>d</v>
          </cell>
          <cell r="W25">
            <v>18969.831806556824</v>
          </cell>
          <cell r="X25" t="str">
            <v>b</v>
          </cell>
          <cell r="Y25">
            <v>0.78307382928546676</v>
          </cell>
          <cell r="Z25">
            <v>0.53945464351743933</v>
          </cell>
          <cell r="AA25" t="str">
            <v>a</v>
          </cell>
          <cell r="AC25">
            <v>10940</v>
          </cell>
          <cell r="AE25">
            <v>35164.831806556824</v>
          </cell>
          <cell r="AF25" t="str">
            <v>e</v>
          </cell>
          <cell r="AG25">
            <v>0.68889372028902662</v>
          </cell>
          <cell r="AJ25">
            <v>1990</v>
          </cell>
          <cell r="AK25">
            <v>10940</v>
          </cell>
          <cell r="AL25" t="str">
            <v>weir</v>
          </cell>
          <cell r="AM25">
            <v>23441.545617276824</v>
          </cell>
          <cell r="AN25">
            <v>0.26987048349603199</v>
          </cell>
          <cell r="AO25">
            <v>63420.660703339541</v>
          </cell>
          <cell r="AP25">
            <v>0.73012951650396807</v>
          </cell>
          <cell r="AQ25">
            <v>86862.206320616358</v>
          </cell>
          <cell r="AR25">
            <v>7.9398726070033234</v>
          </cell>
          <cell r="AT25">
            <v>1990</v>
          </cell>
          <cell r="AU25">
            <v>10940</v>
          </cell>
          <cell r="AV25" t="str">
            <v>weir</v>
          </cell>
          <cell r="AW25">
            <v>0</v>
          </cell>
          <cell r="AX25">
            <v>94657.702542297819</v>
          </cell>
          <cell r="AY25">
            <v>94657.702542297819</v>
          </cell>
          <cell r="AZ25">
            <v>8.6524408173946821</v>
          </cell>
          <cell r="BB25">
            <v>1990</v>
          </cell>
          <cell r="BC25">
            <v>10940</v>
          </cell>
          <cell r="BD25" t="str">
            <v>weir</v>
          </cell>
          <cell r="BE25">
            <v>35517.493359510336</v>
          </cell>
          <cell r="BF25">
            <v>47328.851271148909</v>
          </cell>
          <cell r="BG25">
            <v>82846.344630659238</v>
          </cell>
          <cell r="BH25">
            <v>7.5727920137714113</v>
          </cell>
        </row>
        <row r="26">
          <cell r="A26">
            <v>1991</v>
          </cell>
          <cell r="B26">
            <v>16450</v>
          </cell>
          <cell r="C26">
            <v>0.46800000000000003</v>
          </cell>
          <cell r="D26">
            <v>7699</v>
          </cell>
          <cell r="L26">
            <v>8322</v>
          </cell>
          <cell r="N26">
            <v>16021</v>
          </cell>
          <cell r="P26">
            <v>0.48055676924037199</v>
          </cell>
          <cell r="R26">
            <v>8751</v>
          </cell>
          <cell r="S26">
            <v>0.16419306211628401</v>
          </cell>
          <cell r="U26">
            <v>0.10597508321269757</v>
          </cell>
          <cell r="V26" t="str">
            <v>d</v>
          </cell>
          <cell r="W26">
            <v>44546.01442441222</v>
          </cell>
          <cell r="X26" t="str">
            <v>b</v>
          </cell>
          <cell r="Y26">
            <v>0.83580693788371596</v>
          </cell>
          <cell r="Z26">
            <v>0.53945464351743933</v>
          </cell>
          <cell r="AA26" t="str">
            <v>a</v>
          </cell>
          <cell r="AB26">
            <v>5254</v>
          </cell>
          <cell r="AC26">
            <v>29279</v>
          </cell>
          <cell r="AE26">
            <v>82576.01442441222</v>
          </cell>
          <cell r="AF26" t="str">
            <v>e</v>
          </cell>
          <cell r="AG26">
            <v>0.64542972673013688</v>
          </cell>
          <cell r="AJ26">
            <v>1991</v>
          </cell>
          <cell r="AK26">
            <v>29279</v>
          </cell>
          <cell r="AL26" t="str">
            <v>weir</v>
          </cell>
          <cell r="AM26">
            <v>31237.041838958281</v>
          </cell>
          <cell r="AN26">
            <v>0.46284020261600006</v>
          </cell>
          <cell r="AO26">
            <v>36252.864315270941</v>
          </cell>
          <cell r="AP26">
            <v>0.53715979738399999</v>
          </cell>
          <cell r="AQ26">
            <v>67489.906154229218</v>
          </cell>
          <cell r="AR26">
            <v>2.3050618584729401</v>
          </cell>
          <cell r="AT26">
            <v>1991</v>
          </cell>
          <cell r="AU26">
            <v>29279</v>
          </cell>
          <cell r="AV26" t="str">
            <v>weir</v>
          </cell>
          <cell r="AW26">
            <v>0</v>
          </cell>
          <cell r="AX26">
            <v>54108.752709359607</v>
          </cell>
          <cell r="AY26">
            <v>54108.752709359607</v>
          </cell>
          <cell r="AZ26">
            <v>1.8480396430670312</v>
          </cell>
          <cell r="BB26">
            <v>1991</v>
          </cell>
          <cell r="BC26">
            <v>29279</v>
          </cell>
          <cell r="BD26" t="str">
            <v>weir</v>
          </cell>
          <cell r="BE26">
            <v>47328.851271148909</v>
          </cell>
          <cell r="BF26">
            <v>27054.376354679804</v>
          </cell>
          <cell r="BG26">
            <v>74383.227625828717</v>
          </cell>
          <cell r="BH26">
            <v>2.5404975451971965</v>
          </cell>
        </row>
        <row r="27">
          <cell r="A27">
            <v>1992</v>
          </cell>
          <cell r="B27">
            <v>20033</v>
          </cell>
          <cell r="C27">
            <v>0.17</v>
          </cell>
          <cell r="D27">
            <v>3406</v>
          </cell>
          <cell r="L27">
            <v>2324</v>
          </cell>
          <cell r="N27">
            <v>5730</v>
          </cell>
          <cell r="P27">
            <v>0.59441535776614307</v>
          </cell>
          <cell r="R27">
            <v>16627</v>
          </cell>
          <cell r="S27">
            <v>0.29033782431624638</v>
          </cell>
          <cell r="U27">
            <v>0.22070231848730507</v>
          </cell>
          <cell r="V27" t="str">
            <v>d</v>
          </cell>
          <cell r="W27">
            <v>40640.770877449555</v>
          </cell>
          <cell r="X27" t="str">
            <v>b</v>
          </cell>
          <cell r="Y27">
            <v>0.70966217568375356</v>
          </cell>
          <cell r="Z27">
            <v>0.53945464351743933</v>
          </cell>
          <cell r="AA27" t="str">
            <v>a</v>
          </cell>
          <cell r="AC27">
            <v>18069</v>
          </cell>
          <cell r="AE27">
            <v>75336.770877449555</v>
          </cell>
          <cell r="AF27" t="str">
            <v>e</v>
          </cell>
          <cell r="AG27">
            <v>0.76015696200474436</v>
          </cell>
          <cell r="AJ27">
            <v>1992</v>
          </cell>
          <cell r="AK27">
            <v>18069</v>
          </cell>
          <cell r="AL27" t="str">
            <v>weir</v>
          </cell>
          <cell r="AM27">
            <v>17855.88839408867</v>
          </cell>
          <cell r="AN27">
            <v>0.29407203115050262</v>
          </cell>
          <cell r="AO27">
            <v>42863.549371654641</v>
          </cell>
          <cell r="AP27">
            <v>0.70592796884949749</v>
          </cell>
          <cell r="AQ27">
            <v>60719.437765743307</v>
          </cell>
          <cell r="AR27">
            <v>3.3604204862329574</v>
          </cell>
          <cell r="AT27">
            <v>1992</v>
          </cell>
          <cell r="AU27">
            <v>18069</v>
          </cell>
          <cell r="AV27" t="str">
            <v>weir</v>
          </cell>
          <cell r="AW27">
            <v>0</v>
          </cell>
          <cell r="AX27">
            <v>63975.446823365135</v>
          </cell>
          <cell r="AY27">
            <v>63975.446823365135</v>
          </cell>
          <cell r="AZ27">
            <v>3.5406191169054808</v>
          </cell>
          <cell r="BB27">
            <v>1992</v>
          </cell>
          <cell r="BC27">
            <v>18069</v>
          </cell>
          <cell r="BD27" t="str">
            <v>weir</v>
          </cell>
          <cell r="BE27">
            <v>27054.376354679804</v>
          </cell>
          <cell r="BF27">
            <v>31987.723411682568</v>
          </cell>
          <cell r="BG27">
            <v>59042.099766362371</v>
          </cell>
          <cell r="BH27">
            <v>3.2675908886137788</v>
          </cell>
        </row>
        <row r="28">
          <cell r="A28">
            <v>1993</v>
          </cell>
          <cell r="B28">
            <v>27610</v>
          </cell>
          <cell r="C28">
            <v>0.27900000000000003</v>
          </cell>
          <cell r="D28">
            <v>7703</v>
          </cell>
          <cell r="E28">
            <v>0.41514416599299381</v>
          </cell>
          <cell r="F28">
            <v>0.2734469293574725</v>
          </cell>
          <cell r="H28">
            <v>10852</v>
          </cell>
          <cell r="I28">
            <v>0.58485583400700625</v>
          </cell>
          <cell r="J28">
            <v>0.38523251686190985</v>
          </cell>
          <cell r="L28">
            <v>9615</v>
          </cell>
          <cell r="N28">
            <v>28170</v>
          </cell>
          <cell r="P28">
            <v>0.65867944621938235</v>
          </cell>
          <cell r="R28">
            <v>19907</v>
          </cell>
          <cell r="S28">
            <v>0.42111621240556169</v>
          </cell>
          <cell r="U28">
            <v>0.28024218655438426</v>
          </cell>
          <cell r="W28">
            <v>27364.986719020671</v>
          </cell>
          <cell r="Y28">
            <v>0.57888378759443837</v>
          </cell>
          <cell r="Z28">
            <v>0.38523251686190985</v>
          </cell>
          <cell r="AA28" t="str">
            <v>c</v>
          </cell>
          <cell r="AC28">
            <v>23763</v>
          </cell>
          <cell r="AE28">
            <v>71034.986719020671</v>
          </cell>
          <cell r="AG28">
            <v>0.66547470341629411</v>
          </cell>
          <cell r="AJ28">
            <v>1993</v>
          </cell>
          <cell r="AK28">
            <v>23763</v>
          </cell>
          <cell r="AL28" t="str">
            <v>weir</v>
          </cell>
          <cell r="AM28">
            <v>21111.897451710494</v>
          </cell>
          <cell r="AN28">
            <v>0.45121435378088026</v>
          </cell>
          <cell r="AO28">
            <v>25677.166935994919</v>
          </cell>
          <cell r="AP28">
            <v>0.54878564621911985</v>
          </cell>
          <cell r="AQ28">
            <v>46789.06438770541</v>
          </cell>
          <cell r="AR28">
            <v>1.9689881070447928</v>
          </cell>
          <cell r="AT28">
            <v>1993</v>
          </cell>
          <cell r="AU28">
            <v>23763</v>
          </cell>
          <cell r="AV28" t="str">
            <v>weir</v>
          </cell>
          <cell r="AW28">
            <v>0</v>
          </cell>
          <cell r="AX28">
            <v>38324.129755216294</v>
          </cell>
          <cell r="AY28">
            <v>38324.129755216294</v>
          </cell>
          <cell r="AZ28">
            <v>1.6127647921228925</v>
          </cell>
          <cell r="BB28">
            <v>1992</v>
          </cell>
          <cell r="BC28">
            <v>23763</v>
          </cell>
          <cell r="BD28" t="str">
            <v>weir</v>
          </cell>
          <cell r="BE28">
            <v>31987.723411682568</v>
          </cell>
          <cell r="BF28">
            <v>19162.064877608147</v>
          </cell>
          <cell r="BG28">
            <v>51149.788289290715</v>
          </cell>
          <cell r="BH28">
            <v>2.1524970874591052</v>
          </cell>
        </row>
        <row r="29">
          <cell r="A29">
            <v>1994</v>
          </cell>
          <cell r="B29">
            <v>17665</v>
          </cell>
          <cell r="C29">
            <v>0.34899999999999998</v>
          </cell>
          <cell r="D29">
            <v>6165</v>
          </cell>
          <cell r="E29">
            <v>0.23598086124401915</v>
          </cell>
          <cell r="F29">
            <v>0.19728631316202119</v>
          </cell>
          <cell r="H29">
            <v>19960</v>
          </cell>
          <cell r="I29">
            <v>0.76401913875598082</v>
          </cell>
          <cell r="J29">
            <v>0.63874043969407024</v>
          </cell>
          <cell r="L29">
            <v>5124</v>
          </cell>
          <cell r="N29">
            <v>31249</v>
          </cell>
          <cell r="P29">
            <v>0.8360267528560914</v>
          </cell>
          <cell r="R29">
            <v>11500</v>
          </cell>
          <cell r="S29">
            <v>0.15980722514507634</v>
          </cell>
          <cell r="U29">
            <v>0.12149037733998691</v>
          </cell>
          <cell r="W29">
            <v>60461.702542297819</v>
          </cell>
          <cell r="Y29">
            <v>0.84019277485492361</v>
          </cell>
          <cell r="Z29">
            <v>0.63874043969407024</v>
          </cell>
          <cell r="AA29" t="str">
            <v>c</v>
          </cell>
          <cell r="AB29">
            <v>6979</v>
          </cell>
          <cell r="AC29">
            <v>22696</v>
          </cell>
          <cell r="AE29">
            <v>94657.702542297819</v>
          </cell>
          <cell r="AG29">
            <v>0.76023081703405715</v>
          </cell>
          <cell r="AJ29">
            <v>1994</v>
          </cell>
          <cell r="AK29">
            <v>22696</v>
          </cell>
          <cell r="AL29" t="str">
            <v>weir</v>
          </cell>
          <cell r="AM29">
            <v>12646.962819221377</v>
          </cell>
          <cell r="AN29">
            <v>0.31752648607728051</v>
          </cell>
          <cell r="AO29">
            <v>27182.668325763872</v>
          </cell>
          <cell r="AP29">
            <v>0.68247351392271949</v>
          </cell>
          <cell r="AQ29">
            <v>39829.631144985251</v>
          </cell>
          <cell r="AR29">
            <v>1.7549185382880355</v>
          </cell>
          <cell r="AT29">
            <v>1994</v>
          </cell>
          <cell r="AU29">
            <v>22696</v>
          </cell>
          <cell r="AV29" t="str">
            <v>weir</v>
          </cell>
          <cell r="AW29">
            <v>0</v>
          </cell>
          <cell r="AX29">
            <v>40571.14675487145</v>
          </cell>
          <cell r="AY29">
            <v>40571.14675487145</v>
          </cell>
          <cell r="AZ29">
            <v>1.7875901813038177</v>
          </cell>
          <cell r="BB29">
            <v>1992</v>
          </cell>
          <cell r="BC29">
            <v>22696</v>
          </cell>
          <cell r="BD29" t="str">
            <v>weir</v>
          </cell>
          <cell r="BE29">
            <v>19162.064877608147</v>
          </cell>
          <cell r="BF29">
            <v>20285.573377435725</v>
          </cell>
          <cell r="BG29">
            <v>39447.638255043872</v>
          </cell>
          <cell r="BH29">
            <v>1.7380876918859656</v>
          </cell>
        </row>
        <row r="30">
          <cell r="A30">
            <v>1995</v>
          </cell>
          <cell r="B30">
            <v>14451</v>
          </cell>
          <cell r="C30">
            <v>0.20699999999999999</v>
          </cell>
          <cell r="D30">
            <v>2991</v>
          </cell>
          <cell r="E30">
            <v>0.33900034002040125</v>
          </cell>
          <cell r="F30">
            <v>0.30236554791750908</v>
          </cell>
          <cell r="H30">
            <v>5832</v>
          </cell>
          <cell r="I30">
            <v>0.66099965997959875</v>
          </cell>
          <cell r="J30">
            <v>0.58956732713303683</v>
          </cell>
          <cell r="L30">
            <v>1069</v>
          </cell>
          <cell r="N30">
            <v>9892</v>
          </cell>
          <cell r="P30">
            <v>0.89193287505054586</v>
          </cell>
          <cell r="R30">
            <v>11460</v>
          </cell>
          <cell r="S30">
            <v>0.26429430496316797</v>
          </cell>
          <cell r="U30">
            <v>0.21179567863181728</v>
          </cell>
          <cell r="W30">
            <v>31900.752709359607</v>
          </cell>
          <cell r="Y30">
            <v>0.73570569503683203</v>
          </cell>
          <cell r="Z30">
            <v>0.58956732713303683</v>
          </cell>
          <cell r="AA30" t="str">
            <v>c</v>
          </cell>
          <cell r="AC30">
            <v>10748</v>
          </cell>
          <cell r="AE30">
            <v>54108.752709359607</v>
          </cell>
          <cell r="AG30">
            <v>0.80136300576485409</v>
          </cell>
          <cell r="AJ30">
            <v>1995</v>
          </cell>
          <cell r="AK30">
            <v>10748</v>
          </cell>
          <cell r="AL30" t="str">
            <v>weir</v>
          </cell>
          <cell r="AM30">
            <v>13388.478429107579</v>
          </cell>
          <cell r="AN30">
            <v>0.43649179048756515</v>
          </cell>
          <cell r="AO30">
            <v>17284.443080258112</v>
          </cell>
          <cell r="AP30">
            <v>0.56350820951243485</v>
          </cell>
          <cell r="AQ30">
            <v>30672.921509365689</v>
          </cell>
          <cell r="AR30">
            <v>2.8538259684932723</v>
          </cell>
          <cell r="AT30">
            <v>1995</v>
          </cell>
          <cell r="AU30">
            <v>10748</v>
          </cell>
          <cell r="AV30" t="str">
            <v>weir</v>
          </cell>
          <cell r="AW30">
            <v>0</v>
          </cell>
          <cell r="AX30">
            <v>0</v>
          </cell>
          <cell r="AY30">
            <v>0</v>
          </cell>
          <cell r="AZ30">
            <v>0</v>
          </cell>
          <cell r="BB30">
            <v>1992</v>
          </cell>
          <cell r="BC30">
            <v>10748</v>
          </cell>
          <cell r="BD30" t="str">
            <v>weir</v>
          </cell>
          <cell r="BE30">
            <v>20285.573377435725</v>
          </cell>
          <cell r="BF30">
            <v>0</v>
          </cell>
          <cell r="BG30">
            <v>20285.573377435725</v>
          </cell>
          <cell r="BH30">
            <v>1.8873812223144515</v>
          </cell>
        </row>
        <row r="31">
          <cell r="A31">
            <v>1996</v>
          </cell>
          <cell r="B31">
            <v>16753</v>
          </cell>
          <cell r="C31">
            <v>0.23</v>
          </cell>
          <cell r="D31">
            <v>3853</v>
          </cell>
          <cell r="E31">
            <v>0.42882582081246523</v>
          </cell>
          <cell r="F31">
            <v>0.40863294092692759</v>
          </cell>
          <cell r="H31">
            <v>5132</v>
          </cell>
          <cell r="I31">
            <v>0.57117417918753477</v>
          </cell>
          <cell r="J31">
            <v>0.54427829038074027</v>
          </cell>
          <cell r="L31">
            <v>444</v>
          </cell>
          <cell r="N31">
            <v>9429</v>
          </cell>
          <cell r="P31">
            <v>0.95291123130766786</v>
          </cell>
          <cell r="R31">
            <v>12900</v>
          </cell>
          <cell r="S31">
            <v>0.27032437579113017</v>
          </cell>
          <cell r="U31">
            <v>0.2016398577975802</v>
          </cell>
          <cell r="W31">
            <v>34820.446823365135</v>
          </cell>
          <cell r="Y31">
            <v>0.72967562420886989</v>
          </cell>
          <cell r="Z31">
            <v>0.54427829038074027</v>
          </cell>
          <cell r="AA31" t="str">
            <v>c</v>
          </cell>
          <cell r="AC31">
            <v>16255</v>
          </cell>
          <cell r="AE31">
            <v>63975.446823365135</v>
          </cell>
          <cell r="AG31">
            <v>0.74591814817832047</v>
          </cell>
          <cell r="AJ31">
            <v>1996</v>
          </cell>
          <cell r="AK31">
            <v>16255</v>
          </cell>
          <cell r="AL31" t="str">
            <v>weir</v>
          </cell>
          <cell r="AT31">
            <v>1996</v>
          </cell>
          <cell r="AU31">
            <v>16255</v>
          </cell>
          <cell r="AV31" t="str">
            <v>weir</v>
          </cell>
          <cell r="AW31">
            <v>0</v>
          </cell>
          <cell r="AY31">
            <v>0</v>
          </cell>
          <cell r="AZ31">
            <v>0</v>
          </cell>
          <cell r="BB31">
            <v>1992</v>
          </cell>
          <cell r="BC31">
            <v>16255</v>
          </cell>
          <cell r="BD31" t="str">
            <v>weir</v>
          </cell>
          <cell r="BH31">
            <v>0</v>
          </cell>
        </row>
        <row r="32">
          <cell r="A32">
            <v>1997</v>
          </cell>
          <cell r="B32">
            <v>7756</v>
          </cell>
          <cell r="C32">
            <v>0</v>
          </cell>
          <cell r="D32">
            <v>0</v>
          </cell>
          <cell r="E32">
            <v>0</v>
          </cell>
          <cell r="F32">
            <v>0</v>
          </cell>
          <cell r="H32">
            <v>0</v>
          </cell>
          <cell r="I32">
            <v>0</v>
          </cell>
          <cell r="J32">
            <v>0</v>
          </cell>
          <cell r="L32">
            <v>0</v>
          </cell>
          <cell r="N32">
            <v>0</v>
          </cell>
          <cell r="P32">
            <v>0</v>
          </cell>
          <cell r="R32">
            <v>7756</v>
          </cell>
          <cell r="S32">
            <v>0.27280916642939157</v>
          </cell>
          <cell r="U32">
            <v>0.20237902463902213</v>
          </cell>
          <cell r="W32">
            <v>20674.129755216294</v>
          </cell>
          <cell r="X32" t="str">
            <v>b</v>
          </cell>
          <cell r="Y32">
            <v>0.72719083357060843</v>
          </cell>
          <cell r="Z32">
            <v>0.53945464351743933</v>
          </cell>
          <cell r="AA32" t="str">
            <v>a</v>
          </cell>
          <cell r="AC32">
            <v>9894</v>
          </cell>
          <cell r="AE32">
            <v>38324.129755216294</v>
          </cell>
          <cell r="AF32" t="str">
            <v>e</v>
          </cell>
          <cell r="AG32">
            <v>0.74183366815646146</v>
          </cell>
          <cell r="AJ32">
            <v>1997</v>
          </cell>
          <cell r="AK32">
            <v>9894</v>
          </cell>
          <cell r="AL32" t="str">
            <v>weir</v>
          </cell>
        </row>
        <row r="33">
          <cell r="A33">
            <v>1998</v>
          </cell>
          <cell r="B33">
            <v>14469</v>
          </cell>
          <cell r="C33">
            <v>0</v>
          </cell>
          <cell r="D33">
            <v>0</v>
          </cell>
          <cell r="E33">
            <v>0</v>
          </cell>
          <cell r="F33">
            <v>0</v>
          </cell>
          <cell r="H33">
            <v>0</v>
          </cell>
          <cell r="I33">
            <v>0</v>
          </cell>
          <cell r="J33">
            <v>0</v>
          </cell>
          <cell r="L33">
            <v>0</v>
          </cell>
          <cell r="N33">
            <v>0</v>
          </cell>
          <cell r="P33">
            <v>0</v>
          </cell>
          <cell r="R33">
            <v>14469</v>
          </cell>
          <cell r="S33">
            <v>0.56937338429412021</v>
          </cell>
          <cell r="U33">
            <v>0.35663275892645752</v>
          </cell>
          <cell r="W33">
            <v>10943.146754871446</v>
          </cell>
          <cell r="X33" t="str">
            <v>b</v>
          </cell>
          <cell r="Y33">
            <v>0.43062661570587979</v>
          </cell>
          <cell r="Z33">
            <v>0.26972732175871966</v>
          </cell>
          <cell r="AA33" t="str">
            <v>g</v>
          </cell>
          <cell r="AC33">
            <v>15159</v>
          </cell>
          <cell r="AE33">
            <v>40571.14675487145</v>
          </cell>
          <cell r="AF33" t="str">
            <v>g</v>
          </cell>
          <cell r="AG33">
            <v>0.62636008068517723</v>
          </cell>
          <cell r="AJ33">
            <v>1998</v>
          </cell>
          <cell r="AK33">
            <v>15159</v>
          </cell>
          <cell r="AL33" t="str">
            <v>weir</v>
          </cell>
        </row>
        <row r="34">
          <cell r="A34">
            <v>1999</v>
          </cell>
          <cell r="B34">
            <v>8864</v>
          </cell>
          <cell r="C34">
            <v>0</v>
          </cell>
          <cell r="D34">
            <v>0</v>
          </cell>
          <cell r="E34">
            <v>0</v>
          </cell>
          <cell r="F34">
            <v>0</v>
          </cell>
          <cell r="H34">
            <v>0</v>
          </cell>
          <cell r="I34">
            <v>0</v>
          </cell>
          <cell r="J34">
            <v>0</v>
          </cell>
          <cell r="L34">
            <v>0</v>
          </cell>
          <cell r="N34">
            <v>0</v>
          </cell>
          <cell r="P34">
            <v>0</v>
          </cell>
          <cell r="R34">
            <v>8864</v>
          </cell>
          <cell r="S34">
            <v>0.38910170650468373</v>
          </cell>
          <cell r="U34">
            <v>0.34359683863828111</v>
          </cell>
          <cell r="W34">
            <v>13916.676239191209</v>
          </cell>
          <cell r="Y34">
            <v>0.61089829349531632</v>
          </cell>
          <cell r="Z34">
            <v>0.53945464351743933</v>
          </cell>
          <cell r="AC34">
            <v>3017</v>
          </cell>
          <cell r="AE34">
            <v>25797.676239191209</v>
          </cell>
          <cell r="AG34">
            <v>0.88305148215572049</v>
          </cell>
          <cell r="AJ34">
            <v>1999</v>
          </cell>
          <cell r="AK34">
            <v>3017</v>
          </cell>
          <cell r="AL34" t="str">
            <v>weir</v>
          </cell>
        </row>
        <row r="35">
          <cell r="A35">
            <v>2000</v>
          </cell>
          <cell r="B35">
            <v>31517</v>
          </cell>
          <cell r="L35">
            <v>0</v>
          </cell>
          <cell r="W35">
            <v>18080.785660142705</v>
          </cell>
          <cell r="Z35">
            <v>0.53945464351743933</v>
          </cell>
          <cell r="AC35">
            <v>15436</v>
          </cell>
          <cell r="AE35">
            <v>33516.785660142705</v>
          </cell>
        </row>
        <row r="36">
          <cell r="A36" t="str">
            <v>1993-1999</v>
          </cell>
          <cell r="AT36" t="str">
            <v>1981-1994</v>
          </cell>
          <cell r="BB36" t="str">
            <v>1981-1994</v>
          </cell>
        </row>
        <row r="37">
          <cell r="A37" t="str">
            <v>mean</v>
          </cell>
          <cell r="B37">
            <v>19119.75</v>
          </cell>
          <cell r="C37">
            <v>0.26624999999999999</v>
          </cell>
          <cell r="D37">
            <v>5178</v>
          </cell>
          <cell r="E37">
            <v>0.35473779701746988</v>
          </cell>
          <cell r="F37">
            <v>0.2954329328409826</v>
          </cell>
          <cell r="H37">
            <v>10444</v>
          </cell>
          <cell r="I37">
            <v>0.64526220298253012</v>
          </cell>
          <cell r="J37">
            <v>0.53945464351743933</v>
          </cell>
          <cell r="L37">
            <v>4063</v>
          </cell>
          <cell r="N37">
            <v>19685</v>
          </cell>
          <cell r="P37">
            <v>0.83488757635842192</v>
          </cell>
          <cell r="R37">
            <v>12704.6</v>
          </cell>
          <cell r="S37">
            <v>0.27888552957623403</v>
          </cell>
          <cell r="U37">
            <v>0.20379202508094216</v>
          </cell>
          <cell r="W37">
            <v>38636.972198510812</v>
          </cell>
          <cell r="Y37">
            <v>0.72111447042376597</v>
          </cell>
          <cell r="Z37">
            <v>0.53945464351743933</v>
          </cell>
          <cell r="AB37">
            <v>6979</v>
          </cell>
          <cell r="AC37">
            <v>18365.5</v>
          </cell>
          <cell r="AE37">
            <v>70944.222198510804</v>
          </cell>
          <cell r="AG37">
            <v>0.7432466685983814</v>
          </cell>
          <cell r="AT37" t="str">
            <v>average</v>
          </cell>
          <cell r="AU37">
            <v>14660.678571428571</v>
          </cell>
          <cell r="AW37">
            <v>0</v>
          </cell>
          <cell r="AX37">
            <v>54937.893066860539</v>
          </cell>
          <cell r="AY37">
            <v>54937.893066860539</v>
          </cell>
          <cell r="AZ37">
            <v>6.0961420979447496</v>
          </cell>
          <cell r="BB37" t="str">
            <v>average</v>
          </cell>
          <cell r="BC37">
            <v>14660.678571428571</v>
          </cell>
          <cell r="BE37">
            <v>28847.4478583624</v>
          </cell>
          <cell r="BF37">
            <v>27468.946533430269</v>
          </cell>
          <cell r="BG37">
            <v>56316.394391792659</v>
          </cell>
          <cell r="BH37">
            <v>5.9046573496882404</v>
          </cell>
        </row>
        <row r="38">
          <cell r="A38" t="str">
            <v>median</v>
          </cell>
          <cell r="B38">
            <v>17209</v>
          </cell>
          <cell r="C38">
            <v>0.2545</v>
          </cell>
          <cell r="D38">
            <v>5009</v>
          </cell>
          <cell r="E38">
            <v>0.37707225300669756</v>
          </cell>
          <cell r="F38">
            <v>0.28790623863749076</v>
          </cell>
          <cell r="H38">
            <v>8342</v>
          </cell>
          <cell r="I38">
            <v>0.62292774699330256</v>
          </cell>
          <cell r="J38">
            <v>0.5669228087568885</v>
          </cell>
          <cell r="L38">
            <v>3096.5</v>
          </cell>
          <cell r="N38">
            <v>19031</v>
          </cell>
          <cell r="P38">
            <v>0.86397981395331858</v>
          </cell>
          <cell r="R38">
            <v>11500</v>
          </cell>
          <cell r="S38">
            <v>0.26730934037714904</v>
          </cell>
          <cell r="U38">
            <v>0.20671776821469873</v>
          </cell>
          <cell r="W38">
            <v>33360.599766362371</v>
          </cell>
          <cell r="Y38">
            <v>0.73269065962285096</v>
          </cell>
          <cell r="Z38">
            <v>0.5669228087568885</v>
          </cell>
          <cell r="AB38">
            <v>6979</v>
          </cell>
          <cell r="AC38">
            <v>19475.5</v>
          </cell>
          <cell r="AE38">
            <v>67505.216771192907</v>
          </cell>
          <cell r="AG38">
            <v>0.75307448260618881</v>
          </cell>
          <cell r="AT38" t="str">
            <v>median</v>
          </cell>
          <cell r="AU38">
            <v>13501.5</v>
          </cell>
          <cell r="AW38">
            <v>0</v>
          </cell>
          <cell r="AX38">
            <v>54667.291827602501</v>
          </cell>
          <cell r="AY38">
            <v>54667.291827602501</v>
          </cell>
          <cell r="AZ38">
            <v>3.9384762529024693</v>
          </cell>
          <cell r="BB38" t="str">
            <v>median</v>
          </cell>
          <cell r="BC38">
            <v>13501.5</v>
          </cell>
          <cell r="BE38">
            <v>29800.319442302633</v>
          </cell>
          <cell r="BF38">
            <v>27333.645913801251</v>
          </cell>
          <cell r="BG38">
            <v>56187.462615269833</v>
          </cell>
          <cell r="BH38">
            <v>4.1415196818060114</v>
          </cell>
        </row>
        <row r="39">
          <cell r="A39" t="str">
            <v>a</v>
          </cell>
          <cell r="D39" t="str">
            <v>Assumed commercial exploitation rate based on average commercial exploitation rate on hatchery-origin coho salmon returning to the Little Susitna River during 1993-1996</v>
          </cell>
        </row>
        <row r="40">
          <cell r="A40" t="str">
            <v>b</v>
          </cell>
          <cell r="D40" t="str">
            <v>Based on the assumed commercial exploitation rate in footnote "a".</v>
          </cell>
        </row>
        <row r="41">
          <cell r="A41" t="str">
            <v>c</v>
          </cell>
          <cell r="D41" t="str">
            <v>Based on estimated commercial exploitation rate of hatchery-origin salmon.</v>
          </cell>
        </row>
        <row r="42">
          <cell r="A42" t="str">
            <v>d</v>
          </cell>
          <cell r="D42" t="str">
            <v>Based on the assumed total run size.  See footnote "e".</v>
          </cell>
        </row>
        <row r="43">
          <cell r="A43" t="str">
            <v>e</v>
          </cell>
          <cell r="D43" t="str">
            <v>Based on the recreational harvest, escapement count, and the average commercial exploitation rate on hatchery coho salmon returning to the Little Susitna River during 1993-1996.</v>
          </cell>
        </row>
        <row r="44">
          <cell r="A44" t="str">
            <v>f</v>
          </cell>
          <cell r="D44" t="str">
            <v>Assumed recreational harvest based on median catch during 1993-1996.</v>
          </cell>
        </row>
        <row r="52">
          <cell r="A52" t="str">
            <v>Table 26.</v>
          </cell>
          <cell r="D52" t="str">
            <v>Recreational harvest of hatchery and non-hatchery coho salmon and commercial harvest estimates of hatchery coho salmon, Little Susitna River coho salmon stock, 1978-1998.</v>
          </cell>
        </row>
        <row r="53">
          <cell r="C53" t="str">
            <v>Bartlett 98</v>
          </cell>
          <cell r="Z53">
            <v>0.2</v>
          </cell>
          <cell r="AJ53" t="str">
            <v>Table 27</v>
          </cell>
          <cell r="AK53" t="str">
            <v>Estimated total brood year return of wild Little Su coho salmon by age</v>
          </cell>
          <cell r="AT53" t="str">
            <v>Table.28</v>
          </cell>
          <cell r="AU53" t="str">
            <v>Estimated total brood year return of wild Little Su coho salmon by age</v>
          </cell>
          <cell r="BB53" t="str">
            <v>Table 29.</v>
          </cell>
          <cell r="BC53" t="str">
            <v>Estimated total brood year return of wild Little Su coho salmon by age</v>
          </cell>
        </row>
        <row r="54">
          <cell r="C54" t="str">
            <v xml:space="preserve">Proportion </v>
          </cell>
          <cell r="D54" t="str">
            <v>Hatchery-origin coho salmon</v>
          </cell>
          <cell r="R54" t="str">
            <v>Wild-origin coho salmon</v>
          </cell>
          <cell r="AK54" t="str">
            <v>class, 1981-1993.  Return data are based on an assumed age class return</v>
          </cell>
          <cell r="AU54" t="str">
            <v>class, 1981-1993.  Return data are based on an assumed age class return</v>
          </cell>
          <cell r="BC54" t="str">
            <v>class, 1981-1993.  Return data are based on an assumed age class return</v>
          </cell>
        </row>
        <row r="55">
          <cell r="B55" t="str">
            <v>Total SWHS</v>
          </cell>
          <cell r="C55" t="str">
            <v xml:space="preserve">of hatchery </v>
          </cell>
          <cell r="D55" t="str">
            <v>Recreational harvest</v>
          </cell>
          <cell r="H55" t="str">
            <v>Commercial harvest</v>
          </cell>
          <cell r="K55" t="str">
            <v/>
          </cell>
          <cell r="P55" t="str">
            <v>Total</v>
          </cell>
          <cell r="R55" t="str">
            <v>Recreational harvest</v>
          </cell>
          <cell r="W55" t="str">
            <v>Commercial harvest</v>
          </cell>
          <cell r="AA55" t="str">
            <v/>
          </cell>
          <cell r="AB55" t="str">
            <v>Escapement Counts</v>
          </cell>
          <cell r="AG55" t="str">
            <v>Total</v>
          </cell>
          <cell r="AK55" t="str">
            <v>of 0.33:0.67 for age 3 and 4 salmon, respectively.</v>
          </cell>
          <cell r="AU55" t="str">
            <v>of 0.00:1.00 for age 3 and 4 salmon, respectively.</v>
          </cell>
          <cell r="BC55" t="str">
            <v>of 0.50:0.50 for age 3 and 4 salmon, respectively</v>
          </cell>
        </row>
        <row r="56">
          <cell r="B56" t="str">
            <v xml:space="preserve">estimated </v>
          </cell>
          <cell r="C56" t="str">
            <v>salmon in</v>
          </cell>
          <cell r="F56" t="str">
            <v xml:space="preserve">Exploitation </v>
          </cell>
          <cell r="J56" t="str">
            <v xml:space="preserve">Exploitation </v>
          </cell>
          <cell r="L56" t="str">
            <v>Escapement</v>
          </cell>
          <cell r="N56" t="str">
            <v>Total Run</v>
          </cell>
          <cell r="P56" t="str">
            <v>Exploitation</v>
          </cell>
          <cell r="U56" t="str">
            <v xml:space="preserve">Exploitation </v>
          </cell>
          <cell r="Z56" t="str">
            <v xml:space="preserve">Exploitation </v>
          </cell>
          <cell r="AB56" t="str">
            <v>aerial /foot</v>
          </cell>
          <cell r="AC56" t="str">
            <v xml:space="preserve">weir </v>
          </cell>
          <cell r="AE56" t="str">
            <v>Total Run</v>
          </cell>
          <cell r="AG56" t="str">
            <v>Exploitation</v>
          </cell>
          <cell r="AJ56" t="str">
            <v>Brood</v>
          </cell>
          <cell r="AQ56" t="str">
            <v>Total</v>
          </cell>
          <cell r="AR56" t="str">
            <v>Return per</v>
          </cell>
          <cell r="AT56" t="str">
            <v>Brood</v>
          </cell>
          <cell r="AY56" t="str">
            <v>Total</v>
          </cell>
          <cell r="AZ56" t="str">
            <v>Return per</v>
          </cell>
          <cell r="BB56" t="str">
            <v>Brood</v>
          </cell>
          <cell r="BG56" t="str">
            <v>Total</v>
          </cell>
          <cell r="BH56" t="str">
            <v>Return per</v>
          </cell>
        </row>
        <row r="57">
          <cell r="B57" t="str">
            <v>sport harvest</v>
          </cell>
          <cell r="C57" t="str">
            <v>the harvest</v>
          </cell>
          <cell r="D57" t="str">
            <v>number</v>
          </cell>
          <cell r="E57" t="str">
            <v>proportion</v>
          </cell>
          <cell r="F57" t="str">
            <v>Rate</v>
          </cell>
          <cell r="H57" t="str">
            <v>number</v>
          </cell>
          <cell r="I57" t="str">
            <v>proportion</v>
          </cell>
          <cell r="J57" t="str">
            <v>Rate</v>
          </cell>
          <cell r="L57" t="str">
            <v>number</v>
          </cell>
          <cell r="N57" t="str">
            <v>number</v>
          </cell>
          <cell r="P57" t="str">
            <v>Rate</v>
          </cell>
          <cell r="R57" t="str">
            <v>number</v>
          </cell>
          <cell r="S57" t="str">
            <v>proportion</v>
          </cell>
          <cell r="U57" t="str">
            <v>Rate</v>
          </cell>
          <cell r="W57" t="str">
            <v>number</v>
          </cell>
          <cell r="Y57" t="str">
            <v>proportion</v>
          </cell>
          <cell r="Z57" t="str">
            <v>Rate</v>
          </cell>
          <cell r="AB57" t="str">
            <v>survey cnts</v>
          </cell>
          <cell r="AC57" t="str">
            <v>counts</v>
          </cell>
          <cell r="AE57" t="str">
            <v>number</v>
          </cell>
          <cell r="AG57" t="str">
            <v>Rate</v>
          </cell>
          <cell r="AJ57" t="str">
            <v>Year</v>
          </cell>
          <cell r="AK57" t="str">
            <v>Escapement</v>
          </cell>
          <cell r="AM57" t="str">
            <v>Brood year return by age class</v>
          </cell>
          <cell r="AQ57" t="str">
            <v>Return</v>
          </cell>
          <cell r="AR57" t="str">
            <v>Spawner</v>
          </cell>
          <cell r="AT57" t="str">
            <v>Year</v>
          </cell>
          <cell r="AU57" t="str">
            <v>Escapement</v>
          </cell>
          <cell r="AW57" t="str">
            <v>Brood year return by age class</v>
          </cell>
          <cell r="AY57" t="str">
            <v>Return</v>
          </cell>
          <cell r="AZ57" t="str">
            <v>Spawner</v>
          </cell>
          <cell r="BB57" t="str">
            <v>Year</v>
          </cell>
          <cell r="BC57" t="str">
            <v>Escapement</v>
          </cell>
          <cell r="BE57" t="str">
            <v>Brood year return by age class</v>
          </cell>
          <cell r="BG57" t="str">
            <v>Return</v>
          </cell>
          <cell r="BH57" t="str">
            <v>Spawner</v>
          </cell>
        </row>
        <row r="58">
          <cell r="A58">
            <v>1977</v>
          </cell>
        </row>
        <row r="59">
          <cell r="A59">
            <v>1978</v>
          </cell>
          <cell r="B59">
            <v>4865</v>
          </cell>
          <cell r="R59">
            <v>4865</v>
          </cell>
          <cell r="AK59" t="str">
            <v>Counts</v>
          </cell>
          <cell r="AM59">
            <v>3</v>
          </cell>
          <cell r="AO59">
            <v>4</v>
          </cell>
          <cell r="AU59" t="str">
            <v>Counts</v>
          </cell>
          <cell r="AW59">
            <v>3</v>
          </cell>
          <cell r="AX59">
            <v>4</v>
          </cell>
          <cell r="BC59" t="str">
            <v>Counts</v>
          </cell>
          <cell r="BE59">
            <v>3</v>
          </cell>
          <cell r="BF59">
            <v>4</v>
          </cell>
        </row>
        <row r="60">
          <cell r="A60">
            <v>1979</v>
          </cell>
          <cell r="B60">
            <v>3382</v>
          </cell>
          <cell r="R60">
            <v>3382</v>
          </cell>
          <cell r="AM60">
            <v>0.33</v>
          </cell>
          <cell r="AO60">
            <v>0.67</v>
          </cell>
          <cell r="AW60">
            <v>0</v>
          </cell>
          <cell r="AX60">
            <v>1</v>
          </cell>
          <cell r="BE60">
            <v>0.5</v>
          </cell>
          <cell r="BF60">
            <v>0.5</v>
          </cell>
        </row>
        <row r="61">
          <cell r="A61">
            <v>1980</v>
          </cell>
          <cell r="B61">
            <v>6302</v>
          </cell>
          <cell r="R61">
            <v>6302</v>
          </cell>
        </row>
        <row r="62">
          <cell r="A62">
            <v>1981</v>
          </cell>
          <cell r="B62">
            <v>5940</v>
          </cell>
          <cell r="R62">
            <v>5940</v>
          </cell>
          <cell r="S62">
            <v>0.66051373290336923</v>
          </cell>
          <cell r="U62">
            <v>0.66051373290336923</v>
          </cell>
          <cell r="V62" t="str">
            <v>d</v>
          </cell>
          <cell r="W62">
            <v>3053</v>
          </cell>
          <cell r="X62" t="str">
            <v>b</v>
          </cell>
          <cell r="Y62">
            <v>0.33948626709663071</v>
          </cell>
          <cell r="Z62">
            <v>0.33945464351743931</v>
          </cell>
          <cell r="AA62" t="str">
            <v>a</v>
          </cell>
          <cell r="AB62">
            <v>6750</v>
          </cell>
          <cell r="AE62">
            <v>8993</v>
          </cell>
          <cell r="AF62" t="str">
            <v>e</v>
          </cell>
          <cell r="AG62">
            <v>1</v>
          </cell>
          <cell r="AJ62">
            <v>1981</v>
          </cell>
          <cell r="AK62">
            <v>6750</v>
          </cell>
          <cell r="AM62">
            <v>7120.7400000000007</v>
          </cell>
          <cell r="AO62">
            <v>7875.18</v>
          </cell>
          <cell r="AQ62">
            <v>14995.920000000002</v>
          </cell>
          <cell r="AR62">
            <v>2.2216177777777779</v>
          </cell>
          <cell r="AT62">
            <v>1981</v>
          </cell>
          <cell r="AU62">
            <v>6750</v>
          </cell>
          <cell r="AW62">
            <v>0</v>
          </cell>
          <cell r="AX62">
            <v>11754</v>
          </cell>
          <cell r="AY62">
            <v>11754</v>
          </cell>
          <cell r="AZ62">
            <v>1.7413333333333334</v>
          </cell>
          <cell r="BB62">
            <v>1981</v>
          </cell>
          <cell r="BC62">
            <v>6750</v>
          </cell>
          <cell r="BE62">
            <v>10789</v>
          </cell>
          <cell r="BF62">
            <v>5877</v>
          </cell>
          <cell r="BG62">
            <v>16666</v>
          </cell>
          <cell r="BH62">
            <v>2.4690370370370371</v>
          </cell>
        </row>
        <row r="63">
          <cell r="A63">
            <v>1982</v>
          </cell>
          <cell r="B63">
            <v>7116</v>
          </cell>
          <cell r="R63">
            <v>7116</v>
          </cell>
          <cell r="S63">
            <v>0.66054023948760787</v>
          </cell>
          <cell r="U63">
            <v>0.66054023948760787</v>
          </cell>
          <cell r="V63" t="str">
            <v>d</v>
          </cell>
          <cell r="W63">
            <v>3657</v>
          </cell>
          <cell r="X63" t="str">
            <v>b</v>
          </cell>
          <cell r="Y63">
            <v>0.33945976051239207</v>
          </cell>
          <cell r="Z63">
            <v>0.33945464351743931</v>
          </cell>
          <cell r="AA63" t="str">
            <v>a</v>
          </cell>
          <cell r="AB63">
            <v>6800</v>
          </cell>
          <cell r="AE63">
            <v>10773</v>
          </cell>
          <cell r="AF63" t="str">
            <v>e</v>
          </cell>
          <cell r="AG63">
            <v>1</v>
          </cell>
          <cell r="AJ63">
            <v>1982</v>
          </cell>
          <cell r="AK63">
            <v>6800</v>
          </cell>
          <cell r="AM63">
            <v>3878.82</v>
          </cell>
          <cell r="AO63">
            <v>13113.910000000002</v>
          </cell>
          <cell r="AQ63">
            <v>16992.730000000003</v>
          </cell>
          <cell r="AR63">
            <v>2.4989308823529415</v>
          </cell>
          <cell r="AT63">
            <v>1982</v>
          </cell>
          <cell r="AU63">
            <v>6800</v>
          </cell>
          <cell r="AW63">
            <v>0</v>
          </cell>
          <cell r="AX63">
            <v>19573</v>
          </cell>
          <cell r="AY63">
            <v>19573</v>
          </cell>
          <cell r="AZ63">
            <v>2.8783823529411765</v>
          </cell>
          <cell r="BB63">
            <v>1982</v>
          </cell>
          <cell r="BC63">
            <v>6800</v>
          </cell>
          <cell r="BE63">
            <v>5877</v>
          </cell>
          <cell r="BF63">
            <v>9786.5</v>
          </cell>
          <cell r="BG63">
            <v>15663.5</v>
          </cell>
          <cell r="BH63">
            <v>2.303455882352941</v>
          </cell>
        </row>
        <row r="64">
          <cell r="A64">
            <v>1983</v>
          </cell>
          <cell r="B64">
            <v>2835</v>
          </cell>
          <cell r="R64">
            <v>2835</v>
          </cell>
          <cell r="S64">
            <v>0.66053122087604843</v>
          </cell>
          <cell r="U64">
            <v>0.66053122087604843</v>
          </cell>
          <cell r="V64" t="str">
            <v>d</v>
          </cell>
          <cell r="W64">
            <v>1457</v>
          </cell>
          <cell r="X64" t="str">
            <v>b</v>
          </cell>
          <cell r="Y64">
            <v>0.33946877912395151</v>
          </cell>
          <cell r="Z64">
            <v>0.33945464351743931</v>
          </cell>
          <cell r="AA64" t="str">
            <v>a</v>
          </cell>
          <cell r="AB64">
            <v>2666</v>
          </cell>
          <cell r="AE64">
            <v>4292</v>
          </cell>
          <cell r="AF64" t="str">
            <v>e</v>
          </cell>
          <cell r="AG64">
            <v>1</v>
          </cell>
          <cell r="AJ64">
            <v>1983</v>
          </cell>
          <cell r="AK64">
            <v>2666</v>
          </cell>
          <cell r="AM64">
            <v>6459.09</v>
          </cell>
          <cell r="AO64">
            <v>36874.120000000003</v>
          </cell>
          <cell r="AQ64">
            <v>43333.210000000006</v>
          </cell>
          <cell r="AR64">
            <v>16.254017254313581</v>
          </cell>
          <cell r="AT64">
            <v>1983</v>
          </cell>
          <cell r="AU64">
            <v>2666</v>
          </cell>
          <cell r="AW64">
            <v>0</v>
          </cell>
          <cell r="AX64">
            <v>55036</v>
          </cell>
          <cell r="AY64">
            <v>55036</v>
          </cell>
          <cell r="AZ64">
            <v>20.643660915228807</v>
          </cell>
          <cell r="BB64">
            <v>1983</v>
          </cell>
          <cell r="BC64">
            <v>2666</v>
          </cell>
          <cell r="BE64">
            <v>9786.5</v>
          </cell>
          <cell r="BF64">
            <v>27518</v>
          </cell>
          <cell r="BG64">
            <v>37304.5</v>
          </cell>
          <cell r="BH64">
            <v>13.992685671417854</v>
          </cell>
        </row>
        <row r="65">
          <cell r="A65">
            <v>1984</v>
          </cell>
          <cell r="B65">
            <v>14253</v>
          </cell>
          <cell r="R65">
            <v>14253</v>
          </cell>
          <cell r="S65">
            <v>0.66053387709704325</v>
          </cell>
          <cell r="U65">
            <v>0.66053387709704325</v>
          </cell>
          <cell r="V65" t="str">
            <v>d</v>
          </cell>
          <cell r="W65">
            <v>7325</v>
          </cell>
          <cell r="X65" t="str">
            <v>b</v>
          </cell>
          <cell r="Y65">
            <v>0.33946612290295669</v>
          </cell>
          <cell r="Z65">
            <v>0.33945464351743931</v>
          </cell>
          <cell r="AA65" t="str">
            <v>a</v>
          </cell>
          <cell r="AB65">
            <v>22208</v>
          </cell>
          <cell r="AE65">
            <v>21578</v>
          </cell>
          <cell r="AF65" t="str">
            <v>e</v>
          </cell>
          <cell r="AG65">
            <v>1</v>
          </cell>
          <cell r="AJ65">
            <v>1984</v>
          </cell>
          <cell r="AK65">
            <v>22208</v>
          </cell>
          <cell r="AM65">
            <v>18161.88</v>
          </cell>
          <cell r="AO65">
            <v>25798.350000000002</v>
          </cell>
          <cell r="AQ65">
            <v>43960.23</v>
          </cell>
          <cell r="AR65">
            <v>1.9794772154178675</v>
          </cell>
          <cell r="AT65">
            <v>1984</v>
          </cell>
          <cell r="AU65">
            <v>22208</v>
          </cell>
          <cell r="AW65">
            <v>0</v>
          </cell>
          <cell r="AX65">
            <v>38505</v>
          </cell>
          <cell r="AY65">
            <v>38505</v>
          </cell>
          <cell r="AZ65">
            <v>1.7338346541786744</v>
          </cell>
          <cell r="BB65">
            <v>1984</v>
          </cell>
          <cell r="BC65">
            <v>22208</v>
          </cell>
          <cell r="BE65">
            <v>27518</v>
          </cell>
          <cell r="BF65">
            <v>19252.5</v>
          </cell>
          <cell r="BG65">
            <v>46770.5</v>
          </cell>
          <cell r="BH65">
            <v>2.1060203530259365</v>
          </cell>
        </row>
        <row r="66">
          <cell r="A66">
            <v>1985</v>
          </cell>
          <cell r="B66">
            <v>7764</v>
          </cell>
          <cell r="R66">
            <v>7764</v>
          </cell>
          <cell r="S66">
            <v>0.66054109239407865</v>
          </cell>
          <cell r="U66">
            <v>0.66054109239407865</v>
          </cell>
          <cell r="V66" t="str">
            <v>d</v>
          </cell>
          <cell r="W66">
            <v>3990</v>
          </cell>
          <cell r="X66" t="str">
            <v>b</v>
          </cell>
          <cell r="Y66">
            <v>0.3394589076059214</v>
          </cell>
          <cell r="Z66">
            <v>0.33945464351743931</v>
          </cell>
          <cell r="AA66" t="str">
            <v>a</v>
          </cell>
          <cell r="AB66">
            <v>3889</v>
          </cell>
          <cell r="AE66">
            <v>11754</v>
          </cell>
          <cell r="AF66" t="str">
            <v>e</v>
          </cell>
          <cell r="AG66">
            <v>1</v>
          </cell>
          <cell r="AJ66">
            <v>1985</v>
          </cell>
          <cell r="AK66">
            <v>3889</v>
          </cell>
          <cell r="AM66">
            <v>12706.650000000001</v>
          </cell>
          <cell r="AO66">
            <v>12072.060000000001</v>
          </cell>
          <cell r="AQ66">
            <v>24778.710000000003</v>
          </cell>
          <cell r="AR66">
            <v>6.3714862432501933</v>
          </cell>
          <cell r="AT66">
            <v>1985</v>
          </cell>
          <cell r="AU66">
            <v>3889</v>
          </cell>
          <cell r="AW66">
            <v>0</v>
          </cell>
          <cell r="AX66">
            <v>18018</v>
          </cell>
          <cell r="AY66">
            <v>18018</v>
          </cell>
          <cell r="AZ66">
            <v>4.6330676266392388</v>
          </cell>
          <cell r="BB66">
            <v>1985</v>
          </cell>
          <cell r="BC66">
            <v>3889</v>
          </cell>
          <cell r="BE66">
            <v>19252.5</v>
          </cell>
          <cell r="BF66">
            <v>9009</v>
          </cell>
          <cell r="BG66">
            <v>28261.5</v>
          </cell>
          <cell r="BH66">
            <v>7.2670352275649268</v>
          </cell>
        </row>
        <row r="67">
          <cell r="A67">
            <v>1986</v>
          </cell>
          <cell r="B67">
            <v>6039</v>
          </cell>
          <cell r="C67">
            <v>1.7999999999999999E-2</v>
          </cell>
          <cell r="D67">
            <v>109</v>
          </cell>
          <cell r="R67">
            <v>5930</v>
          </cell>
          <cell r="S67">
            <v>0.47160808016542072</v>
          </cell>
          <cell r="U67">
            <v>0.30296837480202321</v>
          </cell>
          <cell r="V67" t="str">
            <v>d</v>
          </cell>
          <cell r="W67">
            <v>6644</v>
          </cell>
          <cell r="X67" t="str">
            <v>b</v>
          </cell>
          <cell r="Y67">
            <v>0.52839191983457934</v>
          </cell>
          <cell r="Z67">
            <v>0.33945464351743931</v>
          </cell>
          <cell r="AA67" t="str">
            <v>a</v>
          </cell>
          <cell r="AB67">
            <v>1308</v>
          </cell>
          <cell r="AC67">
            <v>6999</v>
          </cell>
          <cell r="AE67">
            <v>19573</v>
          </cell>
          <cell r="AF67" t="str">
            <v>e</v>
          </cell>
          <cell r="AG67">
            <v>0.6424155724722832</v>
          </cell>
          <cell r="AJ67">
            <v>1986</v>
          </cell>
          <cell r="AK67">
            <v>6999</v>
          </cell>
          <cell r="AM67">
            <v>5945.9400000000005</v>
          </cell>
          <cell r="AO67">
            <v>16427.060000000001</v>
          </cell>
          <cell r="AQ67">
            <v>22373</v>
          </cell>
          <cell r="AR67">
            <v>3.1965995142163166</v>
          </cell>
          <cell r="AT67">
            <v>1986</v>
          </cell>
          <cell r="AU67">
            <v>6999</v>
          </cell>
          <cell r="AW67">
            <v>0</v>
          </cell>
          <cell r="AX67">
            <v>24518</v>
          </cell>
          <cell r="AY67">
            <v>24518</v>
          </cell>
          <cell r="AZ67">
            <v>3.5030718674096302</v>
          </cell>
          <cell r="BB67">
            <v>1986</v>
          </cell>
          <cell r="BC67">
            <v>6999</v>
          </cell>
          <cell r="BE67">
            <v>9009</v>
          </cell>
          <cell r="BF67">
            <v>12259</v>
          </cell>
          <cell r="BG67">
            <v>21268</v>
          </cell>
          <cell r="BH67">
            <v>3.0387198171167311</v>
          </cell>
        </row>
        <row r="68">
          <cell r="A68">
            <v>1987</v>
          </cell>
          <cell r="B68">
            <v>13003</v>
          </cell>
          <cell r="C68">
            <v>0.26200000000000001</v>
          </cell>
          <cell r="D68">
            <v>3407</v>
          </cell>
          <cell r="R68">
            <v>9596</v>
          </cell>
          <cell r="S68">
            <v>0.33934507390904589</v>
          </cell>
          <cell r="U68">
            <v>0.17435860164256123</v>
          </cell>
          <cell r="V68" t="str">
            <v>d</v>
          </cell>
          <cell r="W68">
            <v>18682</v>
          </cell>
          <cell r="X68" t="str">
            <v>b</v>
          </cell>
          <cell r="Y68">
            <v>0.66065492609095411</v>
          </cell>
          <cell r="Z68">
            <v>0.33945464351743931</v>
          </cell>
          <cell r="AA68" t="str">
            <v>a</v>
          </cell>
          <cell r="AB68">
            <v>4865</v>
          </cell>
          <cell r="AC68">
            <v>26757.5</v>
          </cell>
          <cell r="AE68">
            <v>55036</v>
          </cell>
          <cell r="AF68" t="str">
            <v>e</v>
          </cell>
          <cell r="AG68">
            <v>0.51380914310633041</v>
          </cell>
          <cell r="AJ68">
            <v>1987</v>
          </cell>
          <cell r="AK68">
            <v>26757.5</v>
          </cell>
          <cell r="AM68">
            <v>8090.9400000000005</v>
          </cell>
          <cell r="AO68">
            <v>38574.58</v>
          </cell>
          <cell r="AQ68">
            <v>46665.520000000004</v>
          </cell>
          <cell r="AR68">
            <v>1.7440164439876671</v>
          </cell>
          <cell r="AT68">
            <v>1987</v>
          </cell>
          <cell r="AU68">
            <v>26757.5</v>
          </cell>
          <cell r="AW68">
            <v>0</v>
          </cell>
          <cell r="AX68">
            <v>57574</v>
          </cell>
          <cell r="AY68">
            <v>57574</v>
          </cell>
          <cell r="AZ68">
            <v>2.1516957862281605</v>
          </cell>
          <cell r="BB68">
            <v>1987</v>
          </cell>
          <cell r="BC68">
            <v>26757.5</v>
          </cell>
          <cell r="BE68">
            <v>12259</v>
          </cell>
          <cell r="BF68">
            <v>28787</v>
          </cell>
          <cell r="BG68">
            <v>41046</v>
          </cell>
          <cell r="BH68">
            <v>1.5339998131365038</v>
          </cell>
        </row>
        <row r="69">
          <cell r="A69">
            <v>1988</v>
          </cell>
          <cell r="B69">
            <v>19009</v>
          </cell>
          <cell r="C69">
            <v>0.50700000000000001</v>
          </cell>
          <cell r="D69">
            <v>9638</v>
          </cell>
          <cell r="L69">
            <v>4428</v>
          </cell>
          <cell r="N69">
            <v>14066</v>
          </cell>
          <cell r="P69">
            <v>0.68519835063273138</v>
          </cell>
          <cell r="R69">
            <v>9371</v>
          </cell>
          <cell r="S69">
            <v>0.41756527938686394</v>
          </cell>
          <cell r="U69">
            <v>0.24337099078041813</v>
          </cell>
          <cell r="V69" t="str">
            <v>d</v>
          </cell>
          <cell r="W69">
            <v>13071</v>
          </cell>
          <cell r="X69" t="str">
            <v>b</v>
          </cell>
          <cell r="Y69">
            <v>0.58243472061313606</v>
          </cell>
          <cell r="Z69">
            <v>0.33945464351743931</v>
          </cell>
          <cell r="AA69" t="str">
            <v>a</v>
          </cell>
          <cell r="AC69">
            <v>16063</v>
          </cell>
          <cell r="AE69">
            <v>38505</v>
          </cell>
          <cell r="AF69" t="str">
            <v>e</v>
          </cell>
          <cell r="AG69">
            <v>0.58283339825996627</v>
          </cell>
          <cell r="AJ69">
            <v>1988</v>
          </cell>
          <cell r="AK69">
            <v>16063</v>
          </cell>
          <cell r="AM69">
            <v>18999.420000000002</v>
          </cell>
          <cell r="AO69">
            <v>35192.420000000006</v>
          </cell>
          <cell r="AQ69">
            <v>54191.840000000011</v>
          </cell>
          <cell r="AR69">
            <v>3.3737060324970436</v>
          </cell>
          <cell r="AT69">
            <v>1988</v>
          </cell>
          <cell r="AU69">
            <v>16063</v>
          </cell>
          <cell r="AW69">
            <v>0</v>
          </cell>
          <cell r="AX69">
            <v>52526</v>
          </cell>
          <cell r="AY69">
            <v>52526</v>
          </cell>
          <cell r="AZ69">
            <v>3.2699993774512857</v>
          </cell>
          <cell r="BB69">
            <v>1988</v>
          </cell>
          <cell r="BC69">
            <v>16063</v>
          </cell>
          <cell r="BE69">
            <v>28787</v>
          </cell>
          <cell r="BF69">
            <v>26263</v>
          </cell>
          <cell r="BG69">
            <v>55050</v>
          </cell>
          <cell r="BH69">
            <v>3.4271306729751605</v>
          </cell>
        </row>
        <row r="70">
          <cell r="A70">
            <v>1989</v>
          </cell>
          <cell r="B70">
            <v>14129</v>
          </cell>
          <cell r="C70">
            <v>0.75</v>
          </cell>
          <cell r="D70">
            <v>10597</v>
          </cell>
          <cell r="L70">
            <v>6862</v>
          </cell>
          <cell r="N70">
            <v>17459</v>
          </cell>
          <cell r="P70">
            <v>0.60696488916891</v>
          </cell>
          <cell r="R70">
            <v>3532</v>
          </cell>
          <cell r="S70">
            <v>0.36608623548922059</v>
          </cell>
          <cell r="U70">
            <v>0.19602619602619603</v>
          </cell>
          <cell r="V70" t="str">
            <v>d</v>
          </cell>
          <cell r="W70">
            <v>6116</v>
          </cell>
          <cell r="X70" t="str">
            <v>b</v>
          </cell>
          <cell r="Y70">
            <v>0.63391376451077941</v>
          </cell>
          <cell r="Z70">
            <v>0.33945464351743931</v>
          </cell>
          <cell r="AA70" t="str">
            <v>a</v>
          </cell>
          <cell r="AB70">
            <v>814</v>
          </cell>
          <cell r="AC70">
            <v>8370</v>
          </cell>
          <cell r="AE70">
            <v>18018</v>
          </cell>
          <cell r="AF70" t="str">
            <v>e</v>
          </cell>
          <cell r="AG70">
            <v>0.53546453546453543</v>
          </cell>
          <cell r="AJ70">
            <v>1989</v>
          </cell>
          <cell r="AK70">
            <v>8370</v>
          </cell>
          <cell r="AM70">
            <v>17333.580000000002</v>
          </cell>
          <cell r="AO70">
            <v>47593.450000000004</v>
          </cell>
          <cell r="AQ70">
            <v>64927.030000000006</v>
          </cell>
          <cell r="AR70">
            <v>7.7571123058542417</v>
          </cell>
          <cell r="AT70">
            <v>1989</v>
          </cell>
          <cell r="AU70">
            <v>8370</v>
          </cell>
          <cell r="AW70">
            <v>0</v>
          </cell>
          <cell r="AX70">
            <v>71035</v>
          </cell>
          <cell r="AY70">
            <v>71035</v>
          </cell>
          <cell r="AZ70">
            <v>8.4868578255675029</v>
          </cell>
          <cell r="BB70">
            <v>1989</v>
          </cell>
          <cell r="BC70">
            <v>8370</v>
          </cell>
          <cell r="BE70">
            <v>26263</v>
          </cell>
          <cell r="BF70">
            <v>35517.5</v>
          </cell>
          <cell r="BG70">
            <v>61780.5</v>
          </cell>
          <cell r="BH70">
            <v>7.3811827956989244</v>
          </cell>
        </row>
        <row r="71">
          <cell r="A71">
            <v>1990</v>
          </cell>
          <cell r="B71">
            <v>7497</v>
          </cell>
          <cell r="C71">
            <v>0.29899999999999999</v>
          </cell>
          <cell r="D71">
            <v>2242</v>
          </cell>
          <cell r="L71">
            <v>3370</v>
          </cell>
          <cell r="N71">
            <v>5612</v>
          </cell>
          <cell r="P71">
            <v>0.39950106913756239</v>
          </cell>
          <cell r="R71">
            <v>5255</v>
          </cell>
          <cell r="S71">
            <v>0.38702312564442481</v>
          </cell>
          <cell r="U71">
            <v>0.21433232726976098</v>
          </cell>
          <cell r="V71" t="str">
            <v>d</v>
          </cell>
          <cell r="W71">
            <v>8323</v>
          </cell>
          <cell r="X71" t="str">
            <v>b</v>
          </cell>
          <cell r="Y71">
            <v>0.61297687435557524</v>
          </cell>
          <cell r="Z71">
            <v>0.33945464351743931</v>
          </cell>
          <cell r="AA71" t="str">
            <v>a</v>
          </cell>
          <cell r="AC71">
            <v>10940</v>
          </cell>
          <cell r="AE71">
            <v>24518</v>
          </cell>
          <cell r="AF71" t="str">
            <v>e</v>
          </cell>
          <cell r="AG71">
            <v>0.55379721021290484</v>
          </cell>
          <cell r="AJ71">
            <v>1990</v>
          </cell>
          <cell r="AK71">
            <v>10940</v>
          </cell>
          <cell r="AM71">
            <v>23441.550000000003</v>
          </cell>
          <cell r="AO71">
            <v>63420.86</v>
          </cell>
          <cell r="AQ71">
            <v>86862.41</v>
          </cell>
          <cell r="AR71">
            <v>7.9398912248628886</v>
          </cell>
          <cell r="AT71">
            <v>1990</v>
          </cell>
          <cell r="AU71">
            <v>10940</v>
          </cell>
          <cell r="AW71">
            <v>0</v>
          </cell>
          <cell r="AX71">
            <v>94658</v>
          </cell>
          <cell r="AY71">
            <v>94658</v>
          </cell>
          <cell r="AZ71">
            <v>8.6524680073126135</v>
          </cell>
          <cell r="BB71">
            <v>1990</v>
          </cell>
          <cell r="BC71">
            <v>10940</v>
          </cell>
          <cell r="BE71">
            <v>35517.5</v>
          </cell>
          <cell r="BF71">
            <v>47329</v>
          </cell>
          <cell r="BG71">
            <v>82846.5</v>
          </cell>
          <cell r="BH71">
            <v>7.572806215722121</v>
          </cell>
        </row>
        <row r="72">
          <cell r="A72">
            <v>1991</v>
          </cell>
          <cell r="B72">
            <v>16450</v>
          </cell>
          <cell r="C72">
            <v>0.46800000000000003</v>
          </cell>
          <cell r="D72">
            <v>7699</v>
          </cell>
          <cell r="L72">
            <v>8322</v>
          </cell>
          <cell r="N72">
            <v>16021</v>
          </cell>
          <cell r="P72">
            <v>0.48055676924037199</v>
          </cell>
          <cell r="R72">
            <v>8751</v>
          </cell>
          <cell r="S72">
            <v>0.30927725746598339</v>
          </cell>
          <cell r="U72">
            <v>0.15199569250008685</v>
          </cell>
          <cell r="V72" t="str">
            <v>d</v>
          </cell>
          <cell r="W72">
            <v>19544</v>
          </cell>
          <cell r="X72" t="str">
            <v>b</v>
          </cell>
          <cell r="Y72">
            <v>0.69072274253401666</v>
          </cell>
          <cell r="Z72">
            <v>0.33945464351743931</v>
          </cell>
          <cell r="AA72" t="str">
            <v>a</v>
          </cell>
          <cell r="AB72">
            <v>5254</v>
          </cell>
          <cell r="AC72">
            <v>29279</v>
          </cell>
          <cell r="AE72">
            <v>57574</v>
          </cell>
          <cell r="AF72" t="str">
            <v>e</v>
          </cell>
          <cell r="AG72">
            <v>0.49145447597874042</v>
          </cell>
          <cell r="AJ72">
            <v>1991</v>
          </cell>
          <cell r="AK72">
            <v>29279</v>
          </cell>
          <cell r="AM72">
            <v>31237.140000000003</v>
          </cell>
          <cell r="AO72">
            <v>36253.03</v>
          </cell>
          <cell r="AQ72">
            <v>67490.17</v>
          </cell>
          <cell r="AR72">
            <v>2.3050708699067592</v>
          </cell>
          <cell r="AT72">
            <v>1991</v>
          </cell>
          <cell r="AU72">
            <v>29279</v>
          </cell>
          <cell r="AW72">
            <v>0</v>
          </cell>
          <cell r="AX72">
            <v>54109</v>
          </cell>
          <cell r="AY72">
            <v>54109</v>
          </cell>
          <cell r="AZ72">
            <v>1.8480480890740805</v>
          </cell>
          <cell r="BB72">
            <v>1991</v>
          </cell>
          <cell r="BC72">
            <v>29279</v>
          </cell>
          <cell r="BE72">
            <v>47329</v>
          </cell>
          <cell r="BF72">
            <v>27054.5</v>
          </cell>
          <cell r="BG72">
            <v>74383.5</v>
          </cell>
          <cell r="BH72">
            <v>2.5405068479114723</v>
          </cell>
        </row>
        <row r="73">
          <cell r="A73">
            <v>1992</v>
          </cell>
          <cell r="B73">
            <v>20033</v>
          </cell>
          <cell r="C73">
            <v>0.17</v>
          </cell>
          <cell r="D73">
            <v>3406</v>
          </cell>
          <cell r="L73">
            <v>2324</v>
          </cell>
          <cell r="N73">
            <v>5730</v>
          </cell>
          <cell r="P73">
            <v>0.59441535776614307</v>
          </cell>
          <cell r="R73">
            <v>16627</v>
          </cell>
          <cell r="S73">
            <v>0.48254345996459352</v>
          </cell>
          <cell r="U73">
            <v>0.31654799527852873</v>
          </cell>
          <cell r="V73" t="str">
            <v>d</v>
          </cell>
          <cell r="W73">
            <v>17830</v>
          </cell>
          <cell r="X73" t="str">
            <v>b</v>
          </cell>
          <cell r="Y73">
            <v>0.51745654003540642</v>
          </cell>
          <cell r="Z73">
            <v>0.33945464351743931</v>
          </cell>
          <cell r="AA73" t="str">
            <v>a</v>
          </cell>
          <cell r="AC73">
            <v>18069</v>
          </cell>
          <cell r="AE73">
            <v>52526</v>
          </cell>
          <cell r="AF73" t="str">
            <v>e</v>
          </cell>
          <cell r="AG73">
            <v>0.65599893386132579</v>
          </cell>
          <cell r="AJ73">
            <v>1992</v>
          </cell>
          <cell r="AK73">
            <v>18069</v>
          </cell>
          <cell r="AM73">
            <v>17855.97</v>
          </cell>
          <cell r="AO73">
            <v>42863.25</v>
          </cell>
          <cell r="AQ73">
            <v>60719.22</v>
          </cell>
          <cell r="AR73">
            <v>3.3604084343350489</v>
          </cell>
          <cell r="AT73">
            <v>1992</v>
          </cell>
          <cell r="AU73">
            <v>18069</v>
          </cell>
          <cell r="AW73">
            <v>0</v>
          </cell>
          <cell r="AX73">
            <v>63975</v>
          </cell>
          <cell r="AY73">
            <v>63975</v>
          </cell>
          <cell r="AZ73">
            <v>3.5405943881786484</v>
          </cell>
          <cell r="BB73">
            <v>1992</v>
          </cell>
          <cell r="BC73">
            <v>18069</v>
          </cell>
          <cell r="BE73">
            <v>27054.5</v>
          </cell>
          <cell r="BF73">
            <v>31987.5</v>
          </cell>
          <cell r="BG73">
            <v>59042</v>
          </cell>
          <cell r="BH73">
            <v>3.2675853672034978</v>
          </cell>
        </row>
        <row r="74">
          <cell r="A74">
            <v>1993</v>
          </cell>
          <cell r="B74">
            <v>27610</v>
          </cell>
          <cell r="C74">
            <v>0.27900000000000003</v>
          </cell>
          <cell r="D74">
            <v>7703</v>
          </cell>
          <cell r="E74">
            <v>0.41514416599299381</v>
          </cell>
          <cell r="F74">
            <v>0.2734469293574725</v>
          </cell>
          <cell r="H74">
            <v>10852</v>
          </cell>
          <cell r="I74">
            <v>0.58485583400700625</v>
          </cell>
          <cell r="J74">
            <v>0.38523251686190985</v>
          </cell>
          <cell r="L74">
            <v>9615</v>
          </cell>
          <cell r="N74">
            <v>28170</v>
          </cell>
          <cell r="P74">
            <v>0.65867944621938235</v>
          </cell>
          <cell r="R74">
            <v>19907</v>
          </cell>
          <cell r="S74">
            <v>0.42111609409375528</v>
          </cell>
          <cell r="U74">
            <v>0.28024213415921728</v>
          </cell>
          <cell r="W74">
            <v>27365</v>
          </cell>
          <cell r="Y74">
            <v>0.57888390590624472</v>
          </cell>
          <cell r="Z74">
            <v>0.38523251686190985</v>
          </cell>
          <cell r="AA74" t="str">
            <v>c</v>
          </cell>
          <cell r="AC74">
            <v>23763</v>
          </cell>
          <cell r="AE74">
            <v>71035</v>
          </cell>
          <cell r="AG74">
            <v>0.66547476596044208</v>
          </cell>
          <cell r="AJ74">
            <v>1993</v>
          </cell>
          <cell r="AK74">
            <v>23763</v>
          </cell>
          <cell r="AM74">
            <v>21111.75</v>
          </cell>
          <cell r="AO74">
            <v>17902.400000000001</v>
          </cell>
          <cell r="AQ74">
            <v>39014.15</v>
          </cell>
          <cell r="AR74">
            <v>1.641802381854143</v>
          </cell>
          <cell r="AT74">
            <v>1993</v>
          </cell>
          <cell r="AU74">
            <v>23763</v>
          </cell>
          <cell r="AW74">
            <v>0</v>
          </cell>
          <cell r="AX74">
            <v>26720</v>
          </cell>
          <cell r="AY74">
            <v>26720</v>
          </cell>
          <cell r="AZ74">
            <v>1.1244371501914741</v>
          </cell>
          <cell r="BB74">
            <v>1992</v>
          </cell>
          <cell r="BC74">
            <v>23763</v>
          </cell>
          <cell r="BE74">
            <v>31987.5</v>
          </cell>
          <cell r="BF74">
            <v>13360</v>
          </cell>
          <cell r="BG74">
            <v>45347.5</v>
          </cell>
          <cell r="BH74">
            <v>1.9083238648318814</v>
          </cell>
        </row>
        <row r="75">
          <cell r="A75">
            <v>1994</v>
          </cell>
          <cell r="B75">
            <v>17665</v>
          </cell>
          <cell r="C75">
            <v>0.34899999999999998</v>
          </cell>
          <cell r="D75">
            <v>6165</v>
          </cell>
          <cell r="E75">
            <v>0.23598086124401915</v>
          </cell>
          <cell r="F75">
            <v>0.19728631316202119</v>
          </cell>
          <cell r="H75">
            <v>19960</v>
          </cell>
          <cell r="I75">
            <v>0.76401913875598082</v>
          </cell>
          <cell r="J75">
            <v>0.63874043969407024</v>
          </cell>
          <cell r="L75">
            <v>5124</v>
          </cell>
          <cell r="N75">
            <v>31249</v>
          </cell>
          <cell r="P75">
            <v>0.8360267528560914</v>
          </cell>
          <cell r="R75">
            <v>11500</v>
          </cell>
          <cell r="S75">
            <v>0.15980656457574832</v>
          </cell>
          <cell r="U75">
            <v>0.12148999556297407</v>
          </cell>
          <cell r="W75">
            <v>60462</v>
          </cell>
          <cell r="Y75">
            <v>0.84019343542425173</v>
          </cell>
          <cell r="Z75">
            <v>0.63874043969407024</v>
          </cell>
          <cell r="AA75" t="str">
            <v>c</v>
          </cell>
          <cell r="AB75">
            <v>6979</v>
          </cell>
          <cell r="AC75">
            <v>22696</v>
          </cell>
          <cell r="AE75">
            <v>94658</v>
          </cell>
          <cell r="AG75">
            <v>0.76023157049589052</v>
          </cell>
          <cell r="AJ75">
            <v>1994</v>
          </cell>
          <cell r="AK75">
            <v>22696</v>
          </cell>
          <cell r="AM75">
            <v>8817.6</v>
          </cell>
          <cell r="AO75">
            <v>23908.95</v>
          </cell>
          <cell r="AQ75">
            <v>32726.550000000003</v>
          </cell>
          <cell r="AR75">
            <v>1.441952326401128</v>
          </cell>
          <cell r="AT75">
            <v>1994</v>
          </cell>
          <cell r="AU75">
            <v>22696</v>
          </cell>
          <cell r="AW75">
            <v>0</v>
          </cell>
          <cell r="AX75">
            <v>35685</v>
          </cell>
          <cell r="AY75">
            <v>35685</v>
          </cell>
          <cell r="AZ75">
            <v>1.5723034896016919</v>
          </cell>
          <cell r="BB75">
            <v>1992</v>
          </cell>
          <cell r="BC75">
            <v>22696</v>
          </cell>
          <cell r="BE75">
            <v>13360</v>
          </cell>
          <cell r="BF75">
            <v>17842.5</v>
          </cell>
          <cell r="BG75">
            <v>31202.5</v>
          </cell>
          <cell r="BH75">
            <v>1.3748017271765951</v>
          </cell>
        </row>
        <row r="76">
          <cell r="A76">
            <v>1995</v>
          </cell>
          <cell r="B76">
            <v>14451</v>
          </cell>
          <cell r="C76">
            <v>0.20699999999999999</v>
          </cell>
          <cell r="D76">
            <v>2991</v>
          </cell>
          <cell r="E76">
            <v>0.33900034002040125</v>
          </cell>
          <cell r="F76">
            <v>0.30236554791750908</v>
          </cell>
          <cell r="H76">
            <v>5832</v>
          </cell>
          <cell r="I76">
            <v>0.66099965997959875</v>
          </cell>
          <cell r="J76">
            <v>0.58956732713303683</v>
          </cell>
          <cell r="L76">
            <v>1069</v>
          </cell>
          <cell r="N76">
            <v>9892</v>
          </cell>
          <cell r="P76">
            <v>0.89193287505054586</v>
          </cell>
          <cell r="R76">
            <v>11460</v>
          </cell>
          <cell r="S76">
            <v>0.26429279767533037</v>
          </cell>
          <cell r="U76">
            <v>0.21179471067659725</v>
          </cell>
          <cell r="W76">
            <v>31901</v>
          </cell>
          <cell r="Y76">
            <v>0.73570720232466968</v>
          </cell>
          <cell r="Z76">
            <v>0.58956732713303683</v>
          </cell>
          <cell r="AA76" t="str">
            <v>c</v>
          </cell>
          <cell r="AC76">
            <v>10748</v>
          </cell>
          <cell r="AE76">
            <v>54109</v>
          </cell>
          <cell r="AG76">
            <v>0.801363913581844</v>
          </cell>
          <cell r="AJ76">
            <v>1995</v>
          </cell>
          <cell r="AK76">
            <v>10748</v>
          </cell>
          <cell r="AM76">
            <v>11776.050000000001</v>
          </cell>
          <cell r="AO76">
            <v>0</v>
          </cell>
          <cell r="AQ76">
            <v>11776.050000000001</v>
          </cell>
          <cell r="AR76">
            <v>1.0956503535541497</v>
          </cell>
          <cell r="AT76">
            <v>1995</v>
          </cell>
          <cell r="AU76">
            <v>10748</v>
          </cell>
          <cell r="AW76">
            <v>0</v>
          </cell>
          <cell r="AX76">
            <v>0</v>
          </cell>
          <cell r="AY76">
            <v>0</v>
          </cell>
          <cell r="AZ76">
            <v>0</v>
          </cell>
          <cell r="BB76">
            <v>1992</v>
          </cell>
          <cell r="BC76">
            <v>10748</v>
          </cell>
          <cell r="BE76">
            <v>17842.5</v>
          </cell>
          <cell r="BF76">
            <v>0</v>
          </cell>
          <cell r="BG76">
            <v>17842.5</v>
          </cell>
          <cell r="BH76">
            <v>1.6600762932638631</v>
          </cell>
        </row>
        <row r="77">
          <cell r="A77">
            <v>1996</v>
          </cell>
          <cell r="B77">
            <v>16753</v>
          </cell>
          <cell r="C77">
            <v>0.23</v>
          </cell>
          <cell r="D77">
            <v>3853</v>
          </cell>
          <cell r="E77">
            <v>0.42882582081246523</v>
          </cell>
          <cell r="F77">
            <v>0.40863294092692759</v>
          </cell>
          <cell r="H77">
            <v>5132</v>
          </cell>
          <cell r="I77">
            <v>0.57117417918753477</v>
          </cell>
          <cell r="J77">
            <v>0.54427829038074027</v>
          </cell>
          <cell r="L77">
            <v>444</v>
          </cell>
          <cell r="N77">
            <v>9429</v>
          </cell>
          <cell r="P77">
            <v>0.95291123130766786</v>
          </cell>
          <cell r="R77">
            <v>12900</v>
          </cell>
          <cell r="S77">
            <v>0.27032690695725065</v>
          </cell>
          <cell r="U77">
            <v>0.20164126611957797</v>
          </cell>
          <cell r="W77">
            <v>34820</v>
          </cell>
          <cell r="Y77">
            <v>0.72967309304274941</v>
          </cell>
          <cell r="Z77">
            <v>0.54427829038074027</v>
          </cell>
          <cell r="AA77" t="str">
            <v>c</v>
          </cell>
          <cell r="AC77">
            <v>16255</v>
          </cell>
          <cell r="AE77">
            <v>63975</v>
          </cell>
          <cell r="AG77">
            <v>0.74591637358343099</v>
          </cell>
          <cell r="AJ77">
            <v>1996</v>
          </cell>
          <cell r="AK77">
            <v>16255</v>
          </cell>
          <cell r="AM77">
            <v>0</v>
          </cell>
          <cell r="AT77">
            <v>1996</v>
          </cell>
          <cell r="AU77">
            <v>16255</v>
          </cell>
          <cell r="AW77">
            <v>0</v>
          </cell>
          <cell r="AY77">
            <v>0</v>
          </cell>
          <cell r="AZ77">
            <v>0</v>
          </cell>
          <cell r="BB77">
            <v>1992</v>
          </cell>
          <cell r="BC77">
            <v>16255</v>
          </cell>
          <cell r="BH77">
            <v>0</v>
          </cell>
        </row>
        <row r="78">
          <cell r="A78">
            <v>1997</v>
          </cell>
          <cell r="B78">
            <v>7756</v>
          </cell>
          <cell r="C78">
            <v>0</v>
          </cell>
          <cell r="D78">
            <v>0</v>
          </cell>
          <cell r="E78">
            <v>0</v>
          </cell>
          <cell r="F78">
            <v>0</v>
          </cell>
          <cell r="H78">
            <v>0</v>
          </cell>
          <cell r="I78">
            <v>0</v>
          </cell>
          <cell r="J78">
            <v>0</v>
          </cell>
          <cell r="L78">
            <v>0</v>
          </cell>
          <cell r="N78">
            <v>0</v>
          </cell>
          <cell r="P78">
            <v>0</v>
          </cell>
          <cell r="R78">
            <v>7756</v>
          </cell>
          <cell r="S78">
            <v>0.46095328658029239</v>
          </cell>
          <cell r="U78">
            <v>0.29026946107784429</v>
          </cell>
          <cell r="W78">
            <v>9070</v>
          </cell>
          <cell r="X78" t="str">
            <v>b</v>
          </cell>
          <cell r="Y78">
            <v>0.53904671341970756</v>
          </cell>
          <cell r="Z78">
            <v>0.33945464351743931</v>
          </cell>
          <cell r="AA78" t="str">
            <v>a</v>
          </cell>
          <cell r="AC78">
            <v>9894</v>
          </cell>
          <cell r="AE78">
            <v>26720</v>
          </cell>
          <cell r="AF78" t="str">
            <v>e</v>
          </cell>
          <cell r="AG78">
            <v>0.62971556886227542</v>
          </cell>
        </row>
        <row r="79">
          <cell r="A79">
            <v>1998</v>
          </cell>
          <cell r="B79">
            <v>14469</v>
          </cell>
          <cell r="C79">
            <v>0</v>
          </cell>
          <cell r="D79">
            <v>0</v>
          </cell>
          <cell r="E79">
            <v>0</v>
          </cell>
          <cell r="F79">
            <v>0</v>
          </cell>
          <cell r="H79">
            <v>0</v>
          </cell>
          <cell r="I79">
            <v>0</v>
          </cell>
          <cell r="J79">
            <v>0</v>
          </cell>
          <cell r="L79">
            <v>0</v>
          </cell>
          <cell r="N79">
            <v>0</v>
          </cell>
          <cell r="P79">
            <v>0</v>
          </cell>
          <cell r="R79">
            <v>14469</v>
          </cell>
          <cell r="S79">
            <v>0.70491084478222743</v>
          </cell>
          <cell r="U79">
            <v>0.40546448087431691</v>
          </cell>
          <cell r="W79">
            <v>6057</v>
          </cell>
          <cell r="X79" t="str">
            <v>b</v>
          </cell>
          <cell r="Y79">
            <v>0.29508915521777257</v>
          </cell>
          <cell r="Z79">
            <v>0.16972732175871966</v>
          </cell>
          <cell r="AA79" t="str">
            <v>a</v>
          </cell>
          <cell r="AC79">
            <v>15159</v>
          </cell>
          <cell r="AE79">
            <v>35685</v>
          </cell>
          <cell r="AF79" t="str">
            <v>e</v>
          </cell>
          <cell r="AG79">
            <v>0.57519966372425391</v>
          </cell>
        </row>
        <row r="80">
          <cell r="A80">
            <v>1999</v>
          </cell>
          <cell r="AC80">
            <v>3017</v>
          </cell>
        </row>
        <row r="81">
          <cell r="A81" t="str">
            <v>1993-1997</v>
          </cell>
          <cell r="AJ81" t="str">
            <v>1981-1994</v>
          </cell>
          <cell r="AT81" t="str">
            <v>1981-1994</v>
          </cell>
          <cell r="BB81" t="str">
            <v>1981-1994</v>
          </cell>
        </row>
        <row r="82">
          <cell r="A82" t="str">
            <v>mean</v>
          </cell>
          <cell r="D82">
            <v>5178</v>
          </cell>
          <cell r="E82">
            <v>0.35473779701746988</v>
          </cell>
          <cell r="F82">
            <v>0.2954329328409826</v>
          </cell>
          <cell r="H82">
            <v>10444</v>
          </cell>
          <cell r="I82">
            <v>0.64526220298253012</v>
          </cell>
          <cell r="J82">
            <v>0.53945464351743933</v>
          </cell>
          <cell r="L82">
            <v>4063</v>
          </cell>
          <cell r="N82">
            <v>19685</v>
          </cell>
          <cell r="P82">
            <v>0.83488757635842192</v>
          </cell>
          <cell r="R82">
            <v>12704.6</v>
          </cell>
          <cell r="S82">
            <v>0.27888559082552117</v>
          </cell>
          <cell r="U82">
            <v>0.20379202662959164</v>
          </cell>
          <cell r="W82">
            <v>38637</v>
          </cell>
          <cell r="Y82">
            <v>0.72111440917447889</v>
          </cell>
          <cell r="Z82">
            <v>0.53945464351743933</v>
          </cell>
          <cell r="AC82">
            <v>18365.5</v>
          </cell>
          <cell r="AE82">
            <v>70944.25</v>
          </cell>
          <cell r="AG82">
            <v>0.74324665590540184</v>
          </cell>
          <cell r="AJ82" t="str">
            <v>average</v>
          </cell>
          <cell r="AK82">
            <v>14660.678571428571</v>
          </cell>
          <cell r="AM82">
            <v>14368.64785714286</v>
          </cell>
          <cell r="AO82">
            <v>29847.830000000005</v>
          </cell>
          <cell r="AQ82">
            <v>44216.477857142869</v>
          </cell>
          <cell r="AR82">
            <v>4.434720636216257</v>
          </cell>
          <cell r="AT82" t="str">
            <v>average</v>
          </cell>
          <cell r="AU82">
            <v>14660.678571428571</v>
          </cell>
          <cell r="AW82">
            <v>0</v>
          </cell>
          <cell r="AX82">
            <v>44549</v>
          </cell>
          <cell r="AY82">
            <v>44549</v>
          </cell>
          <cell r="AZ82">
            <v>4.6985539188097372</v>
          </cell>
          <cell r="BB82" t="str">
            <v>average</v>
          </cell>
          <cell r="BC82">
            <v>14660.678571428571</v>
          </cell>
          <cell r="BE82">
            <v>21770.678571428572</v>
          </cell>
          <cell r="BF82">
            <v>22274.5</v>
          </cell>
          <cell r="BG82">
            <v>44045.178571428572</v>
          </cell>
          <cell r="BH82">
            <v>4.2988065209408273</v>
          </cell>
        </row>
        <row r="83">
          <cell r="A83" t="str">
            <v>median</v>
          </cell>
          <cell r="D83">
            <v>5009</v>
          </cell>
          <cell r="E83">
            <v>0.37707225300669756</v>
          </cell>
          <cell r="F83">
            <v>0.28790623863749076</v>
          </cell>
          <cell r="H83">
            <v>8342</v>
          </cell>
          <cell r="I83">
            <v>0.62292774699330256</v>
          </cell>
          <cell r="J83">
            <v>0.5669228087568885</v>
          </cell>
          <cell r="L83">
            <v>3096.5</v>
          </cell>
          <cell r="N83">
            <v>19031</v>
          </cell>
          <cell r="P83">
            <v>0.86397981395331858</v>
          </cell>
          <cell r="R83">
            <v>11500</v>
          </cell>
          <cell r="S83">
            <v>0.26730985231629051</v>
          </cell>
          <cell r="U83">
            <v>0.20671798839808761</v>
          </cell>
          <cell r="W83">
            <v>33360.5</v>
          </cell>
          <cell r="Y83">
            <v>0.73269014768370955</v>
          </cell>
          <cell r="Z83">
            <v>0.5669228087568885</v>
          </cell>
          <cell r="AC83">
            <v>19475.5</v>
          </cell>
          <cell r="AE83">
            <v>67505</v>
          </cell>
          <cell r="AG83">
            <v>0.75307397203966076</v>
          </cell>
          <cell r="AJ83" t="str">
            <v>median</v>
          </cell>
          <cell r="AK83">
            <v>13501.5</v>
          </cell>
          <cell r="AM83">
            <v>15020.115000000002</v>
          </cell>
          <cell r="AO83">
            <v>30495.385000000002</v>
          </cell>
          <cell r="AQ83">
            <v>43646.720000000001</v>
          </cell>
          <cell r="AR83">
            <v>2.847765198284629</v>
          </cell>
          <cell r="AT83" t="str">
            <v>median</v>
          </cell>
          <cell r="AU83">
            <v>13501.5</v>
          </cell>
          <cell r="AW83">
            <v>0</v>
          </cell>
          <cell r="AX83">
            <v>45515.5</v>
          </cell>
          <cell r="AY83">
            <v>45515.5</v>
          </cell>
          <cell r="AZ83">
            <v>3.0741908651962309</v>
          </cell>
          <cell r="BB83" t="str">
            <v>median</v>
          </cell>
          <cell r="BC83">
            <v>13501.5</v>
          </cell>
          <cell r="BE83">
            <v>22757.75</v>
          </cell>
          <cell r="BF83">
            <v>22757.75</v>
          </cell>
          <cell r="BG83">
            <v>43196.75</v>
          </cell>
          <cell r="BH83">
            <v>2.7896133325141017</v>
          </cell>
        </row>
        <row r="84">
          <cell r="A84" t="str">
            <v>a</v>
          </cell>
          <cell r="D84" t="str">
            <v>Assumed commercial exploitation rate based on average commercial exploitation rate on hatchery-origin coho salmon returning to the Little Susitna River during 1993-1996</v>
          </cell>
        </row>
        <row r="85">
          <cell r="A85" t="str">
            <v>b</v>
          </cell>
          <cell r="D85" t="str">
            <v>Based on the assumed commercial exploitation rate in footnote "a".</v>
          </cell>
        </row>
        <row r="86">
          <cell r="A86" t="str">
            <v>c</v>
          </cell>
          <cell r="D86" t="str">
            <v>Based on estimated commercial exploitation rate of hatchery-origin salmon.</v>
          </cell>
        </row>
        <row r="87">
          <cell r="A87" t="str">
            <v>d</v>
          </cell>
          <cell r="D87" t="str">
            <v>Based on the assumed total run size.  See footnote "e".</v>
          </cell>
        </row>
        <row r="88">
          <cell r="A88" t="str">
            <v>e</v>
          </cell>
          <cell r="D88" t="str">
            <v>Based on the recreational harvest, weir-based escapement count, and the average commercial exploitation rate on hatchery coho salmon returning to the Little Susitna River during 1993-1996.</v>
          </cell>
        </row>
        <row r="89">
          <cell r="A89" t="str">
            <v>f</v>
          </cell>
          <cell r="D89" t="str">
            <v>Assumed recreational harvest based on median catch during 1993-1996.</v>
          </cell>
        </row>
        <row r="90">
          <cell r="A90" t="str">
            <v>g</v>
          </cell>
          <cell r="D90" t="str">
            <v>Commercial exploitation rate reduced by 50%</v>
          </cell>
        </row>
        <row r="96">
          <cell r="A96" t="str">
            <v>Table 30.</v>
          </cell>
          <cell r="D96" t="str">
            <v>Recreational harvest of hatchery and non-hatchery coho salmon and commercial harvest estimates of hatchery coho salmon, Little Susitna River coho salmon stock, 1978-1998.</v>
          </cell>
        </row>
        <row r="97">
          <cell r="C97" t="str">
            <v>Bartlett 98</v>
          </cell>
          <cell r="Z97">
            <v>-0.2</v>
          </cell>
          <cell r="AJ97" t="str">
            <v>Table 31.</v>
          </cell>
          <cell r="AK97" t="str">
            <v>Estimated total brood year return of wild Little Su coho salmon by age</v>
          </cell>
          <cell r="AT97" t="str">
            <v>Table.32</v>
          </cell>
          <cell r="AU97" t="str">
            <v>Estimated total brood year return of wild Little Su coho salmon by age</v>
          </cell>
          <cell r="BB97" t="str">
            <v>Table 33.</v>
          </cell>
          <cell r="BC97" t="str">
            <v>Estimated total brood year return of wild Little Su coho salmon by age</v>
          </cell>
        </row>
        <row r="98">
          <cell r="C98" t="str">
            <v xml:space="preserve">Proportion </v>
          </cell>
          <cell r="D98" t="str">
            <v>Hatchery-origin coho salmon</v>
          </cell>
          <cell r="R98" t="str">
            <v>Wild-origin coho salmon</v>
          </cell>
          <cell r="AK98" t="str">
            <v>class, 1981-1993.  Return data are based on an assumed age class return</v>
          </cell>
          <cell r="AU98" t="str">
            <v>class, 1981-1993.  Return data are based on an assumed age class return</v>
          </cell>
          <cell r="BC98" t="str">
            <v>class, 1981-1993.  Return data are based on an assumed age class return</v>
          </cell>
        </row>
        <row r="99">
          <cell r="B99" t="str">
            <v>Total SWHS</v>
          </cell>
          <cell r="C99" t="str">
            <v xml:space="preserve">of hatchery </v>
          </cell>
          <cell r="D99" t="str">
            <v>Recreational harvest</v>
          </cell>
          <cell r="H99" t="str">
            <v>Commercial harvest</v>
          </cell>
          <cell r="K99" t="str">
            <v/>
          </cell>
          <cell r="P99" t="str">
            <v>Total</v>
          </cell>
          <cell r="R99" t="str">
            <v>Recreational harvest</v>
          </cell>
          <cell r="W99" t="str">
            <v>Commercial harvest</v>
          </cell>
          <cell r="AA99" t="str">
            <v/>
          </cell>
          <cell r="AB99" t="str">
            <v>Escapement Counts</v>
          </cell>
          <cell r="AG99" t="str">
            <v>Total</v>
          </cell>
          <cell r="AK99" t="str">
            <v>of 0.33:0.67 for age 3 and 4 salmon, respectively.</v>
          </cell>
          <cell r="AU99" t="str">
            <v>of 0.00:1.00 for age 3 and 4 salmon, respectively.</v>
          </cell>
          <cell r="BC99" t="str">
            <v>of 0.50:0.50 for age 3 and 4 salmon, respectively</v>
          </cell>
        </row>
        <row r="100">
          <cell r="B100" t="str">
            <v xml:space="preserve">estimated </v>
          </cell>
          <cell r="C100" t="str">
            <v>salmon in</v>
          </cell>
          <cell r="F100" t="str">
            <v xml:space="preserve">Exploitation </v>
          </cell>
          <cell r="J100" t="str">
            <v xml:space="preserve">Exploitation </v>
          </cell>
          <cell r="L100" t="str">
            <v>Escapement</v>
          </cell>
          <cell r="N100" t="str">
            <v>Total Run</v>
          </cell>
          <cell r="P100" t="str">
            <v>Exploitation</v>
          </cell>
          <cell r="U100" t="str">
            <v xml:space="preserve">Exploitation </v>
          </cell>
          <cell r="Z100" t="str">
            <v xml:space="preserve">Exploitation </v>
          </cell>
          <cell r="AB100" t="str">
            <v>aerial /foot</v>
          </cell>
          <cell r="AC100" t="str">
            <v xml:space="preserve">weir </v>
          </cell>
          <cell r="AE100" t="str">
            <v>Total Run</v>
          </cell>
          <cell r="AG100" t="str">
            <v>Exploitation</v>
          </cell>
          <cell r="AJ100" t="str">
            <v>Brood</v>
          </cell>
          <cell r="AQ100" t="str">
            <v>Total</v>
          </cell>
          <cell r="AR100" t="str">
            <v>Return per</v>
          </cell>
          <cell r="AT100" t="str">
            <v>Brood</v>
          </cell>
          <cell r="AY100" t="str">
            <v>Total</v>
          </cell>
          <cell r="AZ100" t="str">
            <v>Return per</v>
          </cell>
          <cell r="BB100" t="str">
            <v>Brood</v>
          </cell>
          <cell r="BG100" t="str">
            <v>Total</v>
          </cell>
          <cell r="BH100" t="str">
            <v>Return per</v>
          </cell>
        </row>
        <row r="101">
          <cell r="B101" t="str">
            <v>sport harvest</v>
          </cell>
          <cell r="C101" t="str">
            <v>the harvest</v>
          </cell>
          <cell r="D101" t="str">
            <v>number</v>
          </cell>
          <cell r="E101" t="str">
            <v>proportion</v>
          </cell>
          <cell r="F101" t="str">
            <v>Rate</v>
          </cell>
          <cell r="H101" t="str">
            <v>number</v>
          </cell>
          <cell r="I101" t="str">
            <v>proportion</v>
          </cell>
          <cell r="J101" t="str">
            <v>Rate</v>
          </cell>
          <cell r="L101" t="str">
            <v>number</v>
          </cell>
          <cell r="N101" t="str">
            <v>number</v>
          </cell>
          <cell r="P101" t="str">
            <v>Rate</v>
          </cell>
          <cell r="R101" t="str">
            <v>number</v>
          </cell>
          <cell r="S101" t="str">
            <v>proportion</v>
          </cell>
          <cell r="U101" t="str">
            <v>Rate</v>
          </cell>
          <cell r="W101" t="str">
            <v>number</v>
          </cell>
          <cell r="Y101" t="str">
            <v>proportion</v>
          </cell>
          <cell r="Z101" t="str">
            <v>Rate</v>
          </cell>
          <cell r="AB101" t="str">
            <v>survey cnts</v>
          </cell>
          <cell r="AC101" t="str">
            <v>counts</v>
          </cell>
          <cell r="AE101" t="str">
            <v>number</v>
          </cell>
          <cell r="AG101" t="str">
            <v>Rate</v>
          </cell>
          <cell r="AJ101" t="str">
            <v>Year</v>
          </cell>
          <cell r="AK101" t="str">
            <v>Escapement</v>
          </cell>
          <cell r="AM101" t="str">
            <v>Brood year return by age class</v>
          </cell>
          <cell r="AQ101" t="str">
            <v>Return</v>
          </cell>
          <cell r="AR101" t="str">
            <v>Spawner</v>
          </cell>
          <cell r="AT101" t="str">
            <v>Year</v>
          </cell>
          <cell r="AU101" t="str">
            <v>Escapement</v>
          </cell>
          <cell r="AW101" t="str">
            <v>Brood year return by age class</v>
          </cell>
          <cell r="AY101" t="str">
            <v>Return</v>
          </cell>
          <cell r="AZ101" t="str">
            <v>Spawner</v>
          </cell>
          <cell r="BB101" t="str">
            <v>Year</v>
          </cell>
          <cell r="BC101" t="str">
            <v>Escapement</v>
          </cell>
          <cell r="BE101" t="str">
            <v>Brood year return by age class</v>
          </cell>
          <cell r="BG101" t="str">
            <v>Return</v>
          </cell>
          <cell r="BH101" t="str">
            <v>Spawner</v>
          </cell>
        </row>
        <row r="102">
          <cell r="A102">
            <v>1977</v>
          </cell>
        </row>
        <row r="103">
          <cell r="A103">
            <v>1978</v>
          </cell>
          <cell r="B103">
            <v>4865</v>
          </cell>
          <cell r="R103">
            <v>4865</v>
          </cell>
          <cell r="AK103" t="str">
            <v>Counts</v>
          </cell>
          <cell r="AM103">
            <v>3</v>
          </cell>
          <cell r="AO103">
            <v>4</v>
          </cell>
          <cell r="AU103" t="str">
            <v>Counts</v>
          </cell>
          <cell r="AW103">
            <v>3</v>
          </cell>
          <cell r="AX103">
            <v>4</v>
          </cell>
          <cell r="BC103" t="str">
            <v>Counts</v>
          </cell>
          <cell r="BE103">
            <v>3</v>
          </cell>
          <cell r="BF103">
            <v>4</v>
          </cell>
        </row>
        <row r="104">
          <cell r="A104">
            <v>1979</v>
          </cell>
          <cell r="B104">
            <v>3382</v>
          </cell>
          <cell r="R104">
            <v>3382</v>
          </cell>
          <cell r="AM104">
            <v>0.33</v>
          </cell>
          <cell r="AO104">
            <v>0.67</v>
          </cell>
          <cell r="AW104">
            <v>0</v>
          </cell>
          <cell r="AX104">
            <v>1</v>
          </cell>
          <cell r="BE104">
            <v>0.5</v>
          </cell>
          <cell r="BF104">
            <v>0.5</v>
          </cell>
        </row>
        <row r="105">
          <cell r="A105">
            <v>1980</v>
          </cell>
          <cell r="B105">
            <v>6302</v>
          </cell>
          <cell r="R105">
            <v>6302</v>
          </cell>
        </row>
        <row r="106">
          <cell r="A106">
            <v>1981</v>
          </cell>
          <cell r="B106">
            <v>5940</v>
          </cell>
          <cell r="R106">
            <v>5940</v>
          </cell>
          <cell r="S106">
            <v>0.26054535648256061</v>
          </cell>
          <cell r="U106">
            <v>0.26054535648256061</v>
          </cell>
          <cell r="V106" t="str">
            <v>d</v>
          </cell>
          <cell r="W106">
            <v>16858.333772636586</v>
          </cell>
          <cell r="X106" t="str">
            <v>b</v>
          </cell>
          <cell r="Y106">
            <v>0.73945464351743939</v>
          </cell>
          <cell r="Z106">
            <v>0.73945464351743939</v>
          </cell>
          <cell r="AA106" t="str">
            <v>a</v>
          </cell>
          <cell r="AB106">
            <v>6750</v>
          </cell>
          <cell r="AE106">
            <v>22798.333772636586</v>
          </cell>
          <cell r="AF106" t="str">
            <v>e</v>
          </cell>
          <cell r="AG106">
            <v>1</v>
          </cell>
          <cell r="AJ106">
            <v>1981</v>
          </cell>
          <cell r="AK106">
            <v>6750</v>
          </cell>
          <cell r="AM106">
            <v>18052.480625632736</v>
          </cell>
          <cell r="AO106">
            <v>19965.352943636834</v>
          </cell>
          <cell r="AQ106">
            <v>38017.833569269569</v>
          </cell>
          <cell r="AR106">
            <v>5.6322716398917878</v>
          </cell>
          <cell r="AT106">
            <v>1981</v>
          </cell>
          <cell r="AU106">
            <v>6750</v>
          </cell>
          <cell r="AW106">
            <v>0</v>
          </cell>
          <cell r="AX106">
            <v>29799.034244234081</v>
          </cell>
          <cell r="AY106">
            <v>29799.034244234081</v>
          </cell>
          <cell r="AZ106">
            <v>4.4146717398865301</v>
          </cell>
          <cell r="BB106">
            <v>1981</v>
          </cell>
          <cell r="BC106">
            <v>6750</v>
          </cell>
          <cell r="BE106">
            <v>27352.243372170811</v>
          </cell>
          <cell r="BF106">
            <v>14899.51712211704</v>
          </cell>
          <cell r="BG106">
            <v>42251.760494287853</v>
          </cell>
          <cell r="BH106">
            <v>6.2595200732278302</v>
          </cell>
        </row>
        <row r="107">
          <cell r="A107">
            <v>1982</v>
          </cell>
          <cell r="B107">
            <v>7116</v>
          </cell>
          <cell r="R107">
            <v>7116</v>
          </cell>
          <cell r="S107">
            <v>0.26054535648256061</v>
          </cell>
          <cell r="U107">
            <v>0.26054535648256061</v>
          </cell>
          <cell r="V107" t="str">
            <v>d</v>
          </cell>
          <cell r="W107">
            <v>20195.943287219183</v>
          </cell>
          <cell r="X107" t="str">
            <v>b</v>
          </cell>
          <cell r="Y107">
            <v>0.73945464351743939</v>
          </cell>
          <cell r="Z107">
            <v>0.73945464351743939</v>
          </cell>
          <cell r="AA107" t="str">
            <v>a</v>
          </cell>
          <cell r="AB107">
            <v>6800</v>
          </cell>
          <cell r="AE107">
            <v>27311.943287219183</v>
          </cell>
          <cell r="AF107" t="str">
            <v>e</v>
          </cell>
          <cell r="AG107">
            <v>1</v>
          </cell>
          <cell r="AJ107">
            <v>1982</v>
          </cell>
          <cell r="AK107">
            <v>6800</v>
          </cell>
          <cell r="AM107">
            <v>9833.6813005972472</v>
          </cell>
          <cell r="AO107">
            <v>33247.301417862014</v>
          </cell>
          <cell r="AQ107">
            <v>43080.982718459258</v>
          </cell>
          <cell r="AR107">
            <v>6.335438635067538</v>
          </cell>
          <cell r="AT107">
            <v>1982</v>
          </cell>
          <cell r="AU107">
            <v>6800</v>
          </cell>
          <cell r="AW107">
            <v>0</v>
          </cell>
          <cell r="AX107">
            <v>49622.837937107477</v>
          </cell>
          <cell r="AY107">
            <v>49622.837937107477</v>
          </cell>
          <cell r="AZ107">
            <v>7.2974761672216877</v>
          </cell>
          <cell r="BB107">
            <v>1982</v>
          </cell>
          <cell r="BC107">
            <v>6800</v>
          </cell>
          <cell r="BE107">
            <v>14899.51712211704</v>
          </cell>
          <cell r="BF107">
            <v>24811.418968553739</v>
          </cell>
          <cell r="BG107">
            <v>39710.936090670781</v>
          </cell>
          <cell r="BH107">
            <v>5.8398435427457027</v>
          </cell>
        </row>
        <row r="108">
          <cell r="A108">
            <v>1983</v>
          </cell>
          <cell r="B108">
            <v>2835</v>
          </cell>
          <cell r="R108">
            <v>2835</v>
          </cell>
          <cell r="S108">
            <v>0.26054535648256061</v>
          </cell>
          <cell r="U108">
            <v>0.26054535648256061</v>
          </cell>
          <cell r="V108" t="str">
            <v>d</v>
          </cell>
          <cell r="W108">
            <v>8046.0229369401877</v>
          </cell>
          <cell r="X108" t="str">
            <v>b</v>
          </cell>
          <cell r="Y108">
            <v>0.73945464351743939</v>
          </cell>
          <cell r="Z108">
            <v>0.73945464351743939</v>
          </cell>
          <cell r="AA108" t="str">
            <v>a</v>
          </cell>
          <cell r="AB108">
            <v>2666</v>
          </cell>
          <cell r="AE108">
            <v>10881.022936940188</v>
          </cell>
          <cell r="AF108" t="str">
            <v>e</v>
          </cell>
          <cell r="AG108">
            <v>1</v>
          </cell>
          <cell r="AJ108">
            <v>1983</v>
          </cell>
          <cell r="AK108">
            <v>2666</v>
          </cell>
          <cell r="AM108">
            <v>16375.536519245468</v>
          </cell>
          <cell r="AO108">
            <v>93484.087871780241</v>
          </cell>
          <cell r="AQ108">
            <v>109859.6243910257</v>
          </cell>
          <cell r="AR108">
            <v>41.207661061900112</v>
          </cell>
          <cell r="AT108">
            <v>1983</v>
          </cell>
          <cell r="AU108">
            <v>2666</v>
          </cell>
          <cell r="AW108">
            <v>0</v>
          </cell>
          <cell r="AX108">
            <v>139528.48936086602</v>
          </cell>
          <cell r="AY108">
            <v>139528.48936086602</v>
          </cell>
          <cell r="AZ108">
            <v>52.336267577219061</v>
          </cell>
          <cell r="BB108">
            <v>1983</v>
          </cell>
          <cell r="BC108">
            <v>2666</v>
          </cell>
          <cell r="BE108">
            <v>24811.418968553739</v>
          </cell>
          <cell r="BF108">
            <v>69764.24468043301</v>
          </cell>
          <cell r="BG108">
            <v>94575.663648986752</v>
          </cell>
          <cell r="BH108">
            <v>35.474742554008536</v>
          </cell>
        </row>
        <row r="109">
          <cell r="A109">
            <v>1984</v>
          </cell>
          <cell r="B109">
            <v>14253</v>
          </cell>
          <cell r="R109">
            <v>14253</v>
          </cell>
          <cell r="S109">
            <v>0.26054535648256061</v>
          </cell>
          <cell r="U109">
            <v>0.26054535648256061</v>
          </cell>
          <cell r="V109" t="str">
            <v>d</v>
          </cell>
          <cell r="W109">
            <v>40451.486744341622</v>
          </cell>
          <cell r="X109" t="str">
            <v>b</v>
          </cell>
          <cell r="Y109">
            <v>0.73945464351743939</v>
          </cell>
          <cell r="Z109">
            <v>0.73945464351743939</v>
          </cell>
          <cell r="AA109" t="str">
            <v>a</v>
          </cell>
          <cell r="AB109">
            <v>22208</v>
          </cell>
          <cell r="AE109">
            <v>54704.486744341622</v>
          </cell>
          <cell r="AF109" t="str">
            <v>e</v>
          </cell>
          <cell r="AG109">
            <v>1</v>
          </cell>
          <cell r="AJ109">
            <v>1984</v>
          </cell>
          <cell r="AK109">
            <v>22208</v>
          </cell>
          <cell r="AM109">
            <v>46044.401489085787</v>
          </cell>
          <cell r="AO109">
            <v>65404.27444209934</v>
          </cell>
          <cell r="AQ109">
            <v>111448.67593118513</v>
          </cell>
          <cell r="AR109">
            <v>5.0184021943076882</v>
          </cell>
          <cell r="AT109">
            <v>1984</v>
          </cell>
          <cell r="AU109">
            <v>22208</v>
          </cell>
          <cell r="AW109">
            <v>0</v>
          </cell>
          <cell r="AX109">
            <v>97618.320062834828</v>
          </cell>
          <cell r="AY109">
            <v>97618.320062834828</v>
          </cell>
          <cell r="AZ109">
            <v>4.3956376108985422</v>
          </cell>
          <cell r="BB109">
            <v>1984</v>
          </cell>
          <cell r="BC109">
            <v>22208</v>
          </cell>
          <cell r="BE109">
            <v>69764.24468043301</v>
          </cell>
          <cell r="BF109">
            <v>48809.160031417414</v>
          </cell>
          <cell r="BG109">
            <v>118573.40471185042</v>
          </cell>
          <cell r="BH109">
            <v>5.3392203130336107</v>
          </cell>
        </row>
        <row r="110">
          <cell r="A110">
            <v>1985</v>
          </cell>
          <cell r="B110">
            <v>7764</v>
          </cell>
          <cell r="R110">
            <v>7764</v>
          </cell>
          <cell r="S110">
            <v>0.26054535648256061</v>
          </cell>
          <cell r="U110">
            <v>0.26054535648256061</v>
          </cell>
          <cell r="V110" t="str">
            <v>d</v>
          </cell>
          <cell r="W110">
            <v>22035.034244234081</v>
          </cell>
          <cell r="X110" t="str">
            <v>b</v>
          </cell>
          <cell r="Y110">
            <v>0.73945464351743939</v>
          </cell>
          <cell r="Z110">
            <v>0.73945464351743939</v>
          </cell>
          <cell r="AA110" t="str">
            <v>a</v>
          </cell>
          <cell r="AB110">
            <v>3889</v>
          </cell>
          <cell r="AE110">
            <v>29799.034244234081</v>
          </cell>
          <cell r="AF110" t="str">
            <v>e</v>
          </cell>
          <cell r="AG110">
            <v>1</v>
          </cell>
          <cell r="AJ110">
            <v>1985</v>
          </cell>
          <cell r="AK110">
            <v>3889</v>
          </cell>
          <cell r="AM110">
            <v>32214.045620735495</v>
          </cell>
          <cell r="AO110">
            <v>30606.340898398459</v>
          </cell>
          <cell r="AQ110">
            <v>62820.386519133957</v>
          </cell>
          <cell r="AR110">
            <v>16.153352152001531</v>
          </cell>
          <cell r="AT110">
            <v>1985</v>
          </cell>
          <cell r="AU110">
            <v>3889</v>
          </cell>
          <cell r="AW110">
            <v>0</v>
          </cell>
          <cell r="AX110">
            <v>45681.105818505159</v>
          </cell>
          <cell r="AY110">
            <v>45681.105818505159</v>
          </cell>
          <cell r="AZ110">
            <v>11.746234460916728</v>
          </cell>
          <cell r="BB110">
            <v>1985</v>
          </cell>
          <cell r="BC110">
            <v>3889</v>
          </cell>
          <cell r="BE110">
            <v>48809.160031417414</v>
          </cell>
          <cell r="BF110">
            <v>22840.552909252579</v>
          </cell>
          <cell r="BG110">
            <v>71649.712940669997</v>
          </cell>
          <cell r="BH110">
            <v>18.423685508014913</v>
          </cell>
        </row>
        <row r="111">
          <cell r="A111">
            <v>1986</v>
          </cell>
          <cell r="B111">
            <v>6039</v>
          </cell>
          <cell r="C111">
            <v>1.7999999999999999E-2</v>
          </cell>
          <cell r="D111">
            <v>109</v>
          </cell>
          <cell r="R111">
            <v>5930</v>
          </cell>
          <cell r="S111">
            <v>0.13912402746908575</v>
          </cell>
          <cell r="U111">
            <v>0.11950142810283737</v>
          </cell>
          <cell r="V111" t="str">
            <v>d</v>
          </cell>
          <cell r="W111">
            <v>36693.837937107477</v>
          </cell>
          <cell r="X111" t="str">
            <v>b</v>
          </cell>
          <cell r="Y111">
            <v>0.8608759725309143</v>
          </cell>
          <cell r="Z111">
            <v>0.73945464351743939</v>
          </cell>
          <cell r="AA111" t="str">
            <v>a</v>
          </cell>
          <cell r="AB111">
            <v>1308</v>
          </cell>
          <cell r="AC111">
            <v>6999</v>
          </cell>
          <cell r="AE111">
            <v>49622.837937107477</v>
          </cell>
          <cell r="AF111" t="str">
            <v>e</v>
          </cell>
          <cell r="AG111">
            <v>0.85895607162027676</v>
          </cell>
          <cell r="AJ111">
            <v>1986</v>
          </cell>
          <cell r="AK111">
            <v>6999</v>
          </cell>
          <cell r="AM111">
            <v>15074.764920106703</v>
          </cell>
          <cell r="AO111">
            <v>41645.915883848349</v>
          </cell>
          <cell r="AQ111">
            <v>56720.680803955052</v>
          </cell>
          <cell r="AR111">
            <v>8.1041121308694173</v>
          </cell>
          <cell r="AT111">
            <v>1986</v>
          </cell>
          <cell r="AU111">
            <v>6999</v>
          </cell>
          <cell r="AW111">
            <v>0</v>
          </cell>
          <cell r="AX111">
            <v>62158.083408728875</v>
          </cell>
          <cell r="AY111">
            <v>62158.083408728875</v>
          </cell>
          <cell r="AZ111">
            <v>8.8809949148062408</v>
          </cell>
          <cell r="BB111">
            <v>1986</v>
          </cell>
          <cell r="BC111">
            <v>6999</v>
          </cell>
          <cell r="BE111">
            <v>22840.552909252579</v>
          </cell>
          <cell r="BF111">
            <v>31079.041704364437</v>
          </cell>
          <cell r="BG111">
            <v>53919.594613617017</v>
          </cell>
          <cell r="BH111">
            <v>7.7038997876292354</v>
          </cell>
        </row>
        <row r="112">
          <cell r="A112">
            <v>1987</v>
          </cell>
          <cell r="B112">
            <v>13003</v>
          </cell>
          <cell r="C112">
            <v>0.26200000000000001</v>
          </cell>
          <cell r="D112">
            <v>3407</v>
          </cell>
          <cell r="R112">
            <v>9596</v>
          </cell>
          <cell r="S112">
            <v>8.5092806708407048E-2</v>
          </cell>
          <cell r="U112">
            <v>6.8774485009879413E-2</v>
          </cell>
          <cell r="V112" t="str">
            <v>d</v>
          </cell>
          <cell r="W112">
            <v>103174.98936086602</v>
          </cell>
          <cell r="X112" t="str">
            <v>b</v>
          </cell>
          <cell r="Y112">
            <v>0.91490719329159298</v>
          </cell>
          <cell r="Z112">
            <v>0.73945464351743939</v>
          </cell>
          <cell r="AA112" t="str">
            <v>a</v>
          </cell>
          <cell r="AB112">
            <v>4865</v>
          </cell>
          <cell r="AC112">
            <v>26757.5</v>
          </cell>
          <cell r="AE112">
            <v>139528.48936086602</v>
          </cell>
          <cell r="AF112" t="str">
            <v>e</v>
          </cell>
          <cell r="AG112">
            <v>0.80822912852731887</v>
          </cell>
          <cell r="AJ112">
            <v>1987</v>
          </cell>
          <cell r="AK112">
            <v>26757.5</v>
          </cell>
          <cell r="AM112">
            <v>20512.16752488053</v>
          </cell>
          <cell r="AO112">
            <v>97795.256626289134</v>
          </cell>
          <cell r="AQ112">
            <v>118307.42415116966</v>
          </cell>
          <cell r="AR112">
            <v>4.4214677810396958</v>
          </cell>
          <cell r="AT112">
            <v>1987</v>
          </cell>
          <cell r="AU112">
            <v>26757.5</v>
          </cell>
          <cell r="AW112">
            <v>0</v>
          </cell>
          <cell r="AX112">
            <v>145963.06959147632</v>
          </cell>
          <cell r="AY112">
            <v>145963.06959147632</v>
          </cell>
          <cell r="AZ112">
            <v>5.4550339004569306</v>
          </cell>
          <cell r="BB112">
            <v>1987</v>
          </cell>
          <cell r="BC112">
            <v>26757.5</v>
          </cell>
          <cell r="BE112">
            <v>31079.041704364437</v>
          </cell>
          <cell r="BF112">
            <v>72981.53479573816</v>
          </cell>
          <cell r="BG112">
            <v>104060.5765001026</v>
          </cell>
          <cell r="BH112">
            <v>3.8890246286126358</v>
          </cell>
        </row>
        <row r="113">
          <cell r="A113">
            <v>1988</v>
          </cell>
          <cell r="B113">
            <v>19009</v>
          </cell>
          <cell r="C113">
            <v>0.50700000000000001</v>
          </cell>
          <cell r="D113">
            <v>9638</v>
          </cell>
          <cell r="L113">
            <v>4428</v>
          </cell>
          <cell r="R113">
            <v>9371</v>
          </cell>
          <cell r="S113">
            <v>0.11490360154040291</v>
          </cell>
          <cell r="U113">
            <v>9.5996325218136183E-2</v>
          </cell>
          <cell r="V113" t="str">
            <v>d</v>
          </cell>
          <cell r="W113">
            <v>72184.320062834828</v>
          </cell>
          <cell r="X113" t="str">
            <v>b</v>
          </cell>
          <cell r="Y113">
            <v>0.88509639845959709</v>
          </cell>
          <cell r="Z113">
            <v>0.73945464351743939</v>
          </cell>
          <cell r="AA113" t="str">
            <v>a</v>
          </cell>
          <cell r="AC113">
            <v>16063</v>
          </cell>
          <cell r="AE113">
            <v>97618.320062834828</v>
          </cell>
          <cell r="AF113" t="str">
            <v>e</v>
          </cell>
          <cell r="AG113">
            <v>0.83545096873557556</v>
          </cell>
          <cell r="AJ113">
            <v>1988</v>
          </cell>
          <cell r="AK113">
            <v>16063</v>
          </cell>
          <cell r="AM113">
            <v>48167.812965187186</v>
          </cell>
          <cell r="AO113">
            <v>89221.778172646023</v>
          </cell>
          <cell r="AQ113">
            <v>137389.59113783319</v>
          </cell>
          <cell r="AR113">
            <v>8.5531713339870006</v>
          </cell>
          <cell r="AT113">
            <v>1988</v>
          </cell>
          <cell r="AU113">
            <v>16063</v>
          </cell>
          <cell r="AW113">
            <v>0</v>
          </cell>
          <cell r="AX113">
            <v>133166.83309350151</v>
          </cell>
          <cell r="AY113">
            <v>133166.83309350151</v>
          </cell>
          <cell r="AZ113">
            <v>8.2902840747993221</v>
          </cell>
          <cell r="BB113">
            <v>1988</v>
          </cell>
          <cell r="BC113">
            <v>16063</v>
          </cell>
          <cell r="BE113">
            <v>72981.53479573816</v>
          </cell>
          <cell r="BF113">
            <v>66583.416546750756</v>
          </cell>
          <cell r="BG113">
            <v>139564.95134248893</v>
          </cell>
          <cell r="BH113">
            <v>8.6885981038715645</v>
          </cell>
        </row>
        <row r="114">
          <cell r="A114">
            <v>1989</v>
          </cell>
          <cell r="B114">
            <v>14129</v>
          </cell>
          <cell r="C114">
            <v>0.75</v>
          </cell>
          <cell r="D114">
            <v>10597</v>
          </cell>
          <cell r="L114">
            <v>6862</v>
          </cell>
          <cell r="R114">
            <v>3532</v>
          </cell>
          <cell r="S114">
            <v>9.4663503600802876E-2</v>
          </cell>
          <cell r="U114">
            <v>7.7318618643623258E-2</v>
          </cell>
          <cell r="V114" t="str">
            <v>d</v>
          </cell>
          <cell r="W114">
            <v>33779.105818505159</v>
          </cell>
          <cell r="X114" t="str">
            <v>b</v>
          </cell>
          <cell r="Y114">
            <v>0.90533649639919711</v>
          </cell>
          <cell r="Z114">
            <v>0.73945464351743939</v>
          </cell>
          <cell r="AA114" t="str">
            <v>a</v>
          </cell>
          <cell r="AB114">
            <v>814</v>
          </cell>
          <cell r="AC114">
            <v>8370</v>
          </cell>
          <cell r="AE114">
            <v>45681.105818505159</v>
          </cell>
          <cell r="AF114" t="str">
            <v>e</v>
          </cell>
          <cell r="AG114">
            <v>0.81677326216106261</v>
          </cell>
          <cell r="AJ114">
            <v>1989</v>
          </cell>
          <cell r="AK114">
            <v>8370</v>
          </cell>
          <cell r="AM114">
            <v>43945.054920855502</v>
          </cell>
          <cell r="AO114">
            <v>47593.441101743854</v>
          </cell>
          <cell r="AQ114">
            <v>91538.496022599356</v>
          </cell>
          <cell r="AR114">
            <v>10.936498927431225</v>
          </cell>
          <cell r="AT114">
            <v>1989</v>
          </cell>
          <cell r="AU114">
            <v>8370</v>
          </cell>
          <cell r="AW114">
            <v>0</v>
          </cell>
          <cell r="AX114">
            <v>71034.986719020671</v>
          </cell>
          <cell r="AY114">
            <v>71034.986719020671</v>
          </cell>
          <cell r="AZ114">
            <v>8.4868562388316207</v>
          </cell>
          <cell r="BB114">
            <v>1989</v>
          </cell>
          <cell r="BC114">
            <v>8370</v>
          </cell>
          <cell r="BE114">
            <v>66583.416546750756</v>
          </cell>
          <cell r="BF114">
            <v>35517.493359510336</v>
          </cell>
          <cell r="BG114">
            <v>102100.90990626109</v>
          </cell>
          <cell r="BH114">
            <v>12.198436070043142</v>
          </cell>
        </row>
        <row r="115">
          <cell r="A115">
            <v>1990</v>
          </cell>
          <cell r="B115">
            <v>7497</v>
          </cell>
          <cell r="C115">
            <v>0.29899999999999999</v>
          </cell>
          <cell r="D115">
            <v>2242</v>
          </cell>
          <cell r="L115">
            <v>3370</v>
          </cell>
          <cell r="R115">
            <v>5255</v>
          </cell>
          <cell r="S115">
            <v>0.10260048112429786</v>
          </cell>
          <cell r="U115">
            <v>8.4542503755224208E-2</v>
          </cell>
          <cell r="V115" t="str">
            <v>d</v>
          </cell>
          <cell r="W115">
            <v>45963.083408728875</v>
          </cell>
          <cell r="X115" t="str">
            <v>b</v>
          </cell>
          <cell r="Y115">
            <v>0.89739951887570213</v>
          </cell>
          <cell r="Z115">
            <v>0.73945464351743939</v>
          </cell>
          <cell r="AA115" t="str">
            <v>a</v>
          </cell>
          <cell r="AC115">
            <v>10940</v>
          </cell>
          <cell r="AE115">
            <v>62158.083408728875</v>
          </cell>
          <cell r="AF115" t="str">
            <v>e</v>
          </cell>
          <cell r="AG115">
            <v>0.8239971472726636</v>
          </cell>
          <cell r="AJ115">
            <v>1990</v>
          </cell>
          <cell r="AK115">
            <v>10940</v>
          </cell>
          <cell r="AM115">
            <v>23441.545617276824</v>
          </cell>
          <cell r="AO115">
            <v>63420.660703339541</v>
          </cell>
          <cell r="AQ115">
            <v>86862.206320616358</v>
          </cell>
          <cell r="AR115">
            <v>7.9398726070033234</v>
          </cell>
          <cell r="AT115">
            <v>1990</v>
          </cell>
          <cell r="AU115">
            <v>10940</v>
          </cell>
          <cell r="AW115">
            <v>0</v>
          </cell>
          <cell r="AX115">
            <v>94657.702542297819</v>
          </cell>
          <cell r="AY115">
            <v>94657.702542297819</v>
          </cell>
          <cell r="AZ115">
            <v>8.6524408173946821</v>
          </cell>
          <cell r="BB115">
            <v>1990</v>
          </cell>
          <cell r="BC115">
            <v>10940</v>
          </cell>
          <cell r="BE115">
            <v>35517.493359510336</v>
          </cell>
          <cell r="BF115">
            <v>47328.851271148909</v>
          </cell>
          <cell r="BG115">
            <v>82846.344630659238</v>
          </cell>
          <cell r="BH115">
            <v>7.5727920137714113</v>
          </cell>
        </row>
        <row r="116">
          <cell r="A116">
            <v>1991</v>
          </cell>
          <cell r="B116">
            <v>16450</v>
          </cell>
          <cell r="C116">
            <v>0.46800000000000003</v>
          </cell>
          <cell r="D116">
            <v>7699</v>
          </cell>
          <cell r="L116">
            <v>8322</v>
          </cell>
          <cell r="R116">
            <v>8751</v>
          </cell>
          <cell r="S116">
            <v>7.4997384224240779E-2</v>
          </cell>
          <cell r="U116">
            <v>5.9953521287901337E-2</v>
          </cell>
          <cell r="V116" t="str">
            <v>d</v>
          </cell>
          <cell r="W116">
            <v>107933.06959147632</v>
          </cell>
          <cell r="X116" t="str">
            <v>b</v>
          </cell>
          <cell r="Y116">
            <v>0.92500261577575926</v>
          </cell>
          <cell r="Z116">
            <v>0.73945464351743939</v>
          </cell>
          <cell r="AA116" t="str">
            <v>a</v>
          </cell>
          <cell r="AB116">
            <v>5254</v>
          </cell>
          <cell r="AC116">
            <v>29279</v>
          </cell>
          <cell r="AE116">
            <v>145963.06959147632</v>
          </cell>
          <cell r="AF116" t="str">
            <v>e</v>
          </cell>
          <cell r="AG116">
            <v>0.79940816480534072</v>
          </cell>
          <cell r="AJ116">
            <v>1991</v>
          </cell>
          <cell r="AK116">
            <v>29279</v>
          </cell>
          <cell r="AM116">
            <v>31237.041838958281</v>
          </cell>
          <cell r="AO116">
            <v>36252.864315270941</v>
          </cell>
          <cell r="AQ116">
            <v>67489.906154229218</v>
          </cell>
          <cell r="AR116">
            <v>2.3050618584729401</v>
          </cell>
          <cell r="AT116">
            <v>1991</v>
          </cell>
          <cell r="AU116">
            <v>29279</v>
          </cell>
          <cell r="AW116">
            <v>0</v>
          </cell>
          <cell r="AX116">
            <v>54108.752709359607</v>
          </cell>
          <cell r="AY116">
            <v>54108.752709359607</v>
          </cell>
          <cell r="AZ116">
            <v>1.8480396430670312</v>
          </cell>
          <cell r="BB116">
            <v>1991</v>
          </cell>
          <cell r="BC116">
            <v>29279</v>
          </cell>
          <cell r="BE116">
            <v>47328.851271148909</v>
          </cell>
          <cell r="BF116">
            <v>27054.376354679804</v>
          </cell>
          <cell r="BG116">
            <v>74383.227625828717</v>
          </cell>
          <cell r="BH116">
            <v>2.5404975451971965</v>
          </cell>
        </row>
        <row r="117">
          <cell r="A117">
            <v>1992</v>
          </cell>
          <cell r="B117">
            <v>20033</v>
          </cell>
          <cell r="C117">
            <v>0.17</v>
          </cell>
          <cell r="D117">
            <v>3406</v>
          </cell>
          <cell r="L117">
            <v>2324</v>
          </cell>
          <cell r="R117">
            <v>16627</v>
          </cell>
          <cell r="S117">
            <v>0.14445971355944467</v>
          </cell>
          <cell r="U117">
            <v>0.12485841717303249</v>
          </cell>
          <cell r="V117" t="str">
            <v>d</v>
          </cell>
          <cell r="W117">
            <v>98470.833093501511</v>
          </cell>
          <cell r="X117" t="str">
            <v>b</v>
          </cell>
          <cell r="Y117">
            <v>0.85554028644055535</v>
          </cell>
          <cell r="Z117">
            <v>0.73945464351743939</v>
          </cell>
          <cell r="AA117" t="str">
            <v>a</v>
          </cell>
          <cell r="AC117">
            <v>18069</v>
          </cell>
          <cell r="AE117">
            <v>133166.83309350151</v>
          </cell>
          <cell r="AF117" t="str">
            <v>e</v>
          </cell>
          <cell r="AG117">
            <v>0.86431306069047187</v>
          </cell>
          <cell r="AJ117">
            <v>1992</v>
          </cell>
          <cell r="AK117">
            <v>18069</v>
          </cell>
          <cell r="AM117">
            <v>17855.88839408867</v>
          </cell>
          <cell r="AO117">
            <v>42863.549371654641</v>
          </cell>
          <cell r="AQ117">
            <v>60719.437765743307</v>
          </cell>
          <cell r="AR117">
            <v>3.3604204862329574</v>
          </cell>
          <cell r="AT117">
            <v>1992</v>
          </cell>
          <cell r="AU117">
            <v>18069</v>
          </cell>
          <cell r="AW117">
            <v>0</v>
          </cell>
          <cell r="AX117">
            <v>63975.446823365135</v>
          </cell>
          <cell r="AY117">
            <v>63975.446823365135</v>
          </cell>
          <cell r="AZ117">
            <v>3.5406191169054808</v>
          </cell>
          <cell r="BB117">
            <v>1992</v>
          </cell>
          <cell r="BC117">
            <v>18069</v>
          </cell>
          <cell r="BE117">
            <v>27054.376354679804</v>
          </cell>
          <cell r="BF117">
            <v>31987.723411682568</v>
          </cell>
          <cell r="BG117">
            <v>59042.099766362371</v>
          </cell>
          <cell r="BH117">
            <v>3.2675908886137788</v>
          </cell>
        </row>
        <row r="118">
          <cell r="A118">
            <v>1993</v>
          </cell>
          <cell r="B118">
            <v>27610</v>
          </cell>
          <cell r="C118">
            <v>0.27900000000000003</v>
          </cell>
          <cell r="D118">
            <v>7703</v>
          </cell>
          <cell r="E118">
            <v>0.41514416599299381</v>
          </cell>
          <cell r="F118">
            <v>0.2734469293574725</v>
          </cell>
          <cell r="H118">
            <v>10852</v>
          </cell>
          <cell r="I118">
            <v>0.58485583400700625</v>
          </cell>
          <cell r="J118">
            <v>0.38523251686190985</v>
          </cell>
          <cell r="L118">
            <v>9615</v>
          </cell>
          <cell r="N118">
            <v>28170</v>
          </cell>
          <cell r="P118">
            <v>0.65867944621938235</v>
          </cell>
          <cell r="R118">
            <v>19907</v>
          </cell>
          <cell r="S118">
            <v>0.42111621240556169</v>
          </cell>
          <cell r="U118">
            <v>0.28024218655438426</v>
          </cell>
          <cell r="W118">
            <v>27364.986719020671</v>
          </cell>
          <cell r="Y118">
            <v>0.57888378759443837</v>
          </cell>
          <cell r="Z118">
            <v>0.38523251686190985</v>
          </cell>
          <cell r="AA118" t="str">
            <v>c</v>
          </cell>
          <cell r="AC118">
            <v>23763</v>
          </cell>
          <cell r="AE118">
            <v>71034.986719020671</v>
          </cell>
          <cell r="AG118">
            <v>0.66547470341629411</v>
          </cell>
          <cell r="AJ118">
            <v>1993</v>
          </cell>
          <cell r="AK118">
            <v>23763</v>
          </cell>
          <cell r="AM118">
            <v>21111.897451710494</v>
          </cell>
          <cell r="AO118">
            <v>45387.490913857568</v>
          </cell>
          <cell r="AQ118">
            <v>66499.388365568069</v>
          </cell>
          <cell r="AR118">
            <v>2.7984424679362063</v>
          </cell>
          <cell r="AT118">
            <v>1993</v>
          </cell>
          <cell r="AU118">
            <v>23763</v>
          </cell>
          <cell r="AW118">
            <v>0</v>
          </cell>
          <cell r="AX118">
            <v>67742.523752026216</v>
          </cell>
          <cell r="AY118">
            <v>67742.523752026216</v>
          </cell>
          <cell r="AZ118">
            <v>2.8507563755429119</v>
          </cell>
          <cell r="BB118">
            <v>1992</v>
          </cell>
          <cell r="BC118">
            <v>23763</v>
          </cell>
          <cell r="BE118">
            <v>31987.723411682568</v>
          </cell>
          <cell r="BF118">
            <v>33871.261876013108</v>
          </cell>
          <cell r="BG118">
            <v>65858.985287695672</v>
          </cell>
          <cell r="BH118">
            <v>2.7714928791691147</v>
          </cell>
        </row>
        <row r="119">
          <cell r="A119">
            <v>1994</v>
          </cell>
          <cell r="B119">
            <v>17665</v>
          </cell>
          <cell r="C119">
            <v>0.34899999999999998</v>
          </cell>
          <cell r="D119">
            <v>6165</v>
          </cell>
          <cell r="E119">
            <v>0.23598086124401915</v>
          </cell>
          <cell r="F119">
            <v>0.19728631316202119</v>
          </cell>
          <cell r="H119">
            <v>19960</v>
          </cell>
          <cell r="I119">
            <v>0.76401913875598082</v>
          </cell>
          <cell r="J119">
            <v>0.63874043969407024</v>
          </cell>
          <cell r="L119">
            <v>5124</v>
          </cell>
          <cell r="N119">
            <v>31249</v>
          </cell>
          <cell r="P119">
            <v>0.8360267528560914</v>
          </cell>
          <cell r="R119">
            <v>11500</v>
          </cell>
          <cell r="S119">
            <v>0.15980722514507634</v>
          </cell>
          <cell r="U119">
            <v>0.12149037733998691</v>
          </cell>
          <cell r="W119">
            <v>60461.702542297819</v>
          </cell>
          <cell r="Y119">
            <v>0.84019277485492361</v>
          </cell>
          <cell r="Z119">
            <v>0.63874043969407024</v>
          </cell>
          <cell r="AA119" t="str">
            <v>c</v>
          </cell>
          <cell r="AB119">
            <v>6979</v>
          </cell>
          <cell r="AC119">
            <v>22696</v>
          </cell>
          <cell r="AE119">
            <v>94657.702542297819</v>
          </cell>
          <cell r="AG119">
            <v>0.76023081703405715</v>
          </cell>
          <cell r="AJ119">
            <v>1994</v>
          </cell>
          <cell r="AK119">
            <v>22696</v>
          </cell>
          <cell r="AM119">
            <v>22355.032838168652</v>
          </cell>
          <cell r="AO119">
            <v>28339.369001113941</v>
          </cell>
          <cell r="AQ119">
            <v>50694.401839282596</v>
          </cell>
          <cell r="AR119">
            <v>2.2336271518894342</v>
          </cell>
          <cell r="AT119">
            <v>1994</v>
          </cell>
          <cell r="AU119">
            <v>22696</v>
          </cell>
          <cell r="AW119">
            <v>0</v>
          </cell>
          <cell r="AX119">
            <v>42297.565673304387</v>
          </cell>
          <cell r="AY119">
            <v>42297.565673304387</v>
          </cell>
          <cell r="AZ119">
            <v>1.8636572820454875</v>
          </cell>
          <cell r="BB119">
            <v>1992</v>
          </cell>
          <cell r="BC119">
            <v>22696</v>
          </cell>
          <cell r="BE119">
            <v>33871.261876013108</v>
          </cell>
          <cell r="BF119">
            <v>21148.782836652194</v>
          </cell>
          <cell r="BG119">
            <v>55020.044712665302</v>
          </cell>
          <cell r="BH119">
            <v>2.4242176908999515</v>
          </cell>
        </row>
        <row r="120">
          <cell r="A120">
            <v>1995</v>
          </cell>
          <cell r="B120">
            <v>14451</v>
          </cell>
          <cell r="C120">
            <v>0.20699999999999999</v>
          </cell>
          <cell r="D120">
            <v>2991</v>
          </cell>
          <cell r="E120">
            <v>0.33900034002040125</v>
          </cell>
          <cell r="F120">
            <v>0.30236554791750908</v>
          </cell>
          <cell r="H120">
            <v>5832</v>
          </cell>
          <cell r="I120">
            <v>0.66099965997959875</v>
          </cell>
          <cell r="J120">
            <v>0.58956732713303683</v>
          </cell>
          <cell r="L120">
            <v>1069</v>
          </cell>
          <cell r="N120">
            <v>9892</v>
          </cell>
          <cell r="P120">
            <v>0.89193287505054586</v>
          </cell>
          <cell r="R120">
            <v>11460</v>
          </cell>
          <cell r="S120">
            <v>0.26429430496316797</v>
          </cell>
          <cell r="U120">
            <v>0.21179567863181728</v>
          </cell>
          <cell r="W120">
            <v>31900.752709359607</v>
          </cell>
          <cell r="Y120">
            <v>0.73570569503683203</v>
          </cell>
          <cell r="Z120">
            <v>0.58956732713303683</v>
          </cell>
          <cell r="AA120" t="str">
            <v>c</v>
          </cell>
          <cell r="AC120">
            <v>10748</v>
          </cell>
          <cell r="AE120">
            <v>54108.752709359607</v>
          </cell>
          <cell r="AG120">
            <v>0.80136300576485409</v>
          </cell>
          <cell r="AJ120">
            <v>1995</v>
          </cell>
          <cell r="AK120">
            <v>10748</v>
          </cell>
          <cell r="AM120">
            <v>13958.196672190448</v>
          </cell>
          <cell r="AO120">
            <v>0</v>
          </cell>
          <cell r="AQ120">
            <v>13958.196672190448</v>
          </cell>
          <cell r="AR120">
            <v>1.2986785143459665</v>
          </cell>
          <cell r="AT120">
            <v>1995</v>
          </cell>
          <cell r="AU120">
            <v>10748</v>
          </cell>
          <cell r="AW120">
            <v>0</v>
          </cell>
          <cell r="AX120">
            <v>0</v>
          </cell>
          <cell r="AY120">
            <v>0</v>
          </cell>
          <cell r="AZ120">
            <v>0</v>
          </cell>
          <cell r="BB120">
            <v>1992</v>
          </cell>
          <cell r="BC120">
            <v>10748</v>
          </cell>
          <cell r="BE120">
            <v>21148.782836652194</v>
          </cell>
          <cell r="BF120">
            <v>0</v>
          </cell>
          <cell r="BG120">
            <v>21148.782836652194</v>
          </cell>
          <cell r="BH120">
            <v>1.9676947187060099</v>
          </cell>
        </row>
        <row r="121">
          <cell r="A121">
            <v>1996</v>
          </cell>
          <cell r="B121">
            <v>16753</v>
          </cell>
          <cell r="C121">
            <v>0.23</v>
          </cell>
          <cell r="D121">
            <v>3853</v>
          </cell>
          <cell r="E121">
            <v>0.42882582081246523</v>
          </cell>
          <cell r="F121">
            <v>0.40863294092692759</v>
          </cell>
          <cell r="H121">
            <v>5132</v>
          </cell>
          <cell r="I121">
            <v>0.57117417918753477</v>
          </cell>
          <cell r="J121">
            <v>0.54427829038074027</v>
          </cell>
          <cell r="L121">
            <v>444</v>
          </cell>
          <cell r="N121">
            <v>9429</v>
          </cell>
          <cell r="P121">
            <v>0.95291123130766786</v>
          </cell>
          <cell r="R121">
            <v>12900</v>
          </cell>
          <cell r="S121">
            <v>0.27032437579113017</v>
          </cell>
          <cell r="U121">
            <v>0.2016398577975802</v>
          </cell>
          <cell r="W121">
            <v>34820.446823365135</v>
          </cell>
          <cell r="Y121">
            <v>0.72967562420886989</v>
          </cell>
          <cell r="Z121">
            <v>0.54427829038074027</v>
          </cell>
          <cell r="AA121" t="str">
            <v>c</v>
          </cell>
          <cell r="AC121">
            <v>16255</v>
          </cell>
          <cell r="AE121">
            <v>63975.446823365135</v>
          </cell>
          <cell r="AG121">
            <v>0.74591814817832047</v>
          </cell>
          <cell r="AJ121">
            <v>1996</v>
          </cell>
          <cell r="AK121">
            <v>16255</v>
          </cell>
          <cell r="AM121">
            <v>0</v>
          </cell>
          <cell r="AT121">
            <v>1996</v>
          </cell>
          <cell r="AU121">
            <v>16255</v>
          </cell>
          <cell r="AW121">
            <v>0</v>
          </cell>
          <cell r="AY121">
            <v>0</v>
          </cell>
          <cell r="AZ121">
            <v>0</v>
          </cell>
          <cell r="BB121">
            <v>1992</v>
          </cell>
          <cell r="BC121">
            <v>16255</v>
          </cell>
          <cell r="BH121">
            <v>0</v>
          </cell>
        </row>
        <row r="122">
          <cell r="A122">
            <v>1997</v>
          </cell>
          <cell r="B122">
            <v>7756</v>
          </cell>
          <cell r="C122">
            <v>0</v>
          </cell>
          <cell r="D122">
            <v>0</v>
          </cell>
          <cell r="E122">
            <v>0</v>
          </cell>
          <cell r="F122">
            <v>0</v>
          </cell>
          <cell r="H122">
            <v>0</v>
          </cell>
          <cell r="I122">
            <v>0</v>
          </cell>
          <cell r="J122">
            <v>0</v>
          </cell>
          <cell r="L122">
            <v>0</v>
          </cell>
          <cell r="N122">
            <v>0</v>
          </cell>
          <cell r="P122">
            <v>0</v>
          </cell>
          <cell r="R122">
            <v>7756</v>
          </cell>
          <cell r="S122">
            <v>0.13407429432852791</v>
          </cell>
          <cell r="U122">
            <v>0.11449233908661417</v>
          </cell>
          <cell r="W122">
            <v>50092.523752026216</v>
          </cell>
          <cell r="X122" t="str">
            <v>b</v>
          </cell>
          <cell r="Y122">
            <v>0.86592570567147209</v>
          </cell>
          <cell r="Z122">
            <v>0.73945464351743939</v>
          </cell>
          <cell r="AA122" t="str">
            <v>a</v>
          </cell>
          <cell r="AC122">
            <v>9894</v>
          </cell>
          <cell r="AE122">
            <v>67742.523752026216</v>
          </cell>
          <cell r="AF122" t="str">
            <v>e</v>
          </cell>
          <cell r="AG122">
            <v>0.85394698260405355</v>
          </cell>
        </row>
        <row r="123">
          <cell r="A123">
            <v>1998</v>
          </cell>
          <cell r="D123">
            <v>0</v>
          </cell>
          <cell r="E123">
            <v>0</v>
          </cell>
          <cell r="F123">
            <v>0</v>
          </cell>
          <cell r="H123">
            <v>0</v>
          </cell>
          <cell r="I123">
            <v>0</v>
          </cell>
          <cell r="J123">
            <v>0</v>
          </cell>
          <cell r="L123">
            <v>0</v>
          </cell>
          <cell r="N123">
            <v>0</v>
          </cell>
          <cell r="P123">
            <v>0</v>
          </cell>
          <cell r="R123">
            <v>11500</v>
          </cell>
          <cell r="S123">
            <v>0.42375120846243908</v>
          </cell>
          <cell r="U123">
            <v>0.27188325892849408</v>
          </cell>
          <cell r="W123">
            <v>15638.565673304389</v>
          </cell>
          <cell r="X123" t="str">
            <v>b</v>
          </cell>
          <cell r="Y123">
            <v>0.57624879153756103</v>
          </cell>
          <cell r="Z123">
            <v>0.3697273217587197</v>
          </cell>
          <cell r="AA123" t="str">
            <v>a</v>
          </cell>
          <cell r="AC123">
            <v>15159</v>
          </cell>
          <cell r="AE123">
            <v>42297.565673304387</v>
          </cell>
          <cell r="AF123" t="str">
            <v>e</v>
          </cell>
          <cell r="AG123">
            <v>0.64161058068721377</v>
          </cell>
        </row>
        <row r="124">
          <cell r="AC124">
            <v>3017</v>
          </cell>
        </row>
        <row r="125">
          <cell r="A125" t="str">
            <v>1993-1997</v>
          </cell>
          <cell r="AJ125" t="str">
            <v>1981-1994</v>
          </cell>
          <cell r="AT125" t="str">
            <v>1981-1994</v>
          </cell>
          <cell r="BB125" t="str">
            <v>1981-1994</v>
          </cell>
        </row>
        <row r="126">
          <cell r="A126" t="str">
            <v>mean</v>
          </cell>
          <cell r="D126">
            <v>5178</v>
          </cell>
          <cell r="E126">
            <v>0.35473779701746988</v>
          </cell>
          <cell r="F126">
            <v>0.2954329328409826</v>
          </cell>
          <cell r="H126">
            <v>10444</v>
          </cell>
          <cell r="I126">
            <v>0.64526220298253012</v>
          </cell>
          <cell r="J126">
            <v>0.53945464351743933</v>
          </cell>
          <cell r="L126">
            <v>4063</v>
          </cell>
          <cell r="N126">
            <v>19685</v>
          </cell>
          <cell r="P126">
            <v>0.83488757635842192</v>
          </cell>
          <cell r="R126">
            <v>12704.6</v>
          </cell>
          <cell r="S126">
            <v>0.27888552957623403</v>
          </cell>
          <cell r="U126">
            <v>0.20379202508094216</v>
          </cell>
          <cell r="W126">
            <v>38636.972198510812</v>
          </cell>
          <cell r="Y126">
            <v>0.72111447042376597</v>
          </cell>
          <cell r="Z126">
            <v>0.53945464351743933</v>
          </cell>
          <cell r="AC126">
            <v>18365.5</v>
          </cell>
          <cell r="AE126">
            <v>70944.222198510804</v>
          </cell>
          <cell r="AG126">
            <v>0.7432466685983814</v>
          </cell>
          <cell r="AJ126" t="str">
            <v>average</v>
          </cell>
          <cell r="AK126">
            <v>14660.678571428571</v>
          </cell>
          <cell r="AM126">
            <v>26158.668001894966</v>
          </cell>
          <cell r="AO126">
            <v>52516.263118824347</v>
          </cell>
          <cell r="AQ126">
            <v>78674.93112071931</v>
          </cell>
          <cell r="AR126">
            <v>8.9285571734307769</v>
          </cell>
          <cell r="AT126" t="str">
            <v>average</v>
          </cell>
          <cell r="AU126">
            <v>14660.678571428571</v>
          </cell>
          <cell r="AW126">
            <v>0</v>
          </cell>
          <cell r="AX126">
            <v>78382.482266902007</v>
          </cell>
          <cell r="AY126">
            <v>78382.482266902007</v>
          </cell>
          <cell r="AZ126">
            <v>9.2899264228565865</v>
          </cell>
          <cell r="BB126" t="str">
            <v>average</v>
          </cell>
          <cell r="BC126">
            <v>14660.678571428571</v>
          </cell>
          <cell r="BE126">
            <v>39634.345457416617</v>
          </cell>
          <cell r="BF126">
            <v>39191.241133451003</v>
          </cell>
          <cell r="BG126">
            <v>78825.586590867621</v>
          </cell>
          <cell r="BH126">
            <v>8.7423972570599027</v>
          </cell>
        </row>
        <row r="127">
          <cell r="A127" t="str">
            <v>median</v>
          </cell>
          <cell r="D127">
            <v>5009</v>
          </cell>
          <cell r="E127">
            <v>0.37707225300669756</v>
          </cell>
          <cell r="F127">
            <v>0.28790623863749076</v>
          </cell>
          <cell r="H127">
            <v>8342</v>
          </cell>
          <cell r="I127">
            <v>0.62292774699330256</v>
          </cell>
          <cell r="J127">
            <v>0.5669228087568885</v>
          </cell>
          <cell r="L127">
            <v>3096.5</v>
          </cell>
          <cell r="N127">
            <v>19031</v>
          </cell>
          <cell r="P127">
            <v>0.86397981395331858</v>
          </cell>
          <cell r="R127">
            <v>11500</v>
          </cell>
          <cell r="S127">
            <v>0.26730934037714904</v>
          </cell>
          <cell r="U127">
            <v>0.20671776821469873</v>
          </cell>
          <cell r="W127">
            <v>33360.599766362371</v>
          </cell>
          <cell r="Y127">
            <v>0.73269065962285096</v>
          </cell>
          <cell r="Z127">
            <v>0.5669228087568885</v>
          </cell>
          <cell r="AC127">
            <v>19475.5</v>
          </cell>
          <cell r="AE127">
            <v>67505.216771192907</v>
          </cell>
          <cell r="AG127">
            <v>0.75307448260618881</v>
          </cell>
          <cell r="AJ127" t="str">
            <v>median</v>
          </cell>
          <cell r="AK127">
            <v>13501.5</v>
          </cell>
          <cell r="AM127">
            <v>21733.465144939575</v>
          </cell>
          <cell r="AO127">
            <v>44125.520142756104</v>
          </cell>
          <cell r="AQ127">
            <v>66994.647259898644</v>
          </cell>
          <cell r="AR127">
            <v>5.9838551374796634</v>
          </cell>
          <cell r="AT127" t="str">
            <v>median</v>
          </cell>
          <cell r="AU127">
            <v>13501.5</v>
          </cell>
          <cell r="AW127">
            <v>0</v>
          </cell>
          <cell r="AX127">
            <v>65858.985287695672</v>
          </cell>
          <cell r="AY127">
            <v>65858.985287695672</v>
          </cell>
          <cell r="AZ127">
            <v>6.3762550338393087</v>
          </cell>
          <cell r="BB127" t="str">
            <v>median</v>
          </cell>
          <cell r="BC127">
            <v>13501.5</v>
          </cell>
          <cell r="BE127">
            <v>32929.492643847836</v>
          </cell>
          <cell r="BF127">
            <v>32929.492643847836</v>
          </cell>
          <cell r="BG127">
            <v>73016.470283249364</v>
          </cell>
          <cell r="BH127">
            <v>6.0496818079867669</v>
          </cell>
        </row>
        <row r="128">
          <cell r="A128" t="str">
            <v>a</v>
          </cell>
          <cell r="D128" t="str">
            <v>Assumed commercial exploitation rate based on average commercial exploitation rate on hatchery-origin coho salmon returning to the Little Susitna River during 1993-1996</v>
          </cell>
        </row>
        <row r="129">
          <cell r="A129" t="str">
            <v>b</v>
          </cell>
          <cell r="D129" t="str">
            <v>Based on the assumed commercial exploitation rate in footnote "a".</v>
          </cell>
        </row>
        <row r="130">
          <cell r="A130" t="str">
            <v>c</v>
          </cell>
          <cell r="D130" t="str">
            <v>Based on estimated commercial exploitation rate of hatchery-origin salmon.</v>
          </cell>
        </row>
        <row r="131">
          <cell r="A131" t="str">
            <v>d</v>
          </cell>
          <cell r="D131" t="str">
            <v>Based on the assumed total run size.  See footnote "e".</v>
          </cell>
        </row>
        <row r="132">
          <cell r="A132" t="str">
            <v>e</v>
          </cell>
          <cell r="D132" t="str">
            <v>Based on the recreational harvest, weir-based escapement count, and the average commercial exploitation rate on hatchery coho salmon returning to the Little Susitna River during 1993-1996.</v>
          </cell>
        </row>
        <row r="133">
          <cell r="A133" t="str">
            <v>f</v>
          </cell>
          <cell r="D133" t="str">
            <v>Assumed recreational harvest based on median catch during 1993-1996.</v>
          </cell>
        </row>
        <row r="134">
          <cell r="A134" t="str">
            <v>g</v>
          </cell>
          <cell r="D134" t="str">
            <v>Commercial exploitation rate reduced by 50%</v>
          </cell>
        </row>
      </sheetData>
      <sheetData sheetId="5">
        <row r="6">
          <cell r="A6" t="str">
            <v>LittleSU34</v>
          </cell>
        </row>
        <row r="7">
          <cell r="A7" t="str">
            <v>Little Susitna River coho salmon 1986-1994.</v>
          </cell>
        </row>
        <row r="8">
          <cell r="A8" t="str">
            <v>assume that 67% of all fish return as 4-year old salmon and 33% return as 3 year old salmon.</v>
          </cell>
        </row>
        <row r="10">
          <cell r="A10" t="str">
            <v xml:space="preserve">Data file: </v>
          </cell>
          <cell r="B10" t="str">
            <v>H:\SALMON\BEG\COHO\LITTLESU\data files\Dec99\ls3367.txt</v>
          </cell>
        </row>
        <row r="11">
          <cell r="A11" t="str">
            <v>Output file:</v>
          </cell>
          <cell r="B11" t="str">
            <v>H:\SALMON\BEG\COHO\LITTLESU\data files\Dec99\ls3367.out</v>
          </cell>
        </row>
        <row r="12">
          <cell r="C12" t="str">
            <v>Ricker</v>
          </cell>
        </row>
        <row r="13">
          <cell r="C13" t="str">
            <v>linearized model fit</v>
          </cell>
          <cell r="F13" t="str">
            <v>non-linearized model fit</v>
          </cell>
          <cell r="H13" t="str">
            <v>sent below data to Bernard, he got</v>
          </cell>
        </row>
        <row r="14">
          <cell r="C14" t="str">
            <v>a-hat</v>
          </cell>
          <cell r="D14">
            <v>11.9711</v>
          </cell>
          <cell r="F14" t="str">
            <v>a-hat</v>
          </cell>
          <cell r="G14">
            <v>13.6831</v>
          </cell>
          <cell r="H14" t="str">
            <v>ln</v>
          </cell>
          <cell r="I14" t="str">
            <v>a</v>
          </cell>
        </row>
        <row r="15">
          <cell r="C15" t="str">
            <v>b-hat</v>
          </cell>
          <cell r="D15">
            <v>6.6235000000000005E-5</v>
          </cell>
          <cell r="F15" t="str">
            <v>b-hat</v>
          </cell>
          <cell r="G15">
            <v>7.2044600000000005E-5</v>
          </cell>
          <cell r="I15" t="str">
            <v>a</v>
          </cell>
        </row>
        <row r="16">
          <cell r="C16" t="str">
            <v>MSY</v>
          </cell>
          <cell r="D16">
            <v>52897</v>
          </cell>
          <cell r="F16" t="str">
            <v>MSY</v>
          </cell>
          <cell r="G16">
            <v>57218</v>
          </cell>
          <cell r="I16" t="str">
            <v>b</v>
          </cell>
        </row>
        <row r="17">
          <cell r="C17" t="str">
            <v xml:space="preserve">No of Spaw producing MSY </v>
          </cell>
          <cell r="D17">
            <v>12257</v>
          </cell>
          <cell r="F17" t="str">
            <v xml:space="preserve">No of Spaw producing MSY </v>
          </cell>
          <cell r="G17">
            <v>11549</v>
          </cell>
        </row>
        <row r="18">
          <cell r="C18" t="str">
            <v>Equilibrium No.</v>
          </cell>
          <cell r="D18">
            <v>37480</v>
          </cell>
          <cell r="F18" t="str">
            <v>Equilibrium No.</v>
          </cell>
          <cell r="G18">
            <v>36313</v>
          </cell>
          <cell r="H18" t="str">
            <v>except used 5.5 expansion for</v>
          </cell>
        </row>
        <row r="19">
          <cell r="H19" t="str">
            <v>1987 and got 26,758 spawners</v>
          </cell>
        </row>
        <row r="20">
          <cell r="C20" t="str">
            <v>Beverton-Holt</v>
          </cell>
        </row>
        <row r="21">
          <cell r="C21" t="str">
            <v>linearized model fit</v>
          </cell>
          <cell r="F21" t="str">
            <v>non-linearized model fit</v>
          </cell>
        </row>
        <row r="22">
          <cell r="C22" t="str">
            <v>a-hat</v>
          </cell>
          <cell r="D22">
            <v>1.8300000000000001E-5</v>
          </cell>
          <cell r="F22" t="str">
            <v>a-hat</v>
          </cell>
          <cell r="G22">
            <v>1.5780299999999999E-5</v>
          </cell>
        </row>
        <row r="23">
          <cell r="C23" t="str">
            <v>b-hat</v>
          </cell>
          <cell r="D23">
            <v>0</v>
          </cell>
          <cell r="F23" t="str">
            <v>b-hat</v>
          </cell>
          <cell r="G23">
            <v>4.7304499999999998E-3</v>
          </cell>
        </row>
        <row r="24">
          <cell r="C24" t="str">
            <v>MSY</v>
          </cell>
          <cell r="D24">
            <v>509959603</v>
          </cell>
          <cell r="F24" t="str">
            <v>MSY</v>
          </cell>
          <cell r="G24">
            <v>54953</v>
          </cell>
        </row>
        <row r="25">
          <cell r="C25" t="str">
            <v xml:space="preserve">No of Spaw producing MSY </v>
          </cell>
          <cell r="D25">
            <v>625</v>
          </cell>
          <cell r="F25" t="str">
            <v xml:space="preserve">No of Spaw producing MSY </v>
          </cell>
          <cell r="G25">
            <v>4059</v>
          </cell>
        </row>
        <row r="26">
          <cell r="C26" t="str">
            <v>Equilibrium No.</v>
          </cell>
          <cell r="D26">
            <v>55269</v>
          </cell>
          <cell r="F26" t="str">
            <v>Equilibrium No.</v>
          </cell>
          <cell r="G26">
            <v>63071</v>
          </cell>
        </row>
        <row r="31">
          <cell r="A31" t="str">
            <v>Brood  Year</v>
          </cell>
          <cell r="C31" t="str">
            <v>Escapement</v>
          </cell>
          <cell r="F31" t="str">
            <v>Ricker</v>
          </cell>
          <cell r="H31" t="str">
            <v>Beverton-Holt</v>
          </cell>
        </row>
        <row r="32">
          <cell r="A32" t="str">
            <v>aerial/foot</v>
          </cell>
          <cell r="B32" t="str">
            <v>weir</v>
          </cell>
          <cell r="D32" t="str">
            <v>Return</v>
          </cell>
          <cell r="E32" t="str">
            <v>R/S</v>
          </cell>
          <cell r="F32" t="str">
            <v>linearized</v>
          </cell>
          <cell r="G32" t="str">
            <v>non-linearized</v>
          </cell>
        </row>
        <row r="33">
          <cell r="A33">
            <v>81</v>
          </cell>
          <cell r="C33">
            <v>6750</v>
          </cell>
          <cell r="D33">
            <v>43078.580037211301</v>
          </cell>
          <cell r="E33">
            <v>6.3820118573646374</v>
          </cell>
          <cell r="F33">
            <v>51673.840481402658</v>
          </cell>
          <cell r="G33">
            <v>56792.424740842733</v>
          </cell>
          <cell r="H33">
            <v>54644.808743169393</v>
          </cell>
          <cell r="I33">
            <v>60675.534433478155</v>
          </cell>
        </row>
        <row r="34">
          <cell r="A34">
            <v>82</v>
          </cell>
          <cell r="C34">
            <v>6800</v>
          </cell>
          <cell r="D34">
            <v>27158.931957386121</v>
          </cell>
          <cell r="E34">
            <v>3.9939605819685471</v>
          </cell>
          <cell r="F34">
            <v>51884.496348532157</v>
          </cell>
          <cell r="G34">
            <v>57007.385344674498</v>
          </cell>
          <cell r="H34">
            <v>54644.808743169393</v>
          </cell>
          <cell r="I34">
            <v>60694.511225762253</v>
          </cell>
        </row>
        <row r="35">
          <cell r="A35">
            <v>83</v>
          </cell>
          <cell r="C35">
            <v>2666</v>
          </cell>
          <cell r="D35">
            <v>62151.13147294076</v>
          </cell>
          <cell r="E35">
            <v>23.312502427959775</v>
          </cell>
          <cell r="F35">
            <v>26748.867166031396</v>
          </cell>
          <cell r="G35">
            <v>30104.354012332209</v>
          </cell>
          <cell r="H35">
            <v>54644.808743169393</v>
          </cell>
          <cell r="I35">
            <v>56964.923653818754</v>
          </cell>
        </row>
        <row r="36">
          <cell r="A36">
            <v>84</v>
          </cell>
          <cell r="C36">
            <v>22208</v>
          </cell>
          <cell r="D36">
            <v>63050.109161397122</v>
          </cell>
          <cell r="E36">
            <v>2.8390719182905766</v>
          </cell>
          <cell r="F36">
            <v>61068.801137113522</v>
          </cell>
          <cell r="G36">
            <v>61353.216730917207</v>
          </cell>
          <cell r="H36">
            <v>54644.808743169393</v>
          </cell>
          <cell r="I36">
            <v>62526.157137055474</v>
          </cell>
        </row>
        <row r="37">
          <cell r="A37">
            <v>85</v>
          </cell>
          <cell r="C37">
            <v>3889</v>
          </cell>
          <cell r="D37">
            <v>35539.518029251449</v>
          </cell>
          <cell r="E37">
            <v>9.138472108318707</v>
          </cell>
          <cell r="F37">
            <v>35983.465883088713</v>
          </cell>
          <cell r="G37">
            <v>40210.658628072968</v>
          </cell>
          <cell r="H37">
            <v>54644.808743169393</v>
          </cell>
          <cell r="I37">
            <v>58835.06566948699</v>
          </cell>
        </row>
        <row r="38">
          <cell r="A38">
            <v>86</v>
          </cell>
          <cell r="C38">
            <v>6999</v>
          </cell>
          <cell r="D38">
            <v>32088.717847184736</v>
          </cell>
          <cell r="E38">
            <v>4.5847575149570989</v>
          </cell>
          <cell r="F38">
            <v>52703.608646189401</v>
          </cell>
          <cell r="G38">
            <v>57840.465218631412</v>
          </cell>
          <cell r="H38">
            <v>54644.808743169393</v>
          </cell>
          <cell r="I38">
            <v>60767.462208136589</v>
          </cell>
        </row>
        <row r="39">
          <cell r="A39">
            <v>87</v>
          </cell>
          <cell r="C39">
            <v>26757.5</v>
          </cell>
          <cell r="D39">
            <v>66930.324160519944</v>
          </cell>
          <cell r="E39">
            <v>2.5013668751011844</v>
          </cell>
          <cell r="F39">
            <v>54436.082058721317</v>
          </cell>
          <cell r="G39">
            <v>53263.053893473501</v>
          </cell>
          <cell r="H39">
            <v>54644.808743169393</v>
          </cell>
          <cell r="I39">
            <v>62668.069161230596</v>
          </cell>
        </row>
        <row r="40">
          <cell r="A40">
            <v>88</v>
          </cell>
          <cell r="C40">
            <v>16063</v>
          </cell>
          <cell r="D40">
            <v>77725.721247947236</v>
          </cell>
          <cell r="E40">
            <v>4.838804784159076</v>
          </cell>
          <cell r="F40">
            <v>66359.112906029113</v>
          </cell>
          <cell r="G40">
            <v>69091.214128181324</v>
          </cell>
          <cell r="H40">
            <v>54644.808743169393</v>
          </cell>
          <cell r="I40">
            <v>62209.197056103098</v>
          </cell>
        </row>
        <row r="41">
          <cell r="A41">
            <v>89</v>
          </cell>
          <cell r="C41">
            <v>8370</v>
          </cell>
          <cell r="D41">
            <v>72454.57549130221</v>
          </cell>
          <cell r="E41">
            <v>8.6564606321746957</v>
          </cell>
          <cell r="F41">
            <v>57556.227885119995</v>
          </cell>
          <cell r="G41">
            <v>62664.937281620761</v>
          </cell>
          <cell r="H41">
            <v>54644.808743169393</v>
          </cell>
          <cell r="I41">
            <v>61179.040271311584</v>
          </cell>
        </row>
        <row r="42">
          <cell r="A42">
            <v>90</v>
          </cell>
          <cell r="C42">
            <v>10940</v>
          </cell>
          <cell r="D42">
            <v>86862.206320616358</v>
          </cell>
          <cell r="E42">
            <v>7.9398726070033234</v>
          </cell>
          <cell r="F42">
            <v>63453.687477805805</v>
          </cell>
          <cell r="G42">
            <v>68062.021318831205</v>
          </cell>
          <cell r="H42">
            <v>54644.808743169393</v>
          </cell>
          <cell r="I42">
            <v>61680.043042070545</v>
          </cell>
        </row>
        <row r="43">
          <cell r="A43">
            <v>91</v>
          </cell>
          <cell r="C43">
            <v>29279</v>
          </cell>
          <cell r="D43">
            <v>67489.906154229218</v>
          </cell>
          <cell r="E43">
            <v>2.3050618584729401</v>
          </cell>
          <cell r="F43">
            <v>50404.042604116126</v>
          </cell>
          <cell r="G43">
            <v>48600.712282336332</v>
          </cell>
          <cell r="H43">
            <v>54644.808743169393</v>
          </cell>
          <cell r="I43">
            <v>62727.919533069595</v>
          </cell>
        </row>
        <row r="44">
          <cell r="A44">
            <v>92</v>
          </cell>
          <cell r="C44">
            <v>18069</v>
          </cell>
          <cell r="D44">
            <v>60719.437765743307</v>
          </cell>
          <cell r="E44">
            <v>3.3604204862329574</v>
          </cell>
          <cell r="F44">
            <v>65358.856793878316</v>
          </cell>
          <cell r="G44">
            <v>67261.323267918458</v>
          </cell>
          <cell r="H44">
            <v>54644.808743169393</v>
          </cell>
          <cell r="I44">
            <v>62335.981510424106</v>
          </cell>
        </row>
        <row r="45">
          <cell r="A45">
            <v>93</v>
          </cell>
          <cell r="C45">
            <v>23763</v>
          </cell>
          <cell r="D45">
            <v>46789.06438770541</v>
          </cell>
          <cell r="E45">
            <v>1.9689881070447928</v>
          </cell>
          <cell r="F45">
            <v>58949.600846316447</v>
          </cell>
          <cell r="G45">
            <v>58691.529451384107</v>
          </cell>
          <cell r="H45">
            <v>54644.808743169393</v>
          </cell>
          <cell r="I45">
            <v>62580.698285133418</v>
          </cell>
        </row>
        <row r="46">
          <cell r="A46">
            <v>94</v>
          </cell>
          <cell r="C46">
            <v>22696</v>
          </cell>
          <cell r="D46">
            <v>39829.631144985251</v>
          </cell>
          <cell r="E46">
            <v>1.7549185382880355</v>
          </cell>
          <cell r="F46">
            <v>60425.702304058359</v>
          </cell>
          <cell r="G46">
            <v>60535.256696586264</v>
          </cell>
          <cell r="H46">
            <v>54644.808743169393</v>
          </cell>
          <cell r="I46">
            <v>62544.067787928216</v>
          </cell>
        </row>
      </sheetData>
      <sheetData sheetId="6"/>
      <sheetData sheetId="7"/>
      <sheetData sheetId="8"/>
      <sheetData sheetId="9">
        <row r="6">
          <cell r="A6" t="str">
            <v>LittleSU5050</v>
          </cell>
        </row>
        <row r="7">
          <cell r="A7" t="str">
            <v>Little Susitna River coho salmon 1986-1994.</v>
          </cell>
        </row>
        <row r="8">
          <cell r="A8" t="str">
            <v>assume that 50% of all fish return as 4-year old salmon and 50% return as 3 year old salmon.</v>
          </cell>
        </row>
        <row r="10">
          <cell r="A10" t="str">
            <v xml:space="preserve">Data file: </v>
          </cell>
          <cell r="B10" t="str">
            <v>C:\SALMON\COHO\LITTLESU\LITTLESU5050.dat</v>
          </cell>
        </row>
        <row r="11">
          <cell r="A11" t="str">
            <v>Output file:</v>
          </cell>
          <cell r="B11" t="str">
            <v>C:\SALMON\COHO\LITTLESU\LITTLESU5050.out</v>
          </cell>
        </row>
        <row r="12">
          <cell r="C12" t="str">
            <v>Ricker</v>
          </cell>
        </row>
        <row r="13">
          <cell r="C13" t="str">
            <v>linearized model fit</v>
          </cell>
          <cell r="F13" t="str">
            <v>non-linearized model fit</v>
          </cell>
        </row>
        <row r="14">
          <cell r="C14" t="str">
            <v>a-hat</v>
          </cell>
          <cell r="D14">
            <v>10.696199999999999</v>
          </cell>
          <cell r="F14" t="str">
            <v>a-hat</v>
          </cell>
          <cell r="G14">
            <v>12.125999999999999</v>
          </cell>
        </row>
        <row r="15">
          <cell r="C15" t="str">
            <v>b-hat</v>
          </cell>
          <cell r="D15">
            <v>5.9732199999999997E-5</v>
          </cell>
          <cell r="F15" t="str">
            <v>b-hat</v>
          </cell>
          <cell r="G15">
            <v>6.4958500000000005E-5</v>
          </cell>
        </row>
        <row r="16">
          <cell r="C16" t="str">
            <v>MSY</v>
          </cell>
          <cell r="D16">
            <v>50978</v>
          </cell>
          <cell r="F16" t="str">
            <v>MSY</v>
          </cell>
          <cell r="G16">
            <v>54796</v>
          </cell>
        </row>
        <row r="17">
          <cell r="C17" t="str">
            <v xml:space="preserve">No of Spaw producing MSY </v>
          </cell>
          <cell r="D17">
            <v>13281</v>
          </cell>
          <cell r="F17" t="str">
            <v xml:space="preserve">No of Spaw producing MSY </v>
          </cell>
          <cell r="G17">
            <v>12530</v>
          </cell>
        </row>
        <row r="18">
          <cell r="C18" t="str">
            <v>Equilibrium No.</v>
          </cell>
          <cell r="D18">
            <v>39675</v>
          </cell>
          <cell r="F18" t="str">
            <v>Equilibrium No.</v>
          </cell>
          <cell r="G18">
            <v>38415</v>
          </cell>
        </row>
        <row r="20">
          <cell r="C20" t="str">
            <v>Beverton-Holt</v>
          </cell>
        </row>
        <row r="21">
          <cell r="C21" t="str">
            <v>linearized model fit</v>
          </cell>
          <cell r="F21" t="str">
            <v>non-linearized model fit</v>
          </cell>
        </row>
        <row r="22">
          <cell r="C22" t="str">
            <v>a-hat</v>
          </cell>
          <cell r="D22">
            <v>1.6255800000000001E-5</v>
          </cell>
          <cell r="F22" t="str">
            <v>a-hat</v>
          </cell>
          <cell r="G22">
            <v>1.48474E-5</v>
          </cell>
        </row>
        <row r="23">
          <cell r="C23" t="str">
            <v>b-hat</v>
          </cell>
          <cell r="D23">
            <v>1.8454999999999999E-2</v>
          </cell>
          <cell r="F23" t="str">
            <v>b-hat</v>
          </cell>
          <cell r="G23">
            <v>1.8270999999999999E-2</v>
          </cell>
        </row>
        <row r="24">
          <cell r="C24" t="str">
            <v>MSY</v>
          </cell>
          <cell r="D24">
            <v>45938</v>
          </cell>
          <cell r="F24" t="str">
            <v>MSY</v>
          </cell>
          <cell r="G24">
            <v>50374</v>
          </cell>
        </row>
        <row r="25">
          <cell r="C25" t="str">
            <v xml:space="preserve">No of Spaw producing MSY </v>
          </cell>
          <cell r="D25">
            <v>7222</v>
          </cell>
          <cell r="F25" t="str">
            <v xml:space="preserve">No of Spaw producing MSY </v>
          </cell>
          <cell r="G25">
            <v>7873</v>
          </cell>
        </row>
        <row r="26">
          <cell r="C26" t="str">
            <v>Equilibrium No.</v>
          </cell>
          <cell r="D26">
            <v>60381</v>
          </cell>
          <cell r="F26" t="str">
            <v>Equilibrium No.</v>
          </cell>
          <cell r="G26">
            <v>66121</v>
          </cell>
        </row>
        <row r="28">
          <cell r="C28" t="str">
            <v>observed weir</v>
          </cell>
          <cell r="D28" t="str">
            <v>observed aerial</v>
          </cell>
        </row>
        <row r="29">
          <cell r="A29" t="str">
            <v xml:space="preserve">Brood </v>
          </cell>
          <cell r="C29" t="str">
            <v>Escapement</v>
          </cell>
          <cell r="F29" t="str">
            <v>Ricker</v>
          </cell>
          <cell r="H29" t="str">
            <v>Beverton-Holt</v>
          </cell>
        </row>
        <row r="30">
          <cell r="A30" t="str">
            <v>Year</v>
          </cell>
          <cell r="D30" t="str">
            <v>Return</v>
          </cell>
          <cell r="E30" t="str">
            <v>R/S</v>
          </cell>
          <cell r="F30" t="str">
            <v>linearized</v>
          </cell>
          <cell r="G30" t="str">
            <v>non-linearized</v>
          </cell>
          <cell r="H30" t="str">
            <v>linearized</v>
          </cell>
          <cell r="I30" t="str">
            <v>non-linearized</v>
          </cell>
        </row>
        <row r="31">
          <cell r="A31">
            <v>81</v>
          </cell>
          <cell r="C31">
            <v>6750</v>
          </cell>
          <cell r="D31">
            <v>52235.897423299626</v>
          </cell>
          <cell r="E31">
            <v>7.7386514701184632</v>
          </cell>
          <cell r="F31">
            <v>48242.418846525034</v>
          </cell>
          <cell r="G31">
            <v>52795.424910414898</v>
          </cell>
          <cell r="H31">
            <v>52659.643560525234</v>
          </cell>
          <cell r="I31">
            <v>56966.375913097167</v>
          </cell>
        </row>
        <row r="32">
          <cell r="A32">
            <v>82</v>
          </cell>
          <cell r="C32">
            <v>6800</v>
          </cell>
          <cell r="D32">
            <v>26687.925145686317</v>
          </cell>
          <cell r="E32">
            <v>3.9246948743656347</v>
          </cell>
          <cell r="F32">
            <v>48454.838073316736</v>
          </cell>
          <cell r="G32">
            <v>53014.036591219068</v>
          </cell>
          <cell r="H32">
            <v>52715.450371349332</v>
          </cell>
          <cell r="I32">
            <v>57031.037968245793</v>
          </cell>
        </row>
        <row r="33">
          <cell r="A33">
            <v>83</v>
          </cell>
          <cell r="C33">
            <v>2666</v>
          </cell>
          <cell r="D33">
            <v>53504.502115055155</v>
          </cell>
          <cell r="E33">
            <v>20.069205594544318</v>
          </cell>
          <cell r="F33">
            <v>24318.119107084021</v>
          </cell>
          <cell r="G33">
            <v>27187.349369627376</v>
          </cell>
          <cell r="H33">
            <v>43144.071415200051</v>
          </cell>
          <cell r="I33">
            <v>46081.381406564302</v>
          </cell>
        </row>
        <row r="34">
          <cell r="A34">
            <v>84</v>
          </cell>
          <cell r="C34">
            <v>22208</v>
          </cell>
          <cell r="D34">
            <v>67080.797939105571</v>
          </cell>
          <cell r="E34">
            <v>3.0205690714654887</v>
          </cell>
          <cell r="F34">
            <v>63042.457307912744</v>
          </cell>
          <cell r="G34">
            <v>63637.703942317174</v>
          </cell>
          <cell r="H34">
            <v>58524.685689233091</v>
          </cell>
          <cell r="I34">
            <v>63815.714341037441</v>
          </cell>
        </row>
        <row r="35">
          <cell r="A35">
            <v>85</v>
          </cell>
          <cell r="C35">
            <v>3889</v>
          </cell>
          <cell r="D35">
            <v>40534.552649879763</v>
          </cell>
          <cell r="E35">
            <v>10.422872885029509</v>
          </cell>
          <cell r="F35">
            <v>32974.748367876622</v>
          </cell>
          <cell r="G35">
            <v>36630.468117263918</v>
          </cell>
          <cell r="H35">
            <v>47616.245415044708</v>
          </cell>
          <cell r="I35">
            <v>51162.611743110501</v>
          </cell>
        </row>
        <row r="36">
          <cell r="A36">
            <v>86</v>
          </cell>
          <cell r="C36">
            <v>6999</v>
          </cell>
          <cell r="D36">
            <v>30504.053080235477</v>
          </cell>
          <cell r="E36">
            <v>4.358344489246389</v>
          </cell>
          <cell r="F36">
            <v>49283.540051760319</v>
          </cell>
          <cell r="G36">
            <v>53864.662348886748</v>
          </cell>
          <cell r="H36">
            <v>52930.762398804967</v>
          </cell>
          <cell r="I36">
            <v>57280.60623875288</v>
          </cell>
        </row>
        <row r="37">
          <cell r="A37">
            <v>87</v>
          </cell>
          <cell r="C37">
            <v>26757.5</v>
          </cell>
          <cell r="D37">
            <v>58870.423115484518</v>
          </cell>
          <cell r="E37">
            <v>2.2001466174150992</v>
          </cell>
          <cell r="F37">
            <v>57882.726375248421</v>
          </cell>
          <cell r="G37">
            <v>57056.365735564075</v>
          </cell>
          <cell r="H37">
            <v>59012.671395103229</v>
          </cell>
          <cell r="I37">
            <v>64390.519380811769</v>
          </cell>
        </row>
        <row r="38">
          <cell r="A38">
            <v>88</v>
          </cell>
          <cell r="C38">
            <v>16063</v>
          </cell>
          <cell r="D38">
            <v>78956.39265093088</v>
          </cell>
          <cell r="E38">
            <v>4.9154200741412488</v>
          </cell>
          <cell r="F38">
            <v>65820.326248444166</v>
          </cell>
          <cell r="G38">
            <v>68610.254956768404</v>
          </cell>
          <cell r="H38">
            <v>57455.699643570129</v>
          </cell>
          <cell r="I38">
            <v>62559.201507827318</v>
          </cell>
        </row>
        <row r="39">
          <cell r="A39">
            <v>89</v>
          </cell>
          <cell r="C39">
            <v>8370</v>
          </cell>
          <cell r="D39">
            <v>73185.87879823512</v>
          </cell>
          <cell r="E39">
            <v>8.7438325923817342</v>
          </cell>
          <cell r="F39">
            <v>54303.240816559737</v>
          </cell>
          <cell r="G39">
            <v>58927.221415891865</v>
          </cell>
          <cell r="H39">
            <v>54169.131405291075</v>
          </cell>
          <cell r="I39">
            <v>58718.819342313029</v>
          </cell>
        </row>
        <row r="40">
          <cell r="A40">
            <v>90</v>
          </cell>
          <cell r="C40">
            <v>10940</v>
          </cell>
          <cell r="D40">
            <v>82846.344630659238</v>
          </cell>
          <cell r="E40">
            <v>7.5727920137714113</v>
          </cell>
          <cell r="F40">
            <v>60876.30796181062</v>
          </cell>
          <cell r="G40">
            <v>65178.633921945126</v>
          </cell>
          <cell r="H40">
            <v>55732.883030657591</v>
          </cell>
          <cell r="I40">
            <v>60541.814039498364</v>
          </cell>
        </row>
        <row r="41">
          <cell r="A41">
            <v>91</v>
          </cell>
          <cell r="C41">
            <v>29279</v>
          </cell>
          <cell r="D41">
            <v>74383.227625828717</v>
          </cell>
          <cell r="E41">
            <v>2.5404975451971965</v>
          </cell>
          <cell r="F41">
            <v>54481.434371966541</v>
          </cell>
          <cell r="G41">
            <v>53000.562232379409</v>
          </cell>
          <cell r="H41">
            <v>59220.252000478984</v>
          </cell>
          <cell r="I41">
            <v>64635.262766281972</v>
          </cell>
        </row>
        <row r="42">
          <cell r="A42">
            <v>92</v>
          </cell>
          <cell r="C42">
            <v>18069</v>
          </cell>
          <cell r="D42">
            <v>59042.099766362371</v>
          </cell>
          <cell r="E42">
            <v>3.2675908886137788</v>
          </cell>
          <cell r="F42">
            <v>65679.390097646043</v>
          </cell>
          <cell r="G42">
            <v>67749.327524928318</v>
          </cell>
          <cell r="H42">
            <v>57879.874478044148</v>
          </cell>
          <cell r="I42">
            <v>63057.350648898806</v>
          </cell>
        </row>
        <row r="43">
          <cell r="A43">
            <v>93</v>
          </cell>
          <cell r="C43">
            <v>23763</v>
          </cell>
          <cell r="D43">
            <v>51149.788289290715</v>
          </cell>
          <cell r="E43">
            <v>2.1524970874591052</v>
          </cell>
          <cell r="F43">
            <v>61473.243724403037</v>
          </cell>
          <cell r="G43">
            <v>61551.413737832947</v>
          </cell>
          <cell r="H43">
            <v>58711.537050562169</v>
          </cell>
          <cell r="I43">
            <v>64035.719021129938</v>
          </cell>
        </row>
        <row r="44">
          <cell r="A44">
            <v>94</v>
          </cell>
          <cell r="C44">
            <v>22696</v>
          </cell>
          <cell r="D44">
            <v>39447.638255043872</v>
          </cell>
          <cell r="E44">
            <v>1.7380876918859656</v>
          </cell>
          <cell r="F44">
            <v>62576.838930587699</v>
          </cell>
          <cell r="G44">
            <v>63006.789419983812</v>
          </cell>
          <cell r="H44">
            <v>58585.950016177318</v>
          </cell>
          <cell r="I44">
            <v>63887.836577427217</v>
          </cell>
        </row>
        <row r="58">
          <cell r="B58" t="str">
            <v>replacement line</v>
          </cell>
          <cell r="C58" t="str">
            <v>observed</v>
          </cell>
          <cell r="F58" t="str">
            <v>Ricker (linear)</v>
          </cell>
          <cell r="G58" t="str">
            <v>Ricker (non-linear)</v>
          </cell>
          <cell r="H58" t="str">
            <v>Beverton-Holt (linear)</v>
          </cell>
          <cell r="I58" t="str">
            <v>Beverton-Holt (non-linear)</v>
          </cell>
        </row>
      </sheetData>
      <sheetData sheetId="10"/>
      <sheetData sheetId="11"/>
      <sheetData sheetId="12">
        <row r="6">
          <cell r="A6" t="str">
            <v>LittleSu4</v>
          </cell>
        </row>
        <row r="7">
          <cell r="A7" t="str">
            <v>Little Susitna River coho salmon 1986-1994.</v>
          </cell>
        </row>
        <row r="8">
          <cell r="A8" t="str">
            <v>assume that 100% of all fish return as 4-year old salmon.</v>
          </cell>
        </row>
        <row r="10">
          <cell r="A10" t="str">
            <v xml:space="preserve">Data file: </v>
          </cell>
          <cell r="B10" t="str">
            <v>C:\SALMON\COHO\LITTLESU\LITTLESU4.dat</v>
          </cell>
        </row>
        <row r="11">
          <cell r="A11" t="str">
            <v>Output file:</v>
          </cell>
          <cell r="B11" t="str">
            <v>C:\SALMON\COHO\LITTLESU\LITTLESU4.out</v>
          </cell>
        </row>
        <row r="12">
          <cell r="C12" t="str">
            <v>Ricker</v>
          </cell>
        </row>
        <row r="13">
          <cell r="C13" t="str">
            <v>linearized model fit</v>
          </cell>
          <cell r="H13" t="str">
            <v>non-linearized model fit</v>
          </cell>
        </row>
        <row r="14">
          <cell r="C14" t="str">
            <v>a-hat</v>
          </cell>
          <cell r="E14">
            <v>14.8438</v>
          </cell>
          <cell r="H14" t="str">
            <v>a-hat</v>
          </cell>
          <cell r="I14">
            <v>16.939599999999999</v>
          </cell>
        </row>
        <row r="15">
          <cell r="C15" t="str">
            <v>b-hat</v>
          </cell>
          <cell r="E15">
            <v>7.9428499999999993E-5</v>
          </cell>
          <cell r="H15" t="str">
            <v>b-hat</v>
          </cell>
          <cell r="I15">
            <v>8.4483739999999995E-5</v>
          </cell>
        </row>
        <row r="16">
          <cell r="C16" t="str">
            <v>MSY</v>
          </cell>
          <cell r="E16">
            <v>57195</v>
          </cell>
          <cell r="H16" t="str">
            <v>MSY</v>
          </cell>
          <cell r="I16">
            <v>62527</v>
          </cell>
        </row>
        <row r="17">
          <cell r="C17" t="str">
            <v xml:space="preserve">No of Spaw producing MSY </v>
          </cell>
          <cell r="E17">
            <v>10619</v>
          </cell>
          <cell r="H17" t="str">
            <v xml:space="preserve">No of Spaw producing MSY </v>
          </cell>
          <cell r="I17">
            <v>10142</v>
          </cell>
        </row>
        <row r="18">
          <cell r="C18" t="str">
            <v>Equilibrium No.</v>
          </cell>
          <cell r="E18">
            <v>33962</v>
          </cell>
          <cell r="H18" t="str">
            <v>Equilibrium No.</v>
          </cell>
          <cell r="I18">
            <v>33354</v>
          </cell>
        </row>
        <row r="20">
          <cell r="C20" t="str">
            <v>Beverton-Holt</v>
          </cell>
        </row>
        <row r="21">
          <cell r="C21" t="str">
            <v>linearized model fit</v>
          </cell>
          <cell r="H21" t="str">
            <v>non-linearized model fit</v>
          </cell>
        </row>
        <row r="22">
          <cell r="C22" t="str">
            <v>a-hat</v>
          </cell>
          <cell r="E22">
            <v>2.32749E-5</v>
          </cell>
          <cell r="H22" t="str">
            <v>a-hat</v>
          </cell>
          <cell r="I22">
            <v>1.7274000000000001E-5</v>
          </cell>
        </row>
        <row r="23">
          <cell r="C23" t="str">
            <v>b-hat</v>
          </cell>
          <cell r="E23">
            <v>0</v>
          </cell>
          <cell r="H23" t="str">
            <v>b-hat</v>
          </cell>
          <cell r="I23">
            <v>0</v>
          </cell>
        </row>
        <row r="24">
          <cell r="C24" t="str">
            <v>MSY</v>
          </cell>
          <cell r="E24">
            <v>900981959</v>
          </cell>
          <cell r="H24" t="str">
            <v>MSY</v>
          </cell>
          <cell r="I24">
            <v>1273301206</v>
          </cell>
        </row>
        <row r="25">
          <cell r="C25" t="str">
            <v xml:space="preserve">No of Spaw producing MSY </v>
          </cell>
          <cell r="E25">
            <v>3328</v>
          </cell>
          <cell r="H25" t="str">
            <v xml:space="preserve">No of Spaw producing MSY </v>
          </cell>
          <cell r="I25">
            <v>964</v>
          </cell>
        </row>
        <row r="26">
          <cell r="C26" t="str">
            <v>Equilibrium No.</v>
          </cell>
          <cell r="E26">
            <v>46292</v>
          </cell>
          <cell r="H26" t="str">
            <v>Equilibrium No.</v>
          </cell>
          <cell r="I26">
            <v>58853</v>
          </cell>
        </row>
        <row r="30">
          <cell r="A30" t="str">
            <v xml:space="preserve">Brood </v>
          </cell>
          <cell r="C30" t="str">
            <v>Escapement</v>
          </cell>
          <cell r="H30" t="str">
            <v>Ricker</v>
          </cell>
          <cell r="J30" t="str">
            <v>Beverton-Holt</v>
          </cell>
        </row>
        <row r="31">
          <cell r="A31" t="str">
            <v>Year</v>
          </cell>
          <cell r="E31" t="str">
            <v>Return</v>
          </cell>
          <cell r="G31" t="str">
            <v>R/S</v>
          </cell>
          <cell r="H31" t="str">
            <v>linearized</v>
          </cell>
          <cell r="I31" t="str">
            <v>non-linearized</v>
          </cell>
          <cell r="J31" t="str">
            <v>linearized</v>
          </cell>
          <cell r="K31" t="str">
            <v>non-linearized</v>
          </cell>
        </row>
        <row r="32">
          <cell r="A32">
            <v>81</v>
          </cell>
          <cell r="C32">
            <v>6750</v>
          </cell>
          <cell r="E32">
            <v>25302.610993628074</v>
          </cell>
          <cell r="G32">
            <v>3.7485349620189741</v>
          </cell>
          <cell r="H32">
            <v>58614.517190874758</v>
          </cell>
          <cell r="I32">
            <v>64646.32997932427</v>
          </cell>
          <cell r="J32">
            <v>42964.738838834972</v>
          </cell>
          <cell r="K32">
            <v>57890.471228435796</v>
          </cell>
        </row>
        <row r="33">
          <cell r="A33">
            <v>82</v>
          </cell>
          <cell r="C33">
            <v>6800</v>
          </cell>
          <cell r="E33">
            <v>28073.23929774456</v>
          </cell>
          <cell r="G33">
            <v>4.1284175437859645</v>
          </cell>
          <cell r="H33">
            <v>58814.656369658238</v>
          </cell>
          <cell r="I33">
            <v>64850.670916528397</v>
          </cell>
          <cell r="J33">
            <v>42964.738838834972</v>
          </cell>
          <cell r="K33">
            <v>57890.471228435796</v>
          </cell>
        </row>
        <row r="34">
          <cell r="A34">
            <v>83</v>
          </cell>
          <cell r="C34">
            <v>2666</v>
          </cell>
          <cell r="E34">
            <v>78935.764932365753</v>
          </cell>
          <cell r="G34">
            <v>29.608313928119188</v>
          </cell>
          <cell r="H34">
            <v>32021.421810446504</v>
          </cell>
          <cell r="I34">
            <v>36053.344996019274</v>
          </cell>
          <cell r="J34">
            <v>42964.738838834972</v>
          </cell>
          <cell r="K34">
            <v>57890.471228435796</v>
          </cell>
        </row>
        <row r="35">
          <cell r="A35">
            <v>84</v>
          </cell>
          <cell r="C35">
            <v>22208</v>
          </cell>
          <cell r="E35">
            <v>55225.830945845395</v>
          </cell>
          <cell r="G35">
            <v>2.4867539150686868</v>
          </cell>
          <cell r="H35">
            <v>56491.304631138308</v>
          </cell>
          <cell r="I35">
            <v>57621.26955211832</v>
          </cell>
          <cell r="J35">
            <v>42964.738838834972</v>
          </cell>
          <cell r="K35">
            <v>57890.471228435796</v>
          </cell>
        </row>
        <row r="36">
          <cell r="A36">
            <v>85</v>
          </cell>
          <cell r="C36">
            <v>3889</v>
          </cell>
          <cell r="E36">
            <v>25843.274353914127</v>
          </cell>
          <cell r="G36">
            <v>6.645223541762439</v>
          </cell>
          <cell r="H36">
            <v>42386.795562571737</v>
          </cell>
          <cell r="I36">
            <v>47429.711940383444</v>
          </cell>
          <cell r="J36">
            <v>42964.738838834972</v>
          </cell>
          <cell r="K36">
            <v>57890.471228435796</v>
          </cell>
        </row>
        <row r="37">
          <cell r="A37">
            <v>86</v>
          </cell>
          <cell r="C37">
            <v>6999</v>
          </cell>
          <cell r="E37">
            <v>35164.831806556824</v>
          </cell>
          <cell r="G37">
            <v>5.0242651531014175</v>
          </cell>
          <cell r="H37">
            <v>59586.526308088294</v>
          </cell>
          <cell r="I37">
            <v>65635.6938566053</v>
          </cell>
          <cell r="J37">
            <v>42964.738838834972</v>
          </cell>
          <cell r="K37">
            <v>57890.471228435796</v>
          </cell>
        </row>
        <row r="38">
          <cell r="A38">
            <v>87</v>
          </cell>
          <cell r="C38">
            <v>26757.5</v>
          </cell>
          <cell r="E38">
            <v>82576.01442441222</v>
          </cell>
          <cell r="G38">
            <v>3.0860885517859376</v>
          </cell>
          <cell r="H38">
            <v>47422.129591789351</v>
          </cell>
          <cell r="I38">
            <v>47270.915449870408</v>
          </cell>
          <cell r="J38">
            <v>42964.738838834972</v>
          </cell>
          <cell r="K38">
            <v>57890.471228435796</v>
          </cell>
        </row>
        <row r="39">
          <cell r="A39">
            <v>88</v>
          </cell>
          <cell r="C39">
            <v>16063</v>
          </cell>
          <cell r="E39">
            <v>75336.770877449555</v>
          </cell>
          <cell r="G39">
            <v>4.6900809859583861</v>
          </cell>
          <cell r="H39">
            <v>66569.117228626303</v>
          </cell>
          <cell r="I39">
            <v>70043.063878016605</v>
          </cell>
          <cell r="J39">
            <v>42964.738838834972</v>
          </cell>
          <cell r="K39">
            <v>57890.471228435796</v>
          </cell>
        </row>
        <row r="40">
          <cell r="A40">
            <v>89</v>
          </cell>
          <cell r="C40">
            <v>8370</v>
          </cell>
          <cell r="E40">
            <v>71034.986719020671</v>
          </cell>
          <cell r="G40">
            <v>8.4868562388316207</v>
          </cell>
          <cell r="H40">
            <v>63906.406153483207</v>
          </cell>
          <cell r="I40">
            <v>69907.927644663694</v>
          </cell>
          <cell r="J40">
            <v>42964.738838834972</v>
          </cell>
          <cell r="K40">
            <v>57890.471228435796</v>
          </cell>
        </row>
        <row r="41">
          <cell r="A41">
            <v>90</v>
          </cell>
          <cell r="C41">
            <v>10940</v>
          </cell>
          <cell r="E41">
            <v>94657.702542297819</v>
          </cell>
          <cell r="G41">
            <v>8.6524408173946821</v>
          </cell>
          <cell r="H41">
            <v>68105.656858513874</v>
          </cell>
          <cell r="I41">
            <v>73539.873637425742</v>
          </cell>
          <cell r="J41">
            <v>42964.738838834972</v>
          </cell>
          <cell r="K41">
            <v>57890.471228435796</v>
          </cell>
        </row>
        <row r="42">
          <cell r="A42">
            <v>91</v>
          </cell>
          <cell r="C42">
            <v>29279</v>
          </cell>
          <cell r="E42">
            <v>54108.752709359607</v>
          </cell>
          <cell r="G42">
            <v>1.8480396430670312</v>
          </cell>
          <cell r="H42">
            <v>42472.879959868267</v>
          </cell>
          <cell r="I42">
            <v>41801.205893386286</v>
          </cell>
          <cell r="J42">
            <v>42964.738838834972</v>
          </cell>
          <cell r="K42">
            <v>57890.471228435796</v>
          </cell>
        </row>
        <row r="43">
          <cell r="A43">
            <v>92</v>
          </cell>
          <cell r="C43">
            <v>18069</v>
          </cell>
          <cell r="E43">
            <v>63975.446823365135</v>
          </cell>
          <cell r="G43">
            <v>3.5406191169054808</v>
          </cell>
          <cell r="H43">
            <v>63853.185134623927</v>
          </cell>
          <cell r="I43">
            <v>66507.527773979557</v>
          </cell>
          <cell r="J43">
            <v>42964.738838834972</v>
          </cell>
          <cell r="K43">
            <v>57890.471228435796</v>
          </cell>
        </row>
      </sheetData>
      <sheetData sheetId="13"/>
      <sheetData sheetId="14"/>
      <sheetData sheetId="15"/>
      <sheetData sheetId="16"/>
      <sheetData sheetId="17"/>
      <sheetData sheetId="18"/>
      <sheetData sheetId="19"/>
      <sheetData sheetId="20"/>
      <sheetData sheetId="21">
        <row r="6">
          <cell r="A6" t="str">
            <v>Table  26.</v>
          </cell>
          <cell r="B6" t="str">
            <v>Spawner-recruit analysis summary, Little Susitna River coho salmon, 1986-1994.</v>
          </cell>
        </row>
        <row r="9">
          <cell r="G9" t="str">
            <v>Average</v>
          </cell>
        </row>
        <row r="10">
          <cell r="G10" t="str">
            <v>Commercial</v>
          </cell>
          <cell r="M10" t="str">
            <v xml:space="preserve">No. of </v>
          </cell>
        </row>
        <row r="11">
          <cell r="G11" t="str">
            <v>Harvest</v>
          </cell>
          <cell r="I11" t="str">
            <v>Assumed</v>
          </cell>
          <cell r="M11" t="str">
            <v>Spawners</v>
          </cell>
        </row>
        <row r="12">
          <cell r="A12" t="str">
            <v xml:space="preserve">Model </v>
          </cell>
          <cell r="E12" t="str">
            <v>Model</v>
          </cell>
          <cell r="G12" t="str">
            <v xml:space="preserve">E-rate </v>
          </cell>
          <cell r="I12" t="str">
            <v>Brood Year</v>
          </cell>
          <cell r="M12" t="str">
            <v>producing</v>
          </cell>
          <cell r="O12" t="str">
            <v>Total</v>
          </cell>
          <cell r="Q12" t="str">
            <v>Possible</v>
          </cell>
          <cell r="S12" t="str">
            <v>MSY point</v>
          </cell>
        </row>
        <row r="13">
          <cell r="A13" t="str">
            <v>Name</v>
          </cell>
          <cell r="C13" t="str">
            <v>Model</v>
          </cell>
          <cell r="E13" t="str">
            <v>Fit</v>
          </cell>
          <cell r="G13" t="str">
            <v>prior to 1993</v>
          </cell>
          <cell r="I13" t="str">
            <v>Age Compositon</v>
          </cell>
          <cell r="K13" t="str">
            <v>MSY</v>
          </cell>
          <cell r="M13" t="str">
            <v>MSY</v>
          </cell>
          <cell r="O13" t="str">
            <v>Return</v>
          </cell>
          <cell r="Q13" t="str">
            <v>E-rate</v>
          </cell>
          <cell r="S13" t="str">
            <v>RPS</v>
          </cell>
        </row>
        <row r="15">
          <cell r="A15" t="str">
            <v>LS34</v>
          </cell>
          <cell r="C15" t="str">
            <v>Ricker</v>
          </cell>
          <cell r="E15" t="str">
            <v>Linear</v>
          </cell>
          <cell r="G15">
            <v>0.55000000000000004</v>
          </cell>
          <cell r="I15" t="str">
            <v>0.33 age 3; 0.67 age 4</v>
          </cell>
          <cell r="K15">
            <v>52897</v>
          </cell>
          <cell r="M15">
            <v>12257</v>
          </cell>
          <cell r="O15">
            <v>65154</v>
          </cell>
          <cell r="Q15">
            <v>0.81187647726923906</v>
          </cell>
          <cell r="S15">
            <v>5.3156563596312312</v>
          </cell>
        </row>
        <row r="16">
          <cell r="C16" t="str">
            <v>Ricker</v>
          </cell>
          <cell r="E16" t="str">
            <v>nonLinear</v>
          </cell>
          <cell r="G16">
            <v>0.55000000000000004</v>
          </cell>
          <cell r="I16" t="str">
            <v>0.33 age 3; 0.67 age 4</v>
          </cell>
          <cell r="K16">
            <v>57218</v>
          </cell>
          <cell r="M16">
            <v>11549</v>
          </cell>
          <cell r="O16">
            <v>68767</v>
          </cell>
          <cell r="Q16">
            <v>0.83205607340730292</v>
          </cell>
          <cell r="S16">
            <v>5.9543683435795307</v>
          </cell>
        </row>
        <row r="17">
          <cell r="C17" t="str">
            <v>Beverton-Holt</v>
          </cell>
          <cell r="E17" t="str">
            <v>Linear</v>
          </cell>
          <cell r="G17">
            <v>0.55000000000000004</v>
          </cell>
          <cell r="I17" t="str">
            <v>0.33 age 3; 0.67 age 4</v>
          </cell>
          <cell r="K17">
            <v>509959603</v>
          </cell>
          <cell r="M17">
            <v>625</v>
          </cell>
          <cell r="O17">
            <v>509960228</v>
          </cell>
          <cell r="Q17">
            <v>0.99999877441422746</v>
          </cell>
          <cell r="S17">
            <v>815936.36479999998</v>
          </cell>
        </row>
        <row r="18">
          <cell r="C18" t="str">
            <v>Beverton-Holt</v>
          </cell>
          <cell r="E18" t="str">
            <v>nonLinear</v>
          </cell>
          <cell r="G18">
            <v>0.55000000000000004</v>
          </cell>
          <cell r="I18" t="str">
            <v>0.33 age 3; 0.67 age 4</v>
          </cell>
          <cell r="K18">
            <v>54953</v>
          </cell>
          <cell r="M18">
            <v>4059</v>
          </cell>
          <cell r="O18">
            <v>59012</v>
          </cell>
          <cell r="Q18">
            <v>0.93121737951603067</v>
          </cell>
          <cell r="S18">
            <v>14.538556294653855</v>
          </cell>
        </row>
        <row r="20">
          <cell r="A20" t="str">
            <v>LS5050</v>
          </cell>
          <cell r="C20" t="str">
            <v>Ricker</v>
          </cell>
          <cell r="E20" t="str">
            <v>Linear</v>
          </cell>
          <cell r="G20">
            <v>0.55000000000000004</v>
          </cell>
          <cell r="I20" t="str">
            <v>0.50 age 3; 0.50 age 4</v>
          </cell>
          <cell r="K20">
            <v>50978</v>
          </cell>
          <cell r="M20">
            <v>13281</v>
          </cell>
          <cell r="O20">
            <v>64259</v>
          </cell>
          <cell r="Q20">
            <v>0.79332077996856476</v>
          </cell>
          <cell r="S20">
            <v>4.8384157819441311</v>
          </cell>
        </row>
        <row r="21">
          <cell r="C21" t="str">
            <v>Ricker</v>
          </cell>
          <cell r="E21" t="str">
            <v>nonLinear</v>
          </cell>
          <cell r="G21">
            <v>0.55000000000000004</v>
          </cell>
          <cell r="I21" t="str">
            <v>0.50 age 3; 0.50 age 4</v>
          </cell>
          <cell r="K21">
            <v>54796</v>
          </cell>
          <cell r="M21">
            <v>12530</v>
          </cell>
          <cell r="O21">
            <v>67326</v>
          </cell>
          <cell r="Q21">
            <v>0.81389062175088378</v>
          </cell>
          <cell r="S21">
            <v>5.3731843575418994</v>
          </cell>
        </row>
        <row r="22">
          <cell r="C22" t="str">
            <v>Beverton-Holt</v>
          </cell>
          <cell r="E22" t="str">
            <v>Linear</v>
          </cell>
          <cell r="G22">
            <v>0.55000000000000004</v>
          </cell>
          <cell r="I22" t="str">
            <v>0.50 age 3; 0.50 age 4</v>
          </cell>
          <cell r="K22">
            <v>45938</v>
          </cell>
          <cell r="M22">
            <v>7222</v>
          </cell>
          <cell r="O22">
            <v>53160</v>
          </cell>
          <cell r="Q22">
            <v>0.86414597441685481</v>
          </cell>
          <cell r="S22">
            <v>7.3608418720576019</v>
          </cell>
        </row>
        <row r="23">
          <cell r="C23" t="str">
            <v>Beverton-Holt</v>
          </cell>
          <cell r="E23" t="str">
            <v>nonLinear</v>
          </cell>
          <cell r="G23">
            <v>0.55000000000000004</v>
          </cell>
          <cell r="I23" t="str">
            <v>0.50 age 3; 0.50 age 4</v>
          </cell>
          <cell r="K23">
            <v>50374</v>
          </cell>
          <cell r="M23">
            <v>7873</v>
          </cell>
          <cell r="O23">
            <v>58247</v>
          </cell>
          <cell r="Q23">
            <v>0.86483424039006296</v>
          </cell>
          <cell r="S23">
            <v>7.398323383716499</v>
          </cell>
        </row>
        <row r="25">
          <cell r="A25" t="str">
            <v>LS4</v>
          </cell>
          <cell r="C25" t="str">
            <v>Ricker</v>
          </cell>
          <cell r="E25" t="str">
            <v>Linear</v>
          </cell>
          <cell r="G25">
            <v>0.55000000000000004</v>
          </cell>
          <cell r="I25" t="str">
            <v>0.00 age 3; 1.00 age 4</v>
          </cell>
          <cell r="K25">
            <v>57195</v>
          </cell>
          <cell r="M25">
            <v>10619</v>
          </cell>
          <cell r="O25">
            <v>67814</v>
          </cell>
          <cell r="Q25">
            <v>0.84340991535671095</v>
          </cell>
          <cell r="S25">
            <v>6.3861003861003862</v>
          </cell>
        </row>
        <row r="26">
          <cell r="C26" t="str">
            <v>Ricker</v>
          </cell>
          <cell r="E26" t="str">
            <v>nonLinear</v>
          </cell>
          <cell r="G26">
            <v>0.55000000000000004</v>
          </cell>
          <cell r="I26" t="str">
            <v>0.00 age 3; 1.00 age 4</v>
          </cell>
          <cell r="K26">
            <v>62527</v>
          </cell>
          <cell r="M26">
            <v>10142</v>
          </cell>
          <cell r="O26">
            <v>72669</v>
          </cell>
          <cell r="Q26">
            <v>0.86043567408385968</v>
          </cell>
          <cell r="S26">
            <v>7.1651548018142375</v>
          </cell>
        </row>
        <row r="27">
          <cell r="C27" t="str">
            <v>Beverton-Holt</v>
          </cell>
          <cell r="E27" t="str">
            <v>Linear</v>
          </cell>
          <cell r="G27">
            <v>0.55000000000000004</v>
          </cell>
          <cell r="I27" t="str">
            <v>0.00 age 3; 1.00 age 4</v>
          </cell>
          <cell r="K27">
            <v>900981959</v>
          </cell>
          <cell r="M27">
            <v>3328</v>
          </cell>
          <cell r="O27">
            <v>900985287</v>
          </cell>
          <cell r="Q27">
            <v>0.99999630626598679</v>
          </cell>
          <cell r="S27">
            <v>270728.75210336538</v>
          </cell>
        </row>
        <row r="28">
          <cell r="C28" t="str">
            <v>Beverton-Holt</v>
          </cell>
          <cell r="E28" t="str">
            <v>nonLinear</v>
          </cell>
          <cell r="G28">
            <v>0.55000000000000004</v>
          </cell>
          <cell r="I28" t="str">
            <v>0.00 age 3; 1.00 age 4</v>
          </cell>
          <cell r="K28">
            <v>1273301206</v>
          </cell>
          <cell r="M28">
            <v>964</v>
          </cell>
          <cell r="O28">
            <v>1273302170</v>
          </cell>
          <cell r="Q28">
            <v>0.99999924291340836</v>
          </cell>
          <cell r="S28">
            <v>1320852.8734439835</v>
          </cell>
        </row>
        <row r="30">
          <cell r="A30" t="str">
            <v>LS34lo</v>
          </cell>
          <cell r="C30" t="str">
            <v>Ricker</v>
          </cell>
          <cell r="E30" t="str">
            <v>Linear</v>
          </cell>
          <cell r="G30">
            <v>0.35</v>
          </cell>
          <cell r="I30" t="str">
            <v>0.33 age 3; 0.67 age 4</v>
          </cell>
          <cell r="K30">
            <v>40726</v>
          </cell>
          <cell r="M30">
            <v>13049</v>
          </cell>
          <cell r="O30">
            <v>53775</v>
          </cell>
          <cell r="Q30">
            <v>0.75734077173407721</v>
          </cell>
          <cell r="S30">
            <v>4.1210054410299639</v>
          </cell>
        </row>
        <row r="31">
          <cell r="C31" t="str">
            <v>Ricker</v>
          </cell>
          <cell r="E31" t="str">
            <v>nonLinear</v>
          </cell>
          <cell r="G31">
            <v>0.35</v>
          </cell>
          <cell r="I31" t="str">
            <v>0.33 age 3; 0.67 age 4</v>
          </cell>
          <cell r="K31">
            <v>45954</v>
          </cell>
          <cell r="M31">
            <v>12028</v>
          </cell>
          <cell r="O31">
            <v>57982</v>
          </cell>
          <cell r="Q31">
            <v>0.79255631057914522</v>
          </cell>
          <cell r="S31">
            <v>4.8205853009644164</v>
          </cell>
        </row>
        <row r="32">
          <cell r="C32" t="str">
            <v>Beverton-Holt</v>
          </cell>
          <cell r="E32" t="str">
            <v>Linear</v>
          </cell>
          <cell r="G32">
            <v>0.35</v>
          </cell>
          <cell r="I32" t="str">
            <v>0.33 age 3; 0.67 age 4</v>
          </cell>
          <cell r="K32">
            <v>34987</v>
          </cell>
          <cell r="M32">
            <v>8483</v>
          </cell>
          <cell r="O32">
            <v>43470</v>
          </cell>
          <cell r="Q32">
            <v>0.80485392224522656</v>
          </cell>
          <cell r="S32">
            <v>5.1243663798184604</v>
          </cell>
        </row>
        <row r="33">
          <cell r="C33" t="str">
            <v>Beverton-Holt</v>
          </cell>
          <cell r="E33" t="str">
            <v>nonLinear</v>
          </cell>
          <cell r="G33">
            <v>0.35</v>
          </cell>
          <cell r="I33" t="str">
            <v>0.33 age 3; 0.67 age 4</v>
          </cell>
          <cell r="K33">
            <v>42552</v>
          </cell>
          <cell r="M33">
            <v>7231</v>
          </cell>
          <cell r="O33">
            <v>49783</v>
          </cell>
          <cell r="Q33">
            <v>0.85474961332181665</v>
          </cell>
          <cell r="S33">
            <v>6.884663255428018</v>
          </cell>
        </row>
        <row r="35">
          <cell r="A35" t="str">
            <v>LS34hi</v>
          </cell>
          <cell r="C35" t="str">
            <v>Ricker</v>
          </cell>
          <cell r="E35" t="str">
            <v>Linear</v>
          </cell>
          <cell r="G35">
            <v>0.75</v>
          </cell>
          <cell r="I35" t="str">
            <v>0.33 age 3; 0.67 age 4</v>
          </cell>
          <cell r="K35">
            <v>79860</v>
          </cell>
          <cell r="M35">
            <v>10882</v>
          </cell>
          <cell r="O35">
            <v>90742</v>
          </cell>
          <cell r="Q35">
            <v>0.8800775825968129</v>
          </cell>
          <cell r="S35">
            <v>8.3387244991729457</v>
          </cell>
        </row>
        <row r="36">
          <cell r="C36" t="str">
            <v>Ricker</v>
          </cell>
          <cell r="E36" t="str">
            <v>nonLinear</v>
          </cell>
          <cell r="G36">
            <v>0.75</v>
          </cell>
          <cell r="I36" t="str">
            <v>0.33 age 3; 0.67 age 4</v>
          </cell>
          <cell r="K36">
            <v>85722</v>
          </cell>
          <cell r="M36">
            <v>10630</v>
          </cell>
          <cell r="O36">
            <v>96352</v>
          </cell>
          <cell r="Q36">
            <v>0.88967535702424438</v>
          </cell>
          <cell r="S36">
            <v>9.0641580432737534</v>
          </cell>
        </row>
        <row r="37">
          <cell r="C37" t="str">
            <v>Beverton-Holt</v>
          </cell>
          <cell r="E37" t="str">
            <v>Linear</v>
          </cell>
          <cell r="G37">
            <v>0.75</v>
          </cell>
          <cell r="I37" t="str">
            <v>0.33 age 3; 0.67 age 4</v>
          </cell>
          <cell r="K37">
            <v>3198829504</v>
          </cell>
          <cell r="M37">
            <v>3398</v>
          </cell>
          <cell r="O37">
            <v>3198832902</v>
          </cell>
          <cell r="Q37">
            <v>0.99999893773757365</v>
          </cell>
          <cell r="S37">
            <v>941386.96350794588</v>
          </cell>
        </row>
        <row r="38">
          <cell r="C38" t="str">
            <v>Beverton-Holt</v>
          </cell>
          <cell r="E38" t="str">
            <v>nonLinear</v>
          </cell>
          <cell r="G38">
            <v>0.75</v>
          </cell>
          <cell r="I38" t="str">
            <v>0.33 age 3; 0.67 age 4</v>
          </cell>
          <cell r="K38">
            <v>1786924259</v>
          </cell>
          <cell r="M38">
            <v>1121</v>
          </cell>
          <cell r="O38">
            <v>1786925380</v>
          </cell>
          <cell r="Q38">
            <v>0.99999937266546635</v>
          </cell>
          <cell r="S38">
            <v>1594045.8340767173</v>
          </cell>
        </row>
      </sheetData>
      <sheetData sheetId="22"/>
      <sheetData sheetId="23"/>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unsiblings"/>
      <sheetName val="root"/>
      <sheetName val="age 4 forecasts"/>
      <sheetName val="age 5&amp;6 forecasts"/>
      <sheetName val="run table-10"/>
      <sheetName val="models table"/>
      <sheetName val="prelim run table"/>
      <sheetName val="projection table AA"/>
      <sheetName val="projection table"/>
      <sheetName val="quick projection"/>
      <sheetName val="reg table"/>
      <sheetName val="old forecasts"/>
      <sheetName val="sibling regress"/>
      <sheetName val="air regress"/>
      <sheetName val="exploit"/>
      <sheetName val="ranks"/>
      <sheetName val="subsistence"/>
      <sheetName val="boats"/>
      <sheetName val="S-R regexp trim"/>
      <sheetName val="current trimmed Ricker"/>
      <sheetName val="All Years Ricker"/>
      <sheetName val="siblings ratio"/>
      <sheetName val="S-R regexp full"/>
      <sheetName val="marine harvest"/>
      <sheetName val="beg siblings"/>
      <sheetName val="beg root"/>
      <sheetName val="siblings correlation"/>
      <sheetName val="comments"/>
      <sheetName val="CF siblings"/>
      <sheetName val="groundfish"/>
      <sheetName val="all yields"/>
      <sheetName val="trimmed yields"/>
      <sheetName val="trimmed yields (2)"/>
      <sheetName val="comparisons"/>
      <sheetName val="SRmodels"/>
      <sheetName val="trim2SR no 86"/>
      <sheetName val="trim2SR plot"/>
      <sheetName val="trim2S-R"/>
      <sheetName val="trimSR"/>
      <sheetName val="desha2S-R+94"/>
      <sheetName val="Deshka2SR plot"/>
      <sheetName val="SF age"/>
      <sheetName val="92-02 CFages"/>
      <sheetName val="CF weighted age"/>
      <sheetName val="esc vs CF ages"/>
      <sheetName val="ageovertime"/>
      <sheetName val="age report template"/>
    </sheetNames>
    <sheetDataSet>
      <sheetData sheetId="0"/>
      <sheetData sheetId="1">
        <row r="39">
          <cell r="BV39">
            <v>4059.8806994979118</v>
          </cell>
        </row>
      </sheetData>
      <sheetData sheetId="2"/>
      <sheetData sheetId="3"/>
      <sheetData sheetId="4"/>
      <sheetData sheetId="5"/>
      <sheetData sheetId="6"/>
      <sheetData sheetId="7"/>
      <sheetData sheetId="8"/>
      <sheetData sheetId="9"/>
      <sheetData sheetId="10"/>
      <sheetData sheetId="11"/>
      <sheetData sheetId="12">
        <row r="70">
          <cell r="S70">
            <v>13</v>
          </cell>
        </row>
      </sheetData>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row r="17">
          <cell r="L17">
            <v>9800</v>
          </cell>
        </row>
        <row r="18">
          <cell r="L18">
            <v>37300</v>
          </cell>
        </row>
        <row r="21">
          <cell r="L21">
            <v>21000</v>
          </cell>
        </row>
        <row r="22">
          <cell r="L22">
            <v>43900</v>
          </cell>
        </row>
        <row r="24">
          <cell r="L24">
            <v>37200</v>
          </cell>
        </row>
        <row r="25">
          <cell r="L25">
            <v>85800</v>
          </cell>
        </row>
      </sheetData>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p B-SF age"/>
      <sheetName val="Ap C-92-02 CFages"/>
      <sheetName val="T1-escapement"/>
      <sheetName val="T2-esc ages"/>
      <sheetName val="T3-harvests"/>
      <sheetName val="esc by age"/>
      <sheetName val="T4-SF ages"/>
      <sheetName val="sport harv by age"/>
      <sheetName val="T5-CF ages"/>
      <sheetName val="comm harv by age"/>
      <sheetName val="T6-exploitation"/>
      <sheetName val="T7-total run"/>
      <sheetName val="T8-brood table"/>
      <sheetName val="T9-S-R models"/>
      <sheetName val="T10-siblings"/>
      <sheetName val="T11-13-forecast"/>
      <sheetName val="F1-map"/>
      <sheetName val="F2-RPS plot"/>
      <sheetName val="F3-age comp fig"/>
      <sheetName val="F4-Ricker plot"/>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13">
          <cell r="L13">
            <v>5.1535155927504332</v>
          </cell>
        </row>
        <row r="16">
          <cell r="L16">
            <v>3.4146852291428198</v>
          </cell>
        </row>
        <row r="19">
          <cell r="L19">
            <v>0.88312503651723084</v>
          </cell>
        </row>
        <row r="22">
          <cell r="L22">
            <v>0.43617934904846667</v>
          </cell>
        </row>
        <row r="25">
          <cell r="L25">
            <v>0.797644044256683</v>
          </cell>
        </row>
        <row r="28">
          <cell r="L28">
            <v>0.8425725320302343</v>
          </cell>
        </row>
        <row r="31">
          <cell r="L31">
            <v>1.3360191003563793</v>
          </cell>
        </row>
        <row r="34">
          <cell r="L34">
            <v>1.3195000960936834</v>
          </cell>
        </row>
        <row r="37">
          <cell r="L37">
            <v>2.0961800635106744</v>
          </cell>
        </row>
        <row r="40">
          <cell r="L40">
            <v>0.97696216253079582</v>
          </cell>
        </row>
        <row r="43">
          <cell r="L43">
            <v>1.0296435045456696</v>
          </cell>
        </row>
      </sheetData>
      <sheetData sheetId="13"/>
      <sheetData sheetId="14"/>
      <sheetData sheetId="15"/>
      <sheetData sheetId="16"/>
      <sheetData sheetId="17"/>
      <sheetData sheetId="18"/>
      <sheetData sheetId="1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5.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9"/>
  <sheetViews>
    <sheetView tabSelected="1" workbookViewId="0">
      <selection activeCell="A6" sqref="A6:XFD10"/>
    </sheetView>
  </sheetViews>
  <sheetFormatPr defaultColWidth="8.85546875" defaultRowHeight="12.75" x14ac:dyDescent="0.2"/>
  <cols>
    <col min="1" max="2" width="8.85546875" style="90"/>
    <col min="3" max="3" width="11.28515625" style="90" customWidth="1"/>
    <col min="4" max="4" width="10.140625" style="90" customWidth="1"/>
    <col min="5" max="5" width="10.5703125" style="90" customWidth="1"/>
    <col min="6" max="6" width="8.85546875" style="90"/>
    <col min="7" max="7" width="11.85546875" style="90" customWidth="1"/>
    <col min="8" max="10" width="8.85546875" style="90"/>
    <col min="11" max="11" width="11.42578125" style="90" customWidth="1"/>
    <col min="12" max="12" width="12.28515625" style="90" customWidth="1"/>
    <col min="13" max="13" width="8.85546875" style="90"/>
    <col min="14" max="14" width="12.42578125" style="90" customWidth="1"/>
    <col min="15" max="16384" width="8.85546875" style="90"/>
  </cols>
  <sheetData>
    <row r="1" spans="1:14" x14ac:dyDescent="0.2">
      <c r="B1" s="2" t="s">
        <v>0</v>
      </c>
      <c r="L1" s="2" t="s">
        <v>1</v>
      </c>
    </row>
    <row r="2" spans="1:14" x14ac:dyDescent="0.2">
      <c r="B2" s="2" t="s">
        <v>2</v>
      </c>
      <c r="L2" s="2" t="s">
        <v>3</v>
      </c>
    </row>
    <row r="3" spans="1:14" x14ac:dyDescent="0.2">
      <c r="A3" s="105"/>
      <c r="B3" s="105"/>
      <c r="C3" s="105"/>
      <c r="D3" s="105"/>
      <c r="E3" s="105"/>
      <c r="F3" s="105"/>
      <c r="G3" s="105"/>
      <c r="J3" s="105"/>
      <c r="K3" s="105"/>
      <c r="L3" s="105"/>
      <c r="M3" s="105"/>
      <c r="N3" s="105"/>
    </row>
    <row r="4" spans="1:14" x14ac:dyDescent="0.2">
      <c r="A4" s="3" t="s">
        <v>5</v>
      </c>
      <c r="B4" s="105"/>
      <c r="C4" s="105" t="s">
        <v>6</v>
      </c>
      <c r="D4" s="105"/>
      <c r="E4" s="105"/>
      <c r="F4" s="105"/>
      <c r="G4" s="106"/>
      <c r="J4" s="3" t="s">
        <v>5</v>
      </c>
      <c r="K4" s="3"/>
      <c r="L4" s="90" t="s">
        <v>4</v>
      </c>
      <c r="M4" s="90" t="s">
        <v>7</v>
      </c>
    </row>
    <row r="5" spans="1:14" x14ac:dyDescent="0.2">
      <c r="A5" s="142" t="s">
        <v>13</v>
      </c>
      <c r="B5" s="6">
        <v>1.1000000000000001</v>
      </c>
      <c r="C5" s="6">
        <v>1.2</v>
      </c>
      <c r="D5" s="6" t="s">
        <v>9</v>
      </c>
      <c r="E5" s="6" t="s">
        <v>10</v>
      </c>
      <c r="F5" s="6" t="s">
        <v>11</v>
      </c>
      <c r="G5" s="142" t="s">
        <v>12</v>
      </c>
      <c r="J5" s="142" t="s">
        <v>13</v>
      </c>
      <c r="K5" s="142" t="s">
        <v>101</v>
      </c>
      <c r="L5" s="105" t="s">
        <v>14</v>
      </c>
      <c r="M5" s="105" t="s">
        <v>15</v>
      </c>
      <c r="N5" s="142" t="s">
        <v>16</v>
      </c>
    </row>
    <row r="6" spans="1:14" x14ac:dyDescent="0.2">
      <c r="A6" s="3">
        <v>1974</v>
      </c>
      <c r="B6" s="143">
        <v>0</v>
      </c>
      <c r="C6" s="143">
        <v>7314.7605278533483</v>
      </c>
      <c r="D6" s="143">
        <v>38601.723907352149</v>
      </c>
      <c r="E6" s="143">
        <v>15451.301467438034</v>
      </c>
      <c r="F6" s="143">
        <v>0</v>
      </c>
      <c r="G6" s="143">
        <v>61367.785902643525</v>
      </c>
      <c r="J6" s="3">
        <v>1974</v>
      </c>
      <c r="K6" s="143">
        <v>15200.808429049157</v>
      </c>
      <c r="L6" s="143">
        <v>61367.785902643525</v>
      </c>
      <c r="M6" s="144">
        <v>4.0371396159014825</v>
      </c>
      <c r="N6" s="143">
        <v>46166.977473594365</v>
      </c>
    </row>
    <row r="7" spans="1:14" x14ac:dyDescent="0.2">
      <c r="A7" s="3">
        <v>1975</v>
      </c>
      <c r="B7" s="143">
        <v>0</v>
      </c>
      <c r="C7" s="143">
        <v>4503.5344558577508</v>
      </c>
      <c r="D7" s="143">
        <v>20205.548072803584</v>
      </c>
      <c r="E7" s="143">
        <v>8841.5144442920955</v>
      </c>
      <c r="F7" s="143">
        <v>0</v>
      </c>
      <c r="G7" s="143">
        <v>33550.596972953426</v>
      </c>
      <c r="J7" s="3">
        <v>1975</v>
      </c>
      <c r="K7" s="143">
        <v>14087.516841715718</v>
      </c>
      <c r="L7" s="143">
        <v>33550.596972953426</v>
      </c>
      <c r="M7" s="144">
        <v>2.3815834507898486</v>
      </c>
      <c r="N7" s="143">
        <v>19463.080131237708</v>
      </c>
    </row>
    <row r="8" spans="1:14" x14ac:dyDescent="0.2">
      <c r="A8" s="3">
        <v>1976</v>
      </c>
      <c r="B8" s="143">
        <v>0</v>
      </c>
      <c r="C8" s="143">
        <v>3961.8721711379576</v>
      </c>
      <c r="D8" s="143">
        <v>15271.706767413616</v>
      </c>
      <c r="E8" s="143">
        <v>18525.993202729787</v>
      </c>
      <c r="F8" s="143">
        <v>0</v>
      </c>
      <c r="G8" s="143">
        <v>37759.572141281358</v>
      </c>
      <c r="J8" s="3">
        <v>1976</v>
      </c>
      <c r="K8" s="143">
        <v>48915.878750988399</v>
      </c>
      <c r="L8" s="143">
        <v>37759.572141281358</v>
      </c>
      <c r="M8" s="144">
        <v>0.77192872959516001</v>
      </c>
      <c r="N8" s="143">
        <v>0</v>
      </c>
    </row>
    <row r="9" spans="1:14" x14ac:dyDescent="0.2">
      <c r="A9" s="3">
        <v>1977</v>
      </c>
      <c r="B9" s="143">
        <v>0</v>
      </c>
      <c r="C9" s="143">
        <v>2679.2468013006346</v>
      </c>
      <c r="D9" s="143">
        <v>19387.667305182338</v>
      </c>
      <c r="E9" s="143">
        <v>16471.334827818337</v>
      </c>
      <c r="F9" s="143">
        <v>0</v>
      </c>
      <c r="G9" s="143">
        <v>38538.248934301315</v>
      </c>
      <c r="J9" s="3">
        <v>1977</v>
      </c>
      <c r="K9" s="143">
        <v>85783.90587469301</v>
      </c>
      <c r="L9" s="143">
        <v>38538.248934301315</v>
      </c>
      <c r="M9" s="144">
        <v>0.4492480091847908</v>
      </c>
      <c r="N9" s="143">
        <v>0</v>
      </c>
    </row>
    <row r="10" spans="1:14" x14ac:dyDescent="0.2">
      <c r="A10" s="3">
        <v>1978</v>
      </c>
      <c r="B10" s="143">
        <v>0</v>
      </c>
      <c r="C10" s="143">
        <v>5600.8816659415634</v>
      </c>
      <c r="D10" s="143">
        <v>22862.275424833642</v>
      </c>
      <c r="E10" s="143">
        <v>16404.691151466748</v>
      </c>
      <c r="F10" s="143">
        <v>24.443384669466806</v>
      </c>
      <c r="G10" s="143">
        <v>44892.291626911421</v>
      </c>
      <c r="J10" s="3">
        <v>1978</v>
      </c>
      <c r="K10" s="143">
        <v>54967.090958155022</v>
      </c>
      <c r="L10" s="143">
        <v>44892.291626911421</v>
      </c>
      <c r="M10" s="144">
        <v>0.81671216075609177</v>
      </c>
      <c r="N10" s="143">
        <v>0</v>
      </c>
    </row>
    <row r="11" spans="1:14" x14ac:dyDescent="0.2">
      <c r="A11" s="3">
        <v>1979</v>
      </c>
      <c r="B11" s="143">
        <v>0</v>
      </c>
      <c r="C11" s="143">
        <v>10468.965098592047</v>
      </c>
      <c r="D11" s="143">
        <v>21417.23566997048</v>
      </c>
      <c r="E11" s="143">
        <v>20497.695775415767</v>
      </c>
      <c r="F11" s="143">
        <v>106.03706181086623</v>
      </c>
      <c r="G11" s="143">
        <v>52489.933605789156</v>
      </c>
      <c r="J11" s="3">
        <v>1979</v>
      </c>
      <c r="K11" s="143">
        <v>60607.494461508577</v>
      </c>
      <c r="L11" s="143">
        <v>52489.933605789156</v>
      </c>
      <c r="M11" s="144">
        <v>0.86606341463472258</v>
      </c>
      <c r="N11" s="143">
        <v>0</v>
      </c>
    </row>
    <row r="12" spans="1:14" x14ac:dyDescent="0.2">
      <c r="A12" s="3">
        <v>1980</v>
      </c>
      <c r="B12" s="143">
        <v>0</v>
      </c>
      <c r="C12" s="143">
        <v>7746.659710414855</v>
      </c>
      <c r="D12" s="143">
        <v>21271.490957513954</v>
      </c>
      <c r="E12" s="143">
        <v>15978.824857683823</v>
      </c>
      <c r="F12" s="143">
        <v>19.198488504694232</v>
      </c>
      <c r="G12" s="143">
        <v>45016.174014117321</v>
      </c>
      <c r="J12" s="3">
        <v>1980</v>
      </c>
      <c r="K12" s="143">
        <v>35096.273954716482</v>
      </c>
      <c r="L12" s="143">
        <v>45016.174014117321</v>
      </c>
      <c r="M12" s="144">
        <v>1.282648239872989</v>
      </c>
      <c r="N12" s="143">
        <v>9919.9000594008394</v>
      </c>
    </row>
    <row r="13" spans="1:14" x14ac:dyDescent="0.2">
      <c r="A13" s="3">
        <v>1981</v>
      </c>
      <c r="B13" s="143">
        <v>0</v>
      </c>
      <c r="C13" s="143">
        <v>7231.5618756382864</v>
      </c>
      <c r="D13" s="143">
        <v>23704.88683071189</v>
      </c>
      <c r="E13" s="143">
        <v>12989.544227520477</v>
      </c>
      <c r="F13" s="143">
        <v>1016.7732471517627</v>
      </c>
      <c r="G13" s="143">
        <v>44942.766181022416</v>
      </c>
      <c r="J13" s="3">
        <v>1981</v>
      </c>
      <c r="K13" s="143">
        <v>23162.28110894659</v>
      </c>
      <c r="L13" s="143">
        <v>44942.766181022416</v>
      </c>
      <c r="M13" s="144">
        <v>1.9403428345260416</v>
      </c>
      <c r="N13" s="143">
        <v>21780.485072075826</v>
      </c>
    </row>
    <row r="14" spans="1:14" x14ac:dyDescent="0.2">
      <c r="A14" s="3">
        <v>1982</v>
      </c>
      <c r="B14" s="143">
        <v>0</v>
      </c>
      <c r="C14" s="143">
        <v>19192.455588049419</v>
      </c>
      <c r="D14" s="143">
        <v>24362.216135631345</v>
      </c>
      <c r="E14" s="143">
        <v>31446.764835646642</v>
      </c>
      <c r="F14" s="143">
        <v>423.09569104644481</v>
      </c>
      <c r="G14" s="143">
        <v>75424.532250373843</v>
      </c>
      <c r="J14" s="3">
        <v>1982</v>
      </c>
      <c r="K14" s="143">
        <v>37222.208996949157</v>
      </c>
      <c r="L14" s="143">
        <v>75424.532250373843</v>
      </c>
      <c r="M14" s="144">
        <v>2.0263314371416232</v>
      </c>
      <c r="N14" s="143">
        <v>38202.323253424685</v>
      </c>
    </row>
    <row r="15" spans="1:14" x14ac:dyDescent="0.2">
      <c r="A15" s="3">
        <v>1983</v>
      </c>
      <c r="B15" s="143">
        <v>39.819914188906367</v>
      </c>
      <c r="C15" s="143">
        <v>7183.191347251166</v>
      </c>
      <c r="D15" s="143">
        <v>13259.725313862651</v>
      </c>
      <c r="E15" s="143">
        <v>15608.843390360413</v>
      </c>
      <c r="F15" s="143">
        <v>225.93752710538254</v>
      </c>
      <c r="G15" s="143">
        <v>36317.517492768515</v>
      </c>
      <c r="J15" s="3">
        <v>1983</v>
      </c>
      <c r="K15" s="143">
        <v>43871.147868163811</v>
      </c>
      <c r="L15" s="143">
        <v>36317.517492768515</v>
      </c>
      <c r="M15" s="144">
        <v>0.82782236749094096</v>
      </c>
      <c r="N15" s="143">
        <v>0</v>
      </c>
    </row>
    <row r="16" spans="1:14" x14ac:dyDescent="0.2">
      <c r="A16" s="3">
        <v>1984</v>
      </c>
      <c r="B16" s="143">
        <v>14.991663519195342</v>
      </c>
      <c r="C16" s="143">
        <v>6415.0947290311151</v>
      </c>
      <c r="D16" s="143">
        <v>8772.3547130158586</v>
      </c>
      <c r="E16" s="143">
        <v>20247.440203855847</v>
      </c>
      <c r="F16" s="143">
        <v>1.147653819448645</v>
      </c>
      <c r="G16" s="143">
        <v>35451.028963241464</v>
      </c>
      <c r="J16" s="3">
        <v>1984</v>
      </c>
      <c r="K16" s="143">
        <v>39054.415815955479</v>
      </c>
      <c r="L16" s="143">
        <v>35451.028963241464</v>
      </c>
      <c r="M16" s="144">
        <v>0.90773420169194108</v>
      </c>
      <c r="N16" s="143">
        <v>0</v>
      </c>
    </row>
    <row r="17" spans="1:14" x14ac:dyDescent="0.2">
      <c r="A17" s="3">
        <v>1985</v>
      </c>
      <c r="B17" s="143">
        <v>494.61491108898304</v>
      </c>
      <c r="C17" s="143">
        <v>8405.053144055224</v>
      </c>
      <c r="D17" s="143">
        <v>22255.036468658829</v>
      </c>
      <c r="E17" s="143">
        <v>15904.842762988237</v>
      </c>
      <c r="F17" s="143">
        <v>14.929660642884723</v>
      </c>
      <c r="G17" s="143">
        <v>47074.476947434159</v>
      </c>
      <c r="J17" s="3">
        <v>1985</v>
      </c>
      <c r="K17" s="143">
        <v>41640.4566064588</v>
      </c>
      <c r="L17" s="143">
        <v>47074.476947434159</v>
      </c>
      <c r="M17" s="144">
        <v>1.1304985771969775</v>
      </c>
      <c r="N17" s="143">
        <v>5434.0203409753594</v>
      </c>
    </row>
    <row r="18" spans="1:14" x14ac:dyDescent="0.2">
      <c r="A18" s="3">
        <v>1986</v>
      </c>
      <c r="B18" s="143">
        <v>512.84272813744928</v>
      </c>
      <c r="C18" s="143">
        <v>8562.1601794097733</v>
      </c>
      <c r="D18" s="143">
        <v>11060.495209749653</v>
      </c>
      <c r="E18" s="143">
        <v>10566.346948847491</v>
      </c>
      <c r="F18" s="143">
        <v>9.4863293221010103</v>
      </c>
      <c r="G18" s="143">
        <v>30711.33139546647</v>
      </c>
      <c r="J18" s="3">
        <v>1986</v>
      </c>
      <c r="K18" s="143">
        <v>47656.750073801319</v>
      </c>
      <c r="L18" s="143">
        <v>30711.33139546647</v>
      </c>
      <c r="M18" s="144">
        <v>0.64442773264871933</v>
      </c>
      <c r="N18" s="143">
        <v>0</v>
      </c>
    </row>
    <row r="19" spans="1:14" x14ac:dyDescent="0.2">
      <c r="A19" s="3">
        <v>1987</v>
      </c>
      <c r="B19" s="143">
        <v>447.1406179998736</v>
      </c>
      <c r="C19" s="143">
        <v>4906.3184184722631</v>
      </c>
      <c r="D19" s="143">
        <v>8952.337306880132</v>
      </c>
      <c r="E19" s="143">
        <v>7367.4248176555466</v>
      </c>
      <c r="F19" s="143">
        <v>100.56368004228842</v>
      </c>
      <c r="G19" s="143">
        <v>21773.784841050103</v>
      </c>
      <c r="J19" s="3">
        <v>1987</v>
      </c>
      <c r="K19" s="143">
        <v>35225.678696417599</v>
      </c>
      <c r="L19" s="143">
        <v>21773.784841050103</v>
      </c>
      <c r="M19" s="144">
        <v>0.61812250741004082</v>
      </c>
      <c r="N19" s="143">
        <v>0</v>
      </c>
    </row>
    <row r="20" spans="1:14" x14ac:dyDescent="0.2">
      <c r="A20" s="3">
        <v>1988</v>
      </c>
      <c r="B20" s="143">
        <v>0</v>
      </c>
      <c r="C20" s="143">
        <v>5848.313870963615</v>
      </c>
      <c r="D20" s="143">
        <v>10369.473715093151</v>
      </c>
      <c r="E20" s="143">
        <v>4305.4615651202876</v>
      </c>
      <c r="F20" s="145">
        <v>167.08999671531134</v>
      </c>
      <c r="G20" s="146">
        <v>20690.339147892366</v>
      </c>
      <c r="J20" s="3">
        <v>1988</v>
      </c>
      <c r="K20" s="143">
        <v>43795.14825795839</v>
      </c>
      <c r="L20" s="143">
        <v>20690.339147892366</v>
      </c>
      <c r="M20" s="144">
        <v>0.47243450406935311</v>
      </c>
      <c r="N20" s="143">
        <v>0</v>
      </c>
    </row>
    <row r="21" spans="1:14" x14ac:dyDescent="0.2">
      <c r="A21" s="3">
        <v>1989</v>
      </c>
      <c r="B21" s="143">
        <v>3041.0043261762562</v>
      </c>
      <c r="C21" s="143">
        <v>4711.3773275208714</v>
      </c>
      <c r="D21" s="143">
        <v>4583.8690687893459</v>
      </c>
      <c r="E21" s="145">
        <v>3286.3170388531744</v>
      </c>
      <c r="F21" s="145">
        <v>0</v>
      </c>
      <c r="G21" s="146">
        <v>15622.567761339649</v>
      </c>
      <c r="J21" s="3">
        <v>1989</v>
      </c>
      <c r="K21" s="143">
        <v>23246.496893228272</v>
      </c>
      <c r="L21" s="143">
        <v>15622.567761339649</v>
      </c>
      <c r="M21" s="144">
        <v>0.67203965539816535</v>
      </c>
      <c r="N21" s="143">
        <v>0</v>
      </c>
    </row>
    <row r="22" spans="1:14" x14ac:dyDescent="0.2">
      <c r="A22" s="3">
        <v>1990</v>
      </c>
      <c r="B22" s="143">
        <v>3.1621097740336701</v>
      </c>
      <c r="C22" s="143">
        <v>1730.4936380593278</v>
      </c>
      <c r="D22" s="145">
        <v>3098.7645462437235</v>
      </c>
      <c r="E22" s="145">
        <v>2013.7231180938411</v>
      </c>
      <c r="F22" s="145">
        <v>0</v>
      </c>
      <c r="G22" s="146">
        <v>6846.1434121709262</v>
      </c>
      <c r="J22" s="3">
        <v>1990</v>
      </c>
      <c r="K22" s="143">
        <v>41671.267259244785</v>
      </c>
      <c r="L22" s="143">
        <v>6846.1434121709262</v>
      </c>
      <c r="M22" s="144">
        <v>0.1642893020166577</v>
      </c>
      <c r="N22" s="143">
        <v>0</v>
      </c>
    </row>
    <row r="23" spans="1:14" x14ac:dyDescent="0.2">
      <c r="A23" s="3">
        <v>1991</v>
      </c>
      <c r="B23" s="143">
        <v>3.9570827542759091</v>
      </c>
      <c r="C23" s="145">
        <v>4059.8806994979118</v>
      </c>
      <c r="D23" s="145">
        <v>5572.1171873742987</v>
      </c>
      <c r="E23" s="145">
        <v>6113.3832126036305</v>
      </c>
      <c r="F23" s="145">
        <v>168.2068492009756</v>
      </c>
      <c r="G23" s="146">
        <v>15917.545031431091</v>
      </c>
      <c r="J23" s="3">
        <v>1991</v>
      </c>
      <c r="K23" s="143">
        <v>21019.913718561394</v>
      </c>
      <c r="L23" s="143">
        <v>15917.545031431091</v>
      </c>
      <c r="M23" s="144">
        <v>0.75726024590554264</v>
      </c>
      <c r="N23" s="143">
        <v>0</v>
      </c>
    </row>
    <row r="24" spans="1:14" x14ac:dyDescent="0.2">
      <c r="A24" s="3">
        <v>1992</v>
      </c>
      <c r="B24" s="145">
        <v>108.66499835765568</v>
      </c>
      <c r="C24" s="145">
        <v>7108.6371873742992</v>
      </c>
      <c r="D24" s="145">
        <v>23730.285356550539</v>
      </c>
      <c r="E24" s="145">
        <v>12061.913381326702</v>
      </c>
      <c r="F24" s="145">
        <v>69.812918082805467</v>
      </c>
      <c r="G24" s="145">
        <v>43079.313841691997</v>
      </c>
      <c r="J24" s="3">
        <v>1992</v>
      </c>
      <c r="K24" s="143">
        <v>20247.593355392808</v>
      </c>
      <c r="L24" s="143">
        <v>43079.313841691997</v>
      </c>
      <c r="M24" s="144">
        <v>2.1276263843089338</v>
      </c>
      <c r="N24" s="143">
        <v>22831.720486299189</v>
      </c>
    </row>
    <row r="25" spans="1:14" x14ac:dyDescent="0.2">
      <c r="A25" s="3">
        <v>1993</v>
      </c>
      <c r="B25" s="145">
        <v>11.328340155691741</v>
      </c>
      <c r="C25" s="145">
        <v>6135.3280389717856</v>
      </c>
      <c r="D25" s="145">
        <v>17147.718181257875</v>
      </c>
      <c r="E25" s="145">
        <v>8452.9820339873313</v>
      </c>
      <c r="F25" s="145">
        <v>0</v>
      </c>
      <c r="G25" s="145">
        <v>31747.356594372686</v>
      </c>
      <c r="J25" s="3">
        <v>1993</v>
      </c>
      <c r="K25" s="143">
        <v>16207.289753391196</v>
      </c>
      <c r="L25" s="143">
        <v>31747.356594372686</v>
      </c>
      <c r="M25" s="144">
        <v>1.9588319254753808</v>
      </c>
      <c r="N25" s="143">
        <v>15540.06684098149</v>
      </c>
    </row>
    <row r="26" spans="1:14" ht="13.5" thickBot="1" x14ac:dyDescent="0.25">
      <c r="A26" s="3">
        <v>1994</v>
      </c>
      <c r="B26" s="145">
        <v>79.863814262021492</v>
      </c>
      <c r="C26" s="145">
        <v>11200.790069892588</v>
      </c>
      <c r="D26" s="145">
        <v>14606.017381700909</v>
      </c>
      <c r="E26" s="145">
        <v>4416.0035800613459</v>
      </c>
      <c r="F26" s="145">
        <v>2.8947748492642518</v>
      </c>
      <c r="G26" s="145">
        <v>30305.569620766131</v>
      </c>
      <c r="J26" s="3">
        <v>1994</v>
      </c>
      <c r="K26" s="143">
        <v>9831.5386702122378</v>
      </c>
      <c r="L26" s="143">
        <v>30305.569620766131</v>
      </c>
      <c r="M26" s="144">
        <v>3.0824849128231024</v>
      </c>
      <c r="N26" s="143">
        <v>20474.030950553893</v>
      </c>
    </row>
    <row r="27" spans="1:14" x14ac:dyDescent="0.2">
      <c r="A27" s="65">
        <v>1995</v>
      </c>
      <c r="B27" s="145">
        <v>0</v>
      </c>
      <c r="C27" s="145">
        <v>10309.713446624437</v>
      </c>
      <c r="D27" s="145">
        <v>33202.17060982425</v>
      </c>
      <c r="E27" s="145">
        <v>9463.3110676139477</v>
      </c>
      <c r="F27" s="145">
        <v>0</v>
      </c>
      <c r="G27" s="145">
        <v>52975.195124062637</v>
      </c>
      <c r="I27" s="87"/>
      <c r="J27" s="109">
        <v>1995</v>
      </c>
      <c r="K27" s="147">
        <v>10048</v>
      </c>
      <c r="L27" s="148">
        <v>52975.195124062637</v>
      </c>
      <c r="M27" s="149">
        <v>5.2722128905317112</v>
      </c>
      <c r="N27" s="150">
        <v>42927.195124062637</v>
      </c>
    </row>
    <row r="28" spans="1:14" x14ac:dyDescent="0.2">
      <c r="A28" s="65">
        <v>1996</v>
      </c>
      <c r="B28" s="145">
        <v>0</v>
      </c>
      <c r="C28" s="145">
        <v>4654.2777213619256</v>
      </c>
      <c r="D28" s="145">
        <v>15580.03386399629</v>
      </c>
      <c r="E28" s="145">
        <v>5263.1451543065714</v>
      </c>
      <c r="F28" s="145">
        <v>0</v>
      </c>
      <c r="G28" s="145">
        <v>25497.456739664787</v>
      </c>
      <c r="I28" s="87"/>
      <c r="J28" s="110">
        <v>1996</v>
      </c>
      <c r="K28" s="151">
        <v>14349</v>
      </c>
      <c r="L28" s="152">
        <v>25497.456739664787</v>
      </c>
      <c r="M28" s="108">
        <v>1.7769500829092471</v>
      </c>
      <c r="N28" s="153">
        <v>11148.456739664787</v>
      </c>
    </row>
    <row r="29" spans="1:14" x14ac:dyDescent="0.2">
      <c r="A29" s="141">
        <v>1997</v>
      </c>
      <c r="B29" s="145">
        <v>3.7054721501931462</v>
      </c>
      <c r="C29" s="145">
        <v>8166.5559561580312</v>
      </c>
      <c r="D29" s="145">
        <v>18849.389515593277</v>
      </c>
      <c r="E29" s="145">
        <v>6599.162149429244</v>
      </c>
      <c r="F29" s="145">
        <v>0</v>
      </c>
      <c r="G29" s="145">
        <v>33618.813093330748</v>
      </c>
      <c r="J29" s="110">
        <v>1997</v>
      </c>
      <c r="K29" s="152">
        <v>35587</v>
      </c>
      <c r="L29" s="152">
        <v>33618.813093330748</v>
      </c>
      <c r="M29" s="154">
        <v>0.94469365479896439</v>
      </c>
      <c r="N29" s="153">
        <v>0</v>
      </c>
    </row>
    <row r="30" spans="1:14" x14ac:dyDescent="0.2">
      <c r="A30" s="141">
        <v>1998</v>
      </c>
      <c r="B30" s="145">
        <v>480.60074969852849</v>
      </c>
      <c r="C30" s="145">
        <v>8842.0571426269289</v>
      </c>
      <c r="D30" s="145">
        <v>22762.063505990678</v>
      </c>
      <c r="E30" s="145">
        <v>10056.530401669592</v>
      </c>
      <c r="F30" s="145">
        <v>0</v>
      </c>
      <c r="G30" s="145">
        <v>42141.251799985723</v>
      </c>
      <c r="J30" s="110">
        <v>1998</v>
      </c>
      <c r="K30" s="152">
        <v>36310.213674484126</v>
      </c>
      <c r="L30" s="152">
        <v>42141.251799985723</v>
      </c>
      <c r="M30" s="154">
        <v>1.1605894742943685</v>
      </c>
      <c r="N30" s="153">
        <v>5831.0381255015964</v>
      </c>
    </row>
    <row r="31" spans="1:14" x14ac:dyDescent="0.2">
      <c r="A31" s="66">
        <v>1999</v>
      </c>
      <c r="B31" s="145">
        <v>533.65507922804193</v>
      </c>
      <c r="C31" s="145">
        <v>16832.450323757814</v>
      </c>
      <c r="D31" s="145">
        <v>44248.733767346203</v>
      </c>
      <c r="E31" s="145">
        <v>5290.0263156526171</v>
      </c>
      <c r="F31" s="145">
        <v>0</v>
      </c>
      <c r="G31" s="145">
        <v>66904.865485984672</v>
      </c>
      <c r="J31" s="110">
        <v>1999</v>
      </c>
      <c r="K31" s="152">
        <v>29088</v>
      </c>
      <c r="L31" s="152">
        <v>66904.865485984672</v>
      </c>
      <c r="M31" s="154">
        <v>2.3000847595566789</v>
      </c>
      <c r="N31" s="153">
        <v>37816.865485984672</v>
      </c>
    </row>
    <row r="32" spans="1:14" x14ac:dyDescent="0.2">
      <c r="A32" s="66">
        <v>2000</v>
      </c>
      <c r="B32" s="145">
        <v>478.19461147039237</v>
      </c>
      <c r="C32" s="145">
        <v>12067.836482003508</v>
      </c>
      <c r="D32" s="145">
        <v>25806.749999332358</v>
      </c>
      <c r="E32" s="145">
        <v>8509.3427271220298</v>
      </c>
      <c r="F32" s="145">
        <v>0</v>
      </c>
      <c r="G32" s="145">
        <v>46862.123819928282</v>
      </c>
      <c r="J32" s="110">
        <v>2000</v>
      </c>
      <c r="K32" s="152">
        <v>33965</v>
      </c>
      <c r="L32" s="152">
        <v>46862.123819928282</v>
      </c>
      <c r="M32" s="154">
        <v>1.3797180574099304</v>
      </c>
      <c r="N32" s="153">
        <v>12897.123819928282</v>
      </c>
    </row>
    <row r="33" spans="1:14" x14ac:dyDescent="0.2">
      <c r="A33" s="66">
        <v>2001</v>
      </c>
      <c r="B33" s="145">
        <v>670.43536011130607</v>
      </c>
      <c r="C33" s="145">
        <v>13037.412828610082</v>
      </c>
      <c r="D33" s="145">
        <v>21194.566607368764</v>
      </c>
      <c r="E33" s="145">
        <v>4765.1413819190102</v>
      </c>
      <c r="F33" s="145">
        <v>0</v>
      </c>
      <c r="G33" s="145">
        <v>39667.556178009167</v>
      </c>
      <c r="J33" s="110">
        <v>2001</v>
      </c>
      <c r="K33" s="151">
        <v>27966</v>
      </c>
      <c r="L33" s="152">
        <v>39667.556178009167</v>
      </c>
      <c r="M33" s="154">
        <v>1.4184208030468843</v>
      </c>
      <c r="N33" s="153">
        <v>11701.556178009167</v>
      </c>
    </row>
    <row r="34" spans="1:14" x14ac:dyDescent="0.2">
      <c r="A34" s="66">
        <v>2002</v>
      </c>
      <c r="B34" s="145">
        <v>545.08717103852985</v>
      </c>
      <c r="C34" s="145">
        <v>8745.7133584309759</v>
      </c>
      <c r="D34" s="145">
        <v>17092.354956883402</v>
      </c>
      <c r="E34" s="145">
        <v>4479.2149738152111</v>
      </c>
      <c r="F34" s="145">
        <v>0</v>
      </c>
      <c r="G34" s="145">
        <v>30862.37046016812</v>
      </c>
      <c r="J34" s="110">
        <v>2002</v>
      </c>
      <c r="K34" s="151">
        <v>28535</v>
      </c>
      <c r="L34" s="152">
        <v>30862.37046016812</v>
      </c>
      <c r="M34" s="154">
        <v>1.0815619576018265</v>
      </c>
      <c r="N34" s="153">
        <v>2327.3704601681202</v>
      </c>
    </row>
    <row r="35" spans="1:14" x14ac:dyDescent="0.2">
      <c r="A35" s="66">
        <v>2003</v>
      </c>
      <c r="B35" s="145">
        <v>0</v>
      </c>
      <c r="C35" s="145">
        <v>2175.3906308760697</v>
      </c>
      <c r="D35" s="145">
        <v>3667.7979848126706</v>
      </c>
      <c r="E35" s="145">
        <v>1153.8472837686768</v>
      </c>
      <c r="F35" s="145">
        <v>0</v>
      </c>
      <c r="G35" s="145">
        <v>6997.0358994574171</v>
      </c>
      <c r="J35" s="110">
        <v>2003</v>
      </c>
      <c r="K35" s="151">
        <v>39257</v>
      </c>
      <c r="L35" s="152">
        <v>6997.0358994574171</v>
      </c>
      <c r="M35" s="154">
        <v>0.17823664313262391</v>
      </c>
      <c r="N35" s="153">
        <v>0</v>
      </c>
    </row>
    <row r="36" spans="1:14" x14ac:dyDescent="0.2">
      <c r="A36" s="66">
        <v>2004</v>
      </c>
      <c r="B36" s="145">
        <v>0</v>
      </c>
      <c r="C36" s="145">
        <v>1512.7131009261634</v>
      </c>
      <c r="D36" s="145">
        <v>3064.62856295341</v>
      </c>
      <c r="E36" s="145">
        <v>1934.0126691041301</v>
      </c>
      <c r="F36" s="145">
        <v>0</v>
      </c>
      <c r="G36" s="145">
        <v>6511.354332983703</v>
      </c>
      <c r="J36" s="110">
        <v>2004</v>
      </c>
      <c r="K36" s="151">
        <v>56659</v>
      </c>
      <c r="L36" s="155">
        <v>6511.354332983703</v>
      </c>
      <c r="M36" s="108">
        <v>0.11492180117869541</v>
      </c>
      <c r="N36" s="153">
        <v>0</v>
      </c>
    </row>
    <row r="37" spans="1:14" x14ac:dyDescent="0.2">
      <c r="A37" s="66">
        <v>2005</v>
      </c>
      <c r="B37" s="145">
        <v>0</v>
      </c>
      <c r="C37" s="145">
        <v>8503.103908169609</v>
      </c>
      <c r="D37" s="145">
        <v>15605.481536909188</v>
      </c>
      <c r="E37" s="145">
        <v>1556.3670777513205</v>
      </c>
      <c r="F37" s="145">
        <v>0</v>
      </c>
      <c r="G37" s="145">
        <v>25664.952522830117</v>
      </c>
      <c r="J37" s="110">
        <v>2005</v>
      </c>
      <c r="K37" s="151">
        <v>36433</v>
      </c>
      <c r="L37" s="155">
        <v>25664.952522830117</v>
      </c>
      <c r="M37" s="108">
        <v>0.70444247036560581</v>
      </c>
      <c r="N37" s="153">
        <v>0</v>
      </c>
    </row>
    <row r="38" spans="1:14" x14ac:dyDescent="0.2">
      <c r="A38" s="66">
        <v>2006</v>
      </c>
      <c r="B38" s="145">
        <v>0</v>
      </c>
      <c r="C38" s="145">
        <v>4668.3064426651417</v>
      </c>
      <c r="D38" s="145">
        <v>14461.244097439354</v>
      </c>
      <c r="E38" s="145">
        <v>2453.1597696878553</v>
      </c>
      <c r="F38" s="145">
        <v>0</v>
      </c>
      <c r="G38" s="145">
        <v>21582.71030979235</v>
      </c>
      <c r="J38" s="110">
        <v>2006</v>
      </c>
      <c r="K38" s="151">
        <v>29922</v>
      </c>
      <c r="L38" s="155">
        <v>21582.71030979235</v>
      </c>
      <c r="M38" s="108">
        <v>0.72129905453486898</v>
      </c>
      <c r="N38" s="153">
        <v>0</v>
      </c>
    </row>
    <row r="39" spans="1:14" x14ac:dyDescent="0.2">
      <c r="A39" s="66">
        <v>2007</v>
      </c>
      <c r="B39" s="145">
        <v>200.07027611422035</v>
      </c>
      <c r="C39" s="145">
        <v>6030.9224262863663</v>
      </c>
      <c r="D39" s="145">
        <v>4181.522334695208</v>
      </c>
      <c r="E39" s="145">
        <v>3281.817627527782</v>
      </c>
      <c r="F39" s="145">
        <v>0</v>
      </c>
      <c r="G39" s="145">
        <v>13694.332664623576</v>
      </c>
      <c r="J39" s="110">
        <v>2007</v>
      </c>
      <c r="K39" s="151">
        <v>17594</v>
      </c>
      <c r="L39" s="155">
        <v>13694.332664623576</v>
      </c>
      <c r="M39" s="108">
        <v>0.77835243063678394</v>
      </c>
      <c r="N39" s="153">
        <v>0</v>
      </c>
    </row>
    <row r="40" spans="1:14" x14ac:dyDescent="0.2">
      <c r="A40" s="66">
        <v>2008</v>
      </c>
      <c r="B40" s="145">
        <v>518.78902591710687</v>
      </c>
      <c r="C40" s="145">
        <v>8809.07371842457</v>
      </c>
      <c r="D40" s="145">
        <v>11682.391796439155</v>
      </c>
      <c r="E40" s="145">
        <v>2197.3688308901815</v>
      </c>
      <c r="F40" s="145">
        <v>0</v>
      </c>
      <c r="G40" s="145">
        <v>23207.623371671012</v>
      </c>
      <c r="J40" s="110">
        <v>2008</v>
      </c>
      <c r="K40" s="151">
        <v>7284</v>
      </c>
      <c r="L40" s="155">
        <v>23207.623371671012</v>
      </c>
      <c r="M40" s="108">
        <v>3.1861097435023353</v>
      </c>
      <c r="N40" s="153">
        <v>15923.623371671012</v>
      </c>
    </row>
    <row r="41" spans="1:14" x14ac:dyDescent="0.2">
      <c r="A41" s="66">
        <v>2009</v>
      </c>
      <c r="B41" s="145">
        <v>669.04357355123341</v>
      </c>
      <c r="C41" s="145">
        <v>4277.8876007538311</v>
      </c>
      <c r="D41" s="145">
        <v>7107.6941322480016</v>
      </c>
      <c r="E41" s="145">
        <v>3331.9862658498459</v>
      </c>
      <c r="F41" s="145">
        <v>0</v>
      </c>
      <c r="G41" s="145">
        <v>15386.611572402911</v>
      </c>
      <c r="J41" s="110">
        <v>2009</v>
      </c>
      <c r="K41" s="151">
        <v>11641</v>
      </c>
      <c r="L41" s="155">
        <v>15386.611572402911</v>
      </c>
      <c r="M41" s="108">
        <v>1.3217602931365786</v>
      </c>
      <c r="N41" s="153">
        <v>3745.6115724029114</v>
      </c>
    </row>
    <row r="42" spans="1:14" ht="13.5" thickBot="1" x14ac:dyDescent="0.25">
      <c r="A42" s="66">
        <v>2010</v>
      </c>
      <c r="B42" s="145">
        <v>785.2816837006992</v>
      </c>
      <c r="C42" s="145">
        <v>7046.1478976126245</v>
      </c>
      <c r="D42" s="145">
        <v>12763.307712485024</v>
      </c>
      <c r="E42" s="145">
        <v>1787.0790331391763</v>
      </c>
      <c r="F42" s="145">
        <v>0</v>
      </c>
      <c r="G42" s="145">
        <v>22381.816326937525</v>
      </c>
      <c r="J42" s="111">
        <v>2010</v>
      </c>
      <c r="K42" s="156">
        <v>18223</v>
      </c>
      <c r="L42" s="157">
        <v>22381.816326937525</v>
      </c>
      <c r="M42" s="158">
        <v>1.2282179842472438</v>
      </c>
      <c r="N42" s="159">
        <v>4158.8163269375254</v>
      </c>
    </row>
    <row r="43" spans="1:14" ht="13.5" thickBot="1" x14ac:dyDescent="0.25">
      <c r="A43" s="66">
        <v>2011</v>
      </c>
      <c r="B43" s="145">
        <v>1550.2217133674794</v>
      </c>
      <c r="C43" s="145">
        <v>7211.3603991777436</v>
      </c>
      <c r="D43" s="145">
        <v>8947.9026572615876</v>
      </c>
      <c r="E43" s="145">
        <v>1312.5431080401859</v>
      </c>
      <c r="F43" s="96"/>
      <c r="G43" s="145">
        <v>19022.027877846998</v>
      </c>
      <c r="J43" s="112">
        <v>2011</v>
      </c>
      <c r="K43" s="160">
        <v>18553</v>
      </c>
      <c r="L43" s="161">
        <v>19022.027877846998</v>
      </c>
      <c r="M43" s="162">
        <v>1.0252804332370504</v>
      </c>
      <c r="N43" s="163">
        <v>469.02787784699831</v>
      </c>
    </row>
    <row r="44" spans="1:14" x14ac:dyDescent="0.2">
      <c r="A44" s="66">
        <v>2012</v>
      </c>
      <c r="B44" s="145">
        <v>2897.1637568857273</v>
      </c>
      <c r="C44" s="145">
        <v>11021.083988374694</v>
      </c>
      <c r="D44" s="145">
        <v>9390.5935876749754</v>
      </c>
      <c r="E44" s="96"/>
      <c r="F44" s="96"/>
      <c r="G44" s="164">
        <f>SUM(B44:D44)</f>
        <v>23308.841332935397</v>
      </c>
      <c r="J44" s="3">
        <v>2012</v>
      </c>
      <c r="K44" s="151">
        <v>13952</v>
      </c>
      <c r="L44" s="164">
        <f>G44</f>
        <v>23308.841332935397</v>
      </c>
      <c r="M44" s="90" t="s">
        <v>114</v>
      </c>
    </row>
    <row r="45" spans="1:14" x14ac:dyDescent="0.2">
      <c r="A45" s="66">
        <v>2013</v>
      </c>
      <c r="B45" s="145">
        <v>4029.1808561538896</v>
      </c>
      <c r="C45" s="145">
        <v>1705.9746181052706</v>
      </c>
      <c r="D45" s="96"/>
      <c r="E45" s="96"/>
      <c r="F45" s="96"/>
      <c r="G45" s="96"/>
      <c r="J45" s="33">
        <v>2013</v>
      </c>
      <c r="K45" s="117">
        <v>18378</v>
      </c>
    </row>
    <row r="46" spans="1:14" x14ac:dyDescent="0.2">
      <c r="A46" s="66">
        <v>2014</v>
      </c>
      <c r="B46" s="145">
        <v>1161.6330332532664</v>
      </c>
      <c r="C46" s="145"/>
      <c r="D46" s="107"/>
      <c r="E46" s="107"/>
      <c r="F46" s="107"/>
      <c r="G46" s="107"/>
      <c r="J46" s="33">
        <v>2014</v>
      </c>
      <c r="K46" s="166">
        <v>16099</v>
      </c>
    </row>
    <row r="47" spans="1:14" x14ac:dyDescent="0.2">
      <c r="A47" s="66">
        <v>2015</v>
      </c>
      <c r="B47" s="145"/>
      <c r="C47" s="145"/>
      <c r="D47" s="107"/>
      <c r="E47" s="107"/>
      <c r="F47" s="107"/>
      <c r="G47" s="107"/>
      <c r="J47" s="33">
        <v>2015</v>
      </c>
      <c r="K47" s="167">
        <v>24181</v>
      </c>
    </row>
    <row r="48" spans="1:14" x14ac:dyDescent="0.2">
      <c r="A48" s="66">
        <v>2016</v>
      </c>
      <c r="B48" s="145"/>
      <c r="C48" s="145"/>
      <c r="D48" s="107"/>
      <c r="E48" s="107"/>
      <c r="F48" s="107"/>
      <c r="G48" s="107"/>
      <c r="J48" s="33">
        <v>2016</v>
      </c>
      <c r="K48" s="166">
        <v>22690</v>
      </c>
    </row>
    <row r="49" spans="1:11" x14ac:dyDescent="0.2">
      <c r="A49" s="66">
        <v>2017</v>
      </c>
      <c r="B49" s="145"/>
      <c r="C49" s="145"/>
      <c r="D49" s="107"/>
      <c r="E49" s="107"/>
      <c r="F49" s="107"/>
      <c r="G49" s="107"/>
      <c r="J49" s="33">
        <v>2017</v>
      </c>
      <c r="K49" s="166">
        <v>11258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66"/>
  <sheetViews>
    <sheetView zoomScaleNormal="100" workbookViewId="0">
      <pane ySplit="1" topLeftCell="A2" activePane="bottomLeft" state="frozen"/>
      <selection pane="bottomLeft" activeCell="M59" sqref="M59"/>
    </sheetView>
  </sheetViews>
  <sheetFormatPr defaultRowHeight="12.75" x14ac:dyDescent="0.2"/>
  <cols>
    <col min="1" max="1" width="16.140625" customWidth="1"/>
    <col min="8" max="8" width="10.42578125" bestFit="1" customWidth="1"/>
    <col min="9" max="9" width="10.140625" customWidth="1"/>
    <col min="10" max="10" width="16.28515625" bestFit="1" customWidth="1"/>
    <col min="11" max="11" width="16.5703125" bestFit="1" customWidth="1"/>
  </cols>
  <sheetData>
    <row r="1" spans="1:11" x14ac:dyDescent="0.2">
      <c r="A1" s="10" t="s">
        <v>13</v>
      </c>
      <c r="B1" s="3" t="s">
        <v>19</v>
      </c>
      <c r="C1" s="3" t="s">
        <v>20</v>
      </c>
      <c r="D1" s="3" t="s">
        <v>21</v>
      </c>
      <c r="E1" s="3" t="s">
        <v>22</v>
      </c>
      <c r="F1" s="3" t="s">
        <v>23</v>
      </c>
      <c r="G1" s="3" t="s">
        <v>24</v>
      </c>
    </row>
    <row r="2" spans="1:11" x14ac:dyDescent="0.2">
      <c r="A2" s="33">
        <v>1974</v>
      </c>
      <c r="B2" s="113">
        <v>15200.808429049157</v>
      </c>
      <c r="C2" s="114">
        <v>7314.7605278533483</v>
      </c>
      <c r="D2" s="114">
        <v>0</v>
      </c>
      <c r="E2" s="11">
        <f>LN(C2)</f>
        <v>8.897649575782788</v>
      </c>
      <c r="F2" s="11" t="e">
        <f>LN(D2)</f>
        <v>#NUM!</v>
      </c>
      <c r="G2" s="11">
        <f>LN(C2/B2)</f>
        <v>-0.7314543157589023</v>
      </c>
      <c r="J2" s="33">
        <v>15625.547496638819</v>
      </c>
      <c r="K2" s="43">
        <v>-0.73690256019477518</v>
      </c>
    </row>
    <row r="3" spans="1:11" x14ac:dyDescent="0.2">
      <c r="A3" s="33">
        <v>1975</v>
      </c>
      <c r="B3" s="113">
        <v>14087.516841715718</v>
      </c>
      <c r="C3" s="114">
        <v>4503.5344558577508</v>
      </c>
      <c r="D3" s="114">
        <v>0</v>
      </c>
      <c r="E3" s="11">
        <f t="shared" ref="E3:E32" si="0">LN(C3)</f>
        <v>8.4126178021011029</v>
      </c>
      <c r="F3" s="11" t="e">
        <f t="shared" ref="F3:F28" si="1">LN(D3)</f>
        <v>#NUM!</v>
      </c>
      <c r="G3" s="11">
        <f t="shared" ref="G3:G32" si="2">LN(C3/B3)</f>
        <v>-1.1404265517539853</v>
      </c>
      <c r="J3" s="33">
        <v>14529.871168347448</v>
      </c>
      <c r="K3" s="43">
        <v>-1.1749221072667531</v>
      </c>
    </row>
    <row r="4" spans="1:11" x14ac:dyDescent="0.2">
      <c r="A4" s="33">
        <v>1976</v>
      </c>
      <c r="B4" s="113">
        <v>48915.878750988399</v>
      </c>
      <c r="C4" s="114">
        <v>3961.8721711379576</v>
      </c>
      <c r="D4" s="114">
        <v>0</v>
      </c>
      <c r="E4" s="11">
        <f t="shared" si="0"/>
        <v>8.2844719630171522</v>
      </c>
      <c r="F4" s="11" t="e">
        <f t="shared" si="1"/>
        <v>#NUM!</v>
      </c>
      <c r="G4" s="11">
        <f t="shared" si="2"/>
        <v>-2.5133853785701792</v>
      </c>
      <c r="J4" s="33">
        <v>48807.154973713637</v>
      </c>
      <c r="K4" s="43">
        <v>-2.5098324551602729</v>
      </c>
    </row>
    <row r="5" spans="1:11" x14ac:dyDescent="0.2">
      <c r="A5" s="33">
        <v>1977</v>
      </c>
      <c r="B5" s="113">
        <v>85783.90587469301</v>
      </c>
      <c r="C5" s="114">
        <v>2679.2468013006346</v>
      </c>
      <c r="D5" s="114">
        <v>0</v>
      </c>
      <c r="E5" s="11">
        <f t="shared" si="0"/>
        <v>7.8932909897137469</v>
      </c>
      <c r="F5" s="11" t="e">
        <f t="shared" si="1"/>
        <v>#NUM!</v>
      </c>
      <c r="G5" s="11">
        <f t="shared" si="2"/>
        <v>-3.4662957009494701</v>
      </c>
      <c r="J5" s="33">
        <v>85091.831018919926</v>
      </c>
      <c r="K5" s="43">
        <v>-3.4488223288607802</v>
      </c>
    </row>
    <row r="6" spans="1:11" x14ac:dyDescent="0.2">
      <c r="A6" s="33">
        <v>1978</v>
      </c>
      <c r="B6" s="113">
        <v>54967.090958155022</v>
      </c>
      <c r="C6" s="114">
        <v>5600.8816659415634</v>
      </c>
      <c r="D6" s="114">
        <v>0</v>
      </c>
      <c r="E6" s="11">
        <f t="shared" si="0"/>
        <v>8.6306793046775176</v>
      </c>
      <c r="F6" s="11" t="e">
        <f t="shared" si="1"/>
        <v>#NUM!</v>
      </c>
      <c r="G6" s="11">
        <f t="shared" si="2"/>
        <v>-2.2838106342411919</v>
      </c>
      <c r="J6" s="33">
        <v>54762.620772876697</v>
      </c>
      <c r="K6" s="43">
        <v>-2.2765452432410367</v>
      </c>
    </row>
    <row r="7" spans="1:11" x14ac:dyDescent="0.2">
      <c r="A7" s="33">
        <v>1979</v>
      </c>
      <c r="B7" s="113">
        <v>60607.494461508577</v>
      </c>
      <c r="C7" s="114">
        <v>10468.965098592047</v>
      </c>
      <c r="D7" s="114">
        <v>0</v>
      </c>
      <c r="E7" s="11">
        <f t="shared" si="0"/>
        <v>9.2561704545275756</v>
      </c>
      <c r="F7" s="11" t="e">
        <f t="shared" si="1"/>
        <v>#NUM!</v>
      </c>
      <c r="G7" s="11">
        <f t="shared" si="2"/>
        <v>-1.7560033808651938</v>
      </c>
      <c r="J7" s="33">
        <v>60313.777963814158</v>
      </c>
      <c r="K7" s="43">
        <v>-1.7519884000150416</v>
      </c>
    </row>
    <row r="8" spans="1:11" x14ac:dyDescent="0.2">
      <c r="A8" s="33">
        <v>1980</v>
      </c>
      <c r="B8" s="113">
        <v>35096.273954716482</v>
      </c>
      <c r="C8" s="114">
        <v>7746.659710414855</v>
      </c>
      <c r="D8" s="114">
        <v>0</v>
      </c>
      <c r="E8" s="11">
        <f t="shared" si="0"/>
        <v>8.9550170243302336</v>
      </c>
      <c r="F8" s="11" t="e">
        <f t="shared" si="1"/>
        <v>#NUM!</v>
      </c>
      <c r="G8" s="11">
        <f t="shared" si="2"/>
        <v>-1.5108332243525862</v>
      </c>
      <c r="J8" s="33">
        <v>35206.213393004524</v>
      </c>
      <c r="K8" s="43">
        <v>-1.5125786150785123</v>
      </c>
    </row>
    <row r="9" spans="1:11" x14ac:dyDescent="0.2">
      <c r="A9" s="33">
        <v>1981</v>
      </c>
      <c r="B9" s="113">
        <v>23162.28110894659</v>
      </c>
      <c r="C9" s="114">
        <v>7231.5618756382864</v>
      </c>
      <c r="D9" s="114">
        <v>0</v>
      </c>
      <c r="E9" s="11">
        <f t="shared" si="0"/>
        <v>8.8862103188815631</v>
      </c>
      <c r="F9" s="11" t="e">
        <f t="shared" si="1"/>
        <v>#NUM!</v>
      </c>
      <c r="G9" s="11">
        <f t="shared" si="2"/>
        <v>-1.164070101433037</v>
      </c>
      <c r="J9" s="33">
        <v>23461.048324050906</v>
      </c>
      <c r="K9" s="43">
        <v>-1.1766981664573406</v>
      </c>
    </row>
    <row r="10" spans="1:11" x14ac:dyDescent="0.2">
      <c r="A10" s="33">
        <v>1982</v>
      </c>
      <c r="B10" s="113">
        <v>37222.208996949157</v>
      </c>
      <c r="C10" s="114">
        <v>19192.455588049419</v>
      </c>
      <c r="D10" s="114">
        <v>0</v>
      </c>
      <c r="E10" s="11">
        <f t="shared" si="0"/>
        <v>9.8622725426730344</v>
      </c>
      <c r="F10" s="11" t="e">
        <f t="shared" si="1"/>
        <v>#NUM!</v>
      </c>
      <c r="G10" s="11">
        <f t="shared" si="2"/>
        <v>-0.66238833549204379</v>
      </c>
      <c r="J10" s="33">
        <v>37298.510440571998</v>
      </c>
      <c r="K10" s="43">
        <v>-0.66615962022269004</v>
      </c>
    </row>
    <row r="11" spans="1:11" x14ac:dyDescent="0.2">
      <c r="A11" s="33">
        <v>1983</v>
      </c>
      <c r="B11" s="113">
        <v>43871.147868163811</v>
      </c>
      <c r="C11" s="114">
        <v>7183.191347251166</v>
      </c>
      <c r="D11" s="114">
        <v>39.819914188906367</v>
      </c>
      <c r="E11" s="11">
        <f t="shared" si="0"/>
        <v>8.8794990406245127</v>
      </c>
      <c r="F11" s="11">
        <f>LN(D11)</f>
        <v>3.6843671436590011</v>
      </c>
      <c r="G11" s="11">
        <f t="shared" si="2"/>
        <v>-1.8095131184125872</v>
      </c>
      <c r="J11" s="33">
        <v>43842.245264703299</v>
      </c>
      <c r="K11" s="43">
        <v>-1.8069183637917554</v>
      </c>
    </row>
    <row r="12" spans="1:11" x14ac:dyDescent="0.2">
      <c r="A12" s="33">
        <v>1984</v>
      </c>
      <c r="B12" s="113">
        <v>39054.415815955479</v>
      </c>
      <c r="C12" s="114">
        <v>6415.0947290311151</v>
      </c>
      <c r="D12" s="114">
        <v>14.991663519195342</v>
      </c>
      <c r="E12" s="11">
        <f t="shared" si="0"/>
        <v>8.7664090437421294</v>
      </c>
      <c r="F12" s="11">
        <f t="shared" si="1"/>
        <v>2.7074942812204057</v>
      </c>
      <c r="G12" s="11">
        <f t="shared" si="2"/>
        <v>-1.8063021862069237</v>
      </c>
      <c r="J12" s="33">
        <v>39101.726833258159</v>
      </c>
      <c r="K12" s="43">
        <v>-1.8081380764139059</v>
      </c>
    </row>
    <row r="13" spans="1:11" x14ac:dyDescent="0.2">
      <c r="A13" s="33">
        <v>1985</v>
      </c>
      <c r="B13" s="113">
        <v>41640.4566064588</v>
      </c>
      <c r="C13" s="114">
        <v>8405.053144055224</v>
      </c>
      <c r="D13" s="114">
        <v>494.61491108898304</v>
      </c>
      <c r="E13" s="11">
        <f t="shared" si="0"/>
        <v>9.0365883687323301</v>
      </c>
      <c r="F13" s="11">
        <f t="shared" si="1"/>
        <v>6.203779502406805</v>
      </c>
      <c r="G13" s="11">
        <f t="shared" si="2"/>
        <v>-1.6002391195094308</v>
      </c>
      <c r="J13" s="33">
        <v>41646.849522038297</v>
      </c>
      <c r="K13" s="43">
        <v>-1.5932397022246321</v>
      </c>
    </row>
    <row r="14" spans="1:11" x14ac:dyDescent="0.2">
      <c r="A14" s="33">
        <v>1986</v>
      </c>
      <c r="B14" s="113">
        <v>47656.750073801319</v>
      </c>
      <c r="C14" s="114">
        <v>8562.1601794097733</v>
      </c>
      <c r="D14" s="114">
        <v>512.84272813744928</v>
      </c>
      <c r="E14" s="11">
        <f t="shared" si="0"/>
        <v>9.0551077947066965</v>
      </c>
      <c r="F14" s="11">
        <f t="shared" si="1"/>
        <v>6.2399692253362291</v>
      </c>
      <c r="G14" s="11">
        <f t="shared" si="2"/>
        <v>-1.7166717638140672</v>
      </c>
      <c r="J14" s="33">
        <v>47567.949089502181</v>
      </c>
      <c r="K14" s="43">
        <v>-1.7146942638344083</v>
      </c>
    </row>
    <row r="15" spans="1:11" x14ac:dyDescent="0.2">
      <c r="A15" s="33">
        <v>1987</v>
      </c>
      <c r="B15" s="113">
        <v>35225.678696417599</v>
      </c>
      <c r="C15" s="114">
        <v>4906.3184184722631</v>
      </c>
      <c r="D15" s="114">
        <v>447.1406179998736</v>
      </c>
      <c r="E15" s="11">
        <f t="shared" si="0"/>
        <v>8.4982791265998063</v>
      </c>
      <c r="F15" s="11">
        <f t="shared" si="1"/>
        <v>6.1028731267983325</v>
      </c>
      <c r="G15" s="11">
        <f t="shared" si="2"/>
        <v>-1.971251477445408</v>
      </c>
      <c r="J15" s="33">
        <v>35333.570604595589</v>
      </c>
      <c r="K15" s="43">
        <v>-1.9643919129087615</v>
      </c>
    </row>
    <row r="16" spans="1:11" x14ac:dyDescent="0.2">
      <c r="A16" s="33">
        <v>1988</v>
      </c>
      <c r="B16" s="113">
        <v>43795.14825795839</v>
      </c>
      <c r="C16" s="114">
        <v>5848.313870963615</v>
      </c>
      <c r="D16" s="114">
        <v>0</v>
      </c>
      <c r="E16" s="11">
        <f t="shared" si="0"/>
        <v>8.6739086714947575</v>
      </c>
      <c r="F16" s="11" t="e">
        <f t="shared" si="1"/>
        <v>#NUM!</v>
      </c>
      <c r="G16" s="11">
        <f t="shared" si="2"/>
        <v>-2.0133696483680437</v>
      </c>
      <c r="J16" s="33">
        <v>43767.448172181561</v>
      </c>
      <c r="K16" s="43">
        <v>-2.0009975779486688</v>
      </c>
    </row>
    <row r="17" spans="1:11" x14ac:dyDescent="0.2">
      <c r="A17" s="33">
        <v>1989</v>
      </c>
      <c r="B17" s="113">
        <v>23246.496893228272</v>
      </c>
      <c r="C17" s="114">
        <v>4711.3773275208714</v>
      </c>
      <c r="D17" s="114">
        <v>3041.0043261762562</v>
      </c>
      <c r="E17" s="11">
        <f t="shared" si="0"/>
        <v>8.4577355704874861</v>
      </c>
      <c r="F17" s="11">
        <f t="shared" si="1"/>
        <v>8.0199431102926813</v>
      </c>
      <c r="G17" s="11">
        <f t="shared" si="2"/>
        <v>-1.5961741579169624</v>
      </c>
      <c r="J17" s="33">
        <v>23543.931588737152</v>
      </c>
      <c r="K17" s="43">
        <v>-1.5906790827845783</v>
      </c>
    </row>
    <row r="18" spans="1:11" x14ac:dyDescent="0.2">
      <c r="A18" s="33">
        <v>1990</v>
      </c>
      <c r="B18" s="113">
        <v>41671.267259244785</v>
      </c>
      <c r="C18" s="114">
        <v>1730.4936380593278</v>
      </c>
      <c r="D18" s="114">
        <v>3.1621097740336701</v>
      </c>
      <c r="E18" s="11">
        <f t="shared" si="0"/>
        <v>7.4561619867088194</v>
      </c>
      <c r="F18" s="11">
        <f t="shared" si="1"/>
        <v>1.1512394548303611</v>
      </c>
      <c r="G18" s="11">
        <f t="shared" si="2"/>
        <v>-3.1814051490341826</v>
      </c>
      <c r="J18" s="33">
        <v>41677.172667655221</v>
      </c>
      <c r="K18" s="43">
        <v>-3.1360391385701156</v>
      </c>
    </row>
    <row r="19" spans="1:11" x14ac:dyDescent="0.2">
      <c r="A19" s="33">
        <v>1991</v>
      </c>
      <c r="B19" s="113">
        <v>21019.913718561394</v>
      </c>
      <c r="C19" s="115">
        <v>4059.8806994979118</v>
      </c>
      <c r="D19" s="114">
        <v>3.9570827542759091</v>
      </c>
      <c r="E19" s="11">
        <f t="shared" si="0"/>
        <v>8.3089088678039289</v>
      </c>
      <c r="F19" s="11">
        <f t="shared" si="1"/>
        <v>1.3755070755725025</v>
      </c>
      <c r="G19" s="11">
        <f>LN(C19/B19)</f>
        <v>-1.6443166718879221</v>
      </c>
      <c r="J19" s="33">
        <v>21352.578932154414</v>
      </c>
      <c r="K19" s="44">
        <v>-1.6596958667581352</v>
      </c>
    </row>
    <row r="20" spans="1:11" x14ac:dyDescent="0.2">
      <c r="A20" s="33">
        <v>1992</v>
      </c>
      <c r="B20" s="113">
        <v>20247.593355392808</v>
      </c>
      <c r="C20" s="115">
        <v>7108.6371873742992</v>
      </c>
      <c r="D20" s="115">
        <v>108.66499835765568</v>
      </c>
      <c r="E20" s="11">
        <f t="shared" si="0"/>
        <v>8.8690658289504132</v>
      </c>
      <c r="F20" s="11">
        <f t="shared" si="1"/>
        <v>4.688269740043836</v>
      </c>
      <c r="G20" s="11">
        <f t="shared" si="2"/>
        <v>-1.0467253898741811</v>
      </c>
      <c r="J20" s="33">
        <v>20592.47874869029</v>
      </c>
      <c r="K20" s="44">
        <v>-1.0633690972504364</v>
      </c>
    </row>
    <row r="21" spans="1:11" x14ac:dyDescent="0.2">
      <c r="A21" s="33">
        <v>1993</v>
      </c>
      <c r="B21" s="113">
        <v>16207.289753391196</v>
      </c>
      <c r="C21" s="115">
        <v>6135.3280389717856</v>
      </c>
      <c r="D21" s="115">
        <v>11.328340155691741</v>
      </c>
      <c r="E21" s="11">
        <f t="shared" si="0"/>
        <v>8.7218188258005878</v>
      </c>
      <c r="F21" s="11">
        <f t="shared" si="1"/>
        <v>2.4273075643688045</v>
      </c>
      <c r="G21" s="11">
        <f t="shared" si="2"/>
        <v>-0.9713975789843331</v>
      </c>
      <c r="H21" s="90"/>
      <c r="J21" s="33">
        <v>16616.103586791534</v>
      </c>
      <c r="K21" s="44">
        <v>-0.99617127738674727</v>
      </c>
    </row>
    <row r="22" spans="1:11" x14ac:dyDescent="0.2">
      <c r="A22" s="33">
        <v>1994</v>
      </c>
      <c r="B22" s="113">
        <v>9831.5386702122378</v>
      </c>
      <c r="C22" s="115">
        <v>11200.790069892588</v>
      </c>
      <c r="D22" s="115">
        <v>79.863814262021492</v>
      </c>
      <c r="E22" s="11">
        <f t="shared" si="0"/>
        <v>9.323739596749915</v>
      </c>
      <c r="F22" s="11">
        <f t="shared" si="1"/>
        <v>4.3803228623530348</v>
      </c>
      <c r="G22" s="11">
        <f t="shared" si="2"/>
        <v>0.13038886786075532</v>
      </c>
      <c r="H22" s="90"/>
      <c r="J22" s="33">
        <v>10341.233987130254</v>
      </c>
      <c r="K22" s="44">
        <v>8.1987825652101554E-2</v>
      </c>
    </row>
    <row r="23" spans="1:11" x14ac:dyDescent="0.2">
      <c r="A23" s="33">
        <v>1995</v>
      </c>
      <c r="B23" s="113">
        <v>10048</v>
      </c>
      <c r="C23" s="115">
        <v>10309.713446624437</v>
      </c>
      <c r="D23" s="115">
        <v>0</v>
      </c>
      <c r="E23" s="11">
        <f t="shared" si="0"/>
        <v>9.2408417828928844</v>
      </c>
      <c r="F23" s="25">
        <v>0</v>
      </c>
      <c r="G23" s="11">
        <f t="shared" si="2"/>
        <v>2.5712894184904491E-2</v>
      </c>
      <c r="H23" s="90"/>
      <c r="J23" s="33">
        <v>10048</v>
      </c>
      <c r="K23" s="44">
        <v>2.6450690559929428E-2</v>
      </c>
    </row>
    <row r="24" spans="1:11" x14ac:dyDescent="0.2">
      <c r="A24" s="33">
        <v>1996</v>
      </c>
      <c r="B24" s="113">
        <v>14349</v>
      </c>
      <c r="C24" s="115">
        <v>4654.2777213619256</v>
      </c>
      <c r="D24" s="115">
        <v>0</v>
      </c>
      <c r="E24" s="11">
        <f t="shared" si="0"/>
        <v>8.4455420157736949</v>
      </c>
      <c r="F24" s="25">
        <v>0</v>
      </c>
      <c r="G24" s="11">
        <f t="shared" si="2"/>
        <v>-1.1258935165747115</v>
      </c>
      <c r="H24" s="90"/>
      <c r="J24" s="33">
        <v>14349</v>
      </c>
      <c r="K24" s="44">
        <v>-1.1251948378234329</v>
      </c>
    </row>
    <row r="25" spans="1:11" x14ac:dyDescent="0.2">
      <c r="A25" s="33">
        <v>1997</v>
      </c>
      <c r="B25" s="113">
        <v>35587</v>
      </c>
      <c r="C25" s="115">
        <v>8166.5559561580312</v>
      </c>
      <c r="D25" s="115">
        <v>3.7054721501931462</v>
      </c>
      <c r="E25" s="11">
        <f t="shared" si="0"/>
        <v>9.0078025513840068</v>
      </c>
      <c r="F25" s="11">
        <f t="shared" si="1"/>
        <v>1.3098106865783465</v>
      </c>
      <c r="G25" s="11">
        <f t="shared" si="2"/>
        <v>-1.4719331302265215</v>
      </c>
      <c r="H25" s="90"/>
      <c r="J25" s="33">
        <v>35587</v>
      </c>
      <c r="K25" s="44">
        <v>-1.4712081956047709</v>
      </c>
    </row>
    <row r="26" spans="1:11" x14ac:dyDescent="0.2">
      <c r="A26" s="33">
        <v>1998</v>
      </c>
      <c r="B26" s="113">
        <v>36310.213674484126</v>
      </c>
      <c r="C26" s="115">
        <v>8842.0571426269289</v>
      </c>
      <c r="D26" s="115">
        <v>480.60074969852849</v>
      </c>
      <c r="E26" s="11">
        <f t="shared" si="0"/>
        <v>9.0872748370012406</v>
      </c>
      <c r="F26" s="11">
        <f>LN(D26)</f>
        <v>6.1750368832231839</v>
      </c>
      <c r="G26" s="11">
        <f t="shared" si="2"/>
        <v>-1.4125795121181144</v>
      </c>
      <c r="H26" s="90"/>
      <c r="J26" s="33">
        <v>36400.945330311166</v>
      </c>
      <c r="K26" s="44">
        <v>-1.4156632806076939</v>
      </c>
    </row>
    <row r="27" spans="1:11" x14ac:dyDescent="0.2">
      <c r="A27" s="33">
        <v>1999</v>
      </c>
      <c r="B27" s="45">
        <v>29088</v>
      </c>
      <c r="C27" s="115">
        <v>16832.450323757814</v>
      </c>
      <c r="D27" s="115">
        <v>533.65507922804193</v>
      </c>
      <c r="E27" s="11">
        <f t="shared" si="0"/>
        <v>9.731063869205089</v>
      </c>
      <c r="F27" s="11">
        <f t="shared" si="1"/>
        <v>6.2797497112160041</v>
      </c>
      <c r="G27" s="11">
        <f t="shared" si="2"/>
        <v>-0.54701712777211609</v>
      </c>
      <c r="H27" s="90"/>
      <c r="J27" s="33">
        <v>29088</v>
      </c>
      <c r="K27" s="44">
        <v>-0.54803125762955762</v>
      </c>
    </row>
    <row r="28" spans="1:11" x14ac:dyDescent="0.2">
      <c r="A28" s="33">
        <v>2000</v>
      </c>
      <c r="B28" s="45">
        <v>33965</v>
      </c>
      <c r="C28" s="115">
        <v>12067.836482003508</v>
      </c>
      <c r="D28" s="115">
        <v>478.19461147039237</v>
      </c>
      <c r="E28" s="11">
        <f t="shared" si="0"/>
        <v>9.3982990504691806</v>
      </c>
      <c r="F28" s="11">
        <f t="shared" si="1"/>
        <v>6.1700177866010382</v>
      </c>
      <c r="G28" s="11">
        <f>LN(C28/B28)</f>
        <v>-1.0347868111562213</v>
      </c>
      <c r="H28" s="90"/>
      <c r="J28" s="33">
        <v>33965</v>
      </c>
      <c r="K28" s="44">
        <v>-1.0358911037622924</v>
      </c>
    </row>
    <row r="29" spans="1:11" x14ac:dyDescent="0.2">
      <c r="A29" s="33">
        <v>2001</v>
      </c>
      <c r="B29" s="45">
        <v>27966</v>
      </c>
      <c r="C29" s="115">
        <v>13037.412828610082</v>
      </c>
      <c r="D29" s="115">
        <v>670.43536011130607</v>
      </c>
      <c r="E29" s="11">
        <f t="shared" si="0"/>
        <v>9.4755784130822711</v>
      </c>
      <c r="F29" s="11">
        <f>LN(D29)</f>
        <v>6.5079272925730161</v>
      </c>
      <c r="G29" s="11">
        <f t="shared" si="2"/>
        <v>-0.76316635251852483</v>
      </c>
      <c r="H29" s="90"/>
      <c r="J29" s="33">
        <v>27966</v>
      </c>
      <c r="K29" s="44">
        <v>-0.7641789272167151</v>
      </c>
    </row>
    <row r="30" spans="1:11" x14ac:dyDescent="0.2">
      <c r="A30" s="33">
        <v>2002</v>
      </c>
      <c r="B30" s="45">
        <v>28535</v>
      </c>
      <c r="C30" s="115">
        <v>8745.7133584309759</v>
      </c>
      <c r="D30" s="115">
        <v>545.08717103852985</v>
      </c>
      <c r="E30" s="11">
        <f t="shared" si="0"/>
        <v>9.0763189574169179</v>
      </c>
      <c r="F30" s="11">
        <f>LN(D30)</f>
        <v>6.3009457287327963</v>
      </c>
      <c r="G30" s="11">
        <f t="shared" si="2"/>
        <v>-1.1825677255538909</v>
      </c>
    </row>
    <row r="31" spans="1:11" x14ac:dyDescent="0.2">
      <c r="A31" s="33">
        <v>2003</v>
      </c>
      <c r="B31" s="45">
        <v>39257</v>
      </c>
      <c r="C31" s="115">
        <v>2175.3906308760697</v>
      </c>
      <c r="D31" s="115">
        <v>0</v>
      </c>
      <c r="E31" s="11">
        <f t="shared" si="0"/>
        <v>7.6849635277993533</v>
      </c>
      <c r="F31" s="25">
        <v>0</v>
      </c>
      <c r="G31" s="11">
        <f t="shared" si="2"/>
        <v>-2.8929215234588539</v>
      </c>
    </row>
    <row r="32" spans="1:11" x14ac:dyDescent="0.2">
      <c r="A32" s="45">
        <v>2004</v>
      </c>
      <c r="B32" s="45">
        <v>56659</v>
      </c>
      <c r="C32" s="115">
        <v>1512.7131009261634</v>
      </c>
      <c r="D32" s="115">
        <v>0</v>
      </c>
      <c r="E32" s="11">
        <f t="shared" si="0"/>
        <v>7.321660073154808</v>
      </c>
      <c r="F32" s="25">
        <v>0</v>
      </c>
      <c r="G32" s="11">
        <f t="shared" si="2"/>
        <v>-3.6231460509387587</v>
      </c>
    </row>
    <row r="33" spans="1:13" x14ac:dyDescent="0.2">
      <c r="A33" s="33">
        <v>2005</v>
      </c>
      <c r="B33" s="45">
        <v>36433</v>
      </c>
      <c r="C33" s="115">
        <v>8503.103908169609</v>
      </c>
      <c r="D33" s="115">
        <v>0</v>
      </c>
      <c r="E33" s="11">
        <f t="shared" ref="E33:E41" si="3">LN(C33)</f>
        <v>9.0481865414886649</v>
      </c>
      <c r="F33" s="25">
        <v>0</v>
      </c>
      <c r="G33" s="11">
        <f t="shared" ref="G33:G41" si="4">LN(C33/B33)</f>
        <v>-1.4550436948351688</v>
      </c>
    </row>
    <row r="34" spans="1:13" x14ac:dyDescent="0.2">
      <c r="A34" s="45">
        <v>2006</v>
      </c>
      <c r="B34" s="45">
        <v>29922</v>
      </c>
      <c r="C34" s="115">
        <v>4668.3064426651417</v>
      </c>
      <c r="D34" s="115">
        <v>0</v>
      </c>
      <c r="E34" s="11">
        <f t="shared" si="3"/>
        <v>8.4485516387806925</v>
      </c>
      <c r="F34" s="25">
        <v>0</v>
      </c>
      <c r="G34" s="11">
        <f t="shared" si="4"/>
        <v>-1.8577976359934849</v>
      </c>
    </row>
    <row r="35" spans="1:13" x14ac:dyDescent="0.2">
      <c r="A35" s="33">
        <v>2007</v>
      </c>
      <c r="B35" s="45">
        <v>17594</v>
      </c>
      <c r="C35" s="115">
        <v>6030.9224262863663</v>
      </c>
      <c r="D35" s="115">
        <v>200.07027611422035</v>
      </c>
      <c r="E35" s="11">
        <f t="shared" si="3"/>
        <v>8.7046552508722215</v>
      </c>
      <c r="F35" s="11">
        <f t="shared" ref="F35:F42" si="5">LN(D35)</f>
        <v>5.2986686853994431</v>
      </c>
      <c r="G35" s="11">
        <f t="shared" si="4"/>
        <v>-1.0706579629403983</v>
      </c>
    </row>
    <row r="36" spans="1:13" x14ac:dyDescent="0.2">
      <c r="A36" s="33">
        <v>2008</v>
      </c>
      <c r="B36" s="45">
        <v>7284</v>
      </c>
      <c r="C36" s="115">
        <v>8809.07371842457</v>
      </c>
      <c r="D36" s="115">
        <v>518.78902591710687</v>
      </c>
      <c r="E36" s="11">
        <f t="shared" si="3"/>
        <v>9.0835375736097514</v>
      </c>
      <c r="F36" s="11">
        <f t="shared" si="5"/>
        <v>6.2514972993988014</v>
      </c>
      <c r="G36" s="11">
        <f>LN(C36/B36)</f>
        <v>0.19010213276225332</v>
      </c>
    </row>
    <row r="37" spans="1:13" x14ac:dyDescent="0.2">
      <c r="A37" s="33">
        <v>2009</v>
      </c>
      <c r="B37" s="45">
        <v>11641</v>
      </c>
      <c r="C37" s="115">
        <v>4277.8876007538311</v>
      </c>
      <c r="D37" s="116">
        <v>669.04357355123341</v>
      </c>
      <c r="E37" s="11">
        <f t="shared" si="3"/>
        <v>8.3612146155136067</v>
      </c>
      <c r="F37" s="11">
        <f t="shared" si="5"/>
        <v>6.5058491903707854</v>
      </c>
      <c r="G37" s="11">
        <f t="shared" si="4"/>
        <v>-1.0010740127346351</v>
      </c>
    </row>
    <row r="38" spans="1:13" x14ac:dyDescent="0.2">
      <c r="A38" s="33">
        <v>2010</v>
      </c>
      <c r="B38" s="45">
        <v>18223</v>
      </c>
      <c r="C38" s="116">
        <v>7046.1478976126245</v>
      </c>
      <c r="D38" s="116">
        <v>785.2816837006992</v>
      </c>
      <c r="E38" s="11">
        <f t="shared" si="3"/>
        <v>8.8602363489750466</v>
      </c>
      <c r="F38" s="11">
        <f t="shared" si="5"/>
        <v>6.6660424861570817</v>
      </c>
      <c r="G38" s="11">
        <f t="shared" si="4"/>
        <v>-0.95020346251100918</v>
      </c>
      <c r="H38" s="90"/>
    </row>
    <row r="39" spans="1:13" x14ac:dyDescent="0.2">
      <c r="A39" s="33">
        <v>2011</v>
      </c>
      <c r="B39" s="45">
        <v>18553</v>
      </c>
      <c r="C39" s="116">
        <v>7211.3603991777436</v>
      </c>
      <c r="D39" s="116">
        <v>1550.2217133674794</v>
      </c>
      <c r="E39" s="89">
        <f t="shared" si="3"/>
        <v>8.883412894752265</v>
      </c>
      <c r="F39" s="89">
        <f t="shared" si="5"/>
        <v>7.3461532405661654</v>
      </c>
      <c r="G39" s="89">
        <f t="shared" si="4"/>
        <v>-0.94497388527461224</v>
      </c>
      <c r="H39" s="90"/>
    </row>
    <row r="40" spans="1:13" x14ac:dyDescent="0.2">
      <c r="A40" s="33">
        <v>2012</v>
      </c>
      <c r="B40" s="117">
        <v>13952</v>
      </c>
      <c r="C40" s="116">
        <v>11021.083988374694</v>
      </c>
      <c r="D40" s="116">
        <v>2897.1637568857273</v>
      </c>
      <c r="E40" s="89">
        <f t="shared" si="3"/>
        <v>9.3075654434205752</v>
      </c>
      <c r="F40" s="89">
        <f t="shared" si="5"/>
        <v>7.9714875225389781</v>
      </c>
      <c r="G40" s="89">
        <f>LN(C40/B40)</f>
        <v>-0.23581270272818636</v>
      </c>
      <c r="H40" s="90"/>
    </row>
    <row r="41" spans="1:13" x14ac:dyDescent="0.2">
      <c r="A41" s="33">
        <v>2013</v>
      </c>
      <c r="B41" s="117">
        <v>18378</v>
      </c>
      <c r="C41" s="116">
        <v>1705.9746181052706</v>
      </c>
      <c r="D41" s="116">
        <v>4029.1808561538896</v>
      </c>
      <c r="E41" s="104">
        <f t="shared" si="3"/>
        <v>7.4418918499252777</v>
      </c>
      <c r="F41" s="89">
        <f t="shared" si="5"/>
        <v>8.3013183727800346</v>
      </c>
      <c r="G41" s="104">
        <f t="shared" si="4"/>
        <v>-2.3770177261355525</v>
      </c>
      <c r="H41" s="90"/>
    </row>
    <row r="42" spans="1:13" x14ac:dyDescent="0.2">
      <c r="A42" s="33">
        <v>2014</v>
      </c>
      <c r="B42" s="166">
        <v>16099</v>
      </c>
      <c r="C42" s="87"/>
      <c r="D42" s="116">
        <v>1161.6330332532664</v>
      </c>
      <c r="F42" s="104">
        <f t="shared" si="5"/>
        <v>7.0575820813842194</v>
      </c>
    </row>
    <row r="43" spans="1:13" x14ac:dyDescent="0.2">
      <c r="A43" s="33">
        <v>2015</v>
      </c>
      <c r="B43" s="167">
        <v>24181</v>
      </c>
      <c r="C43" s="87"/>
      <c r="D43" s="67"/>
      <c r="F43" s="11"/>
    </row>
    <row r="44" spans="1:13" x14ac:dyDescent="0.2">
      <c r="A44" s="33">
        <v>2016</v>
      </c>
      <c r="B44" s="166">
        <v>22690</v>
      </c>
      <c r="C44" s="87"/>
      <c r="D44" s="67"/>
      <c r="F44" s="11"/>
    </row>
    <row r="45" spans="1:13" s="90" customFormat="1" x14ac:dyDescent="0.2">
      <c r="A45" s="33">
        <v>2017</v>
      </c>
      <c r="B45" s="166">
        <v>11258</v>
      </c>
      <c r="C45" s="87"/>
      <c r="D45" s="67"/>
      <c r="F45" s="104"/>
    </row>
    <row r="47" spans="1:13" x14ac:dyDescent="0.2">
      <c r="A47" s="12" t="s">
        <v>25</v>
      </c>
      <c r="B47" s="14">
        <v>2010</v>
      </c>
      <c r="C47" s="47">
        <f>AVERAGE(C29:C33)</f>
        <v>6794.8667654025803</v>
      </c>
      <c r="D47" s="47">
        <f t="shared" ref="D47:D54" si="6">FORECAST(D34,$C$20:$C$40,$D$20:$D$40)</f>
        <v>7282.2212957267557</v>
      </c>
      <c r="E47" s="63"/>
      <c r="F47" s="47">
        <f t="shared" ref="F47:F54" si="7">EXP(FORECAST(F34,$E$20:$E$40,$F$20:$F$40))</f>
        <v>4666.5663103966172</v>
      </c>
      <c r="G47" s="47">
        <f>EXP(FORECAST(B34,$G$2:G$40,$B$2:B$40))*B34</f>
        <v>7611.5490986473733</v>
      </c>
      <c r="H47" s="48">
        <f t="shared" ref="H47:H55" si="8">EXP(H58)*B33</f>
        <v>10129.530374777807</v>
      </c>
      <c r="I47" s="48">
        <f t="shared" ref="I47:I55" si="9">EXP(I58)*B33</f>
        <v>9313.965657310313</v>
      </c>
      <c r="J47" s="48">
        <f>EXP(J58)</f>
        <v>3802.0664479507309</v>
      </c>
      <c r="K47" s="48">
        <f t="shared" ref="J47:K51" si="10">EXP(K58)</f>
        <v>4105.0779058950484</v>
      </c>
      <c r="L47" s="131">
        <f t="array" ref="L47">EXP(AVERAGE(LN(C29:C33)))</f>
        <v>5020.7846366249933</v>
      </c>
      <c r="M47" s="131">
        <f t="array" ref="M47">EXP(AVERAGE(LN(C29:C33)))*EXP(VAR(LN(C29:C33)/2))</f>
        <v>6301.371519059202</v>
      </c>
    </row>
    <row r="48" spans="1:13" x14ac:dyDescent="0.2">
      <c r="A48" t="s">
        <v>51</v>
      </c>
      <c r="B48" s="14">
        <v>2011</v>
      </c>
      <c r="C48" s="47">
        <f t="shared" ref="C48:C54" si="11">AVERAGE(C30:C34)</f>
        <v>5121.0454882135919</v>
      </c>
      <c r="D48" s="47">
        <f>FORECAST(D35,$C$20:$C$40,$D$20:$D$40)</f>
        <v>7606.0854639852932</v>
      </c>
      <c r="E48" s="63"/>
      <c r="F48" s="47">
        <f t="shared" si="7"/>
        <v>8048.4864792752951</v>
      </c>
      <c r="G48" s="47">
        <f>EXP(FORECAST(B35,$G$2:G$40,$B$2:B$40))*B35</f>
        <v>7561.2775959763076</v>
      </c>
      <c r="H48" s="48">
        <f t="shared" si="8"/>
        <v>9983.2031505040723</v>
      </c>
      <c r="I48" s="48">
        <f t="shared" si="9"/>
        <v>10773.441614574323</v>
      </c>
      <c r="J48" s="48">
        <f t="shared" si="10"/>
        <v>7107.6006178571524</v>
      </c>
      <c r="K48" s="48">
        <f t="shared" si="10"/>
        <v>9145.708208676886</v>
      </c>
      <c r="L48" s="131">
        <f t="array" ref="L48">EXP(AVERAGE(LN(C30:C34)))</f>
        <v>4088.51109671944</v>
      </c>
      <c r="M48" s="131">
        <f t="array" ref="M48">EXP(AVERAGE(LN(C30:C34)))*EXP(VAR(LN(C30:C34)/2))</f>
        <v>4785.5348690574101</v>
      </c>
    </row>
    <row r="49" spans="1:13" x14ac:dyDescent="0.2">
      <c r="A49" t="s">
        <v>52</v>
      </c>
      <c r="B49" s="14">
        <v>2012</v>
      </c>
      <c r="C49" s="47">
        <f t="shared" si="11"/>
        <v>4578.0873017846698</v>
      </c>
      <c r="D49" s="47">
        <f t="shared" si="6"/>
        <v>8122.0120914588497</v>
      </c>
      <c r="E49" s="63"/>
      <c r="F49" s="47">
        <f t="shared" si="7"/>
        <v>8877.3146430535689</v>
      </c>
      <c r="G49" s="118">
        <f>EXP(FORECAST(B36,$G$2:G$38,$B$2:B$38))*B36</f>
        <v>4714.2564136382998</v>
      </c>
      <c r="H49" s="48">
        <f t="shared" si="8"/>
        <v>10653.920375877828</v>
      </c>
      <c r="I49" s="48">
        <f t="shared" si="9"/>
        <v>10326.546759374743</v>
      </c>
      <c r="J49" s="48">
        <f t="shared" si="10"/>
        <v>5719.7478429397524</v>
      </c>
      <c r="K49" s="48">
        <f t="shared" si="10"/>
        <v>4622.1257624746859</v>
      </c>
      <c r="L49" s="131">
        <f t="array" ref="L49">EXP(AVERAGE(LN(C31:C35)))</f>
        <v>3795.6213553185412</v>
      </c>
      <c r="M49" s="131">
        <f t="array" ref="M49">EXP(AVERAGE(LN(C31:C35)))*EXP(VAR(LN(C31:C35)/2))</f>
        <v>4318.2313839906892</v>
      </c>
    </row>
    <row r="50" spans="1:13" x14ac:dyDescent="0.2">
      <c r="B50" s="14">
        <v>2013</v>
      </c>
      <c r="C50" s="47">
        <f t="shared" si="11"/>
        <v>5904.8239192943702</v>
      </c>
      <c r="D50" s="47">
        <f t="shared" si="6"/>
        <v>8365.2369474529896</v>
      </c>
      <c r="E50" s="63"/>
      <c r="F50" s="47">
        <f t="shared" si="7"/>
        <v>9112.6507098945458</v>
      </c>
      <c r="G50" s="47">
        <f>EXP(FORECAST(B37,$G$2:G$40,$B$2:B$40))*B37</f>
        <v>6444.6144172542172</v>
      </c>
      <c r="H50" s="48">
        <f t="shared" si="8"/>
        <v>4519.9465197723111</v>
      </c>
      <c r="I50" s="48">
        <f t="shared" si="9"/>
        <v>4378.4735621942509</v>
      </c>
      <c r="J50" s="48">
        <f t="shared" si="10"/>
        <v>6275.9490776656385</v>
      </c>
      <c r="K50" s="48">
        <f t="shared" si="10"/>
        <v>7301.9009693733551</v>
      </c>
      <c r="L50" s="131">
        <f t="array" ref="L50">EXP(AVERAGE(LN(C32:C36)))</f>
        <v>5020.6677189384682</v>
      </c>
      <c r="M50" s="131">
        <f t="array" ref="M50">EXP(AVERAGE(LN(C32:C36)))*EXP(VAR(LN(C32:C36)/2))</f>
        <v>5714.7378914370183</v>
      </c>
    </row>
    <row r="51" spans="1:13" x14ac:dyDescent="0.2">
      <c r="B51" s="14">
        <v>2014</v>
      </c>
      <c r="C51" s="47">
        <f t="shared" si="11"/>
        <v>6457.8588192599036</v>
      </c>
      <c r="D51" s="47">
        <f t="shared" si="6"/>
        <v>8553.3976257638915</v>
      </c>
      <c r="E51" s="63"/>
      <c r="F51" s="47">
        <f t="shared" si="7"/>
        <v>9264.0592029345116</v>
      </c>
      <c r="G51" s="47">
        <f>EXP(FORECAST(B38,$G$2:G$40,$B$2:B$40))*B38</f>
        <v>7624.832171354572</v>
      </c>
      <c r="H51" s="48">
        <f t="shared" si="8"/>
        <v>3848.8459467213556</v>
      </c>
      <c r="I51" s="48">
        <f t="shared" si="9"/>
        <v>4195.7132498382416</v>
      </c>
      <c r="J51" s="48">
        <f t="shared" si="10"/>
        <v>7199.2346446514111</v>
      </c>
      <c r="K51" s="48">
        <f t="shared" si="10"/>
        <v>7028.2287699937797</v>
      </c>
      <c r="L51" s="131">
        <f t="array" ref="L51">EXP(AVERAGE(LN(C33:C37)))</f>
        <v>6180.9615196473242</v>
      </c>
      <c r="M51" s="131">
        <f t="array" ref="M51">EXP(AVERAGE(LN(C33:C37)))*EXP(VAR(LN(C33:C37)/2))</f>
        <v>6354.1253591510276</v>
      </c>
    </row>
    <row r="52" spans="1:13" x14ac:dyDescent="0.2">
      <c r="A52" s="1"/>
      <c r="B52" s="14">
        <v>2015</v>
      </c>
      <c r="C52" s="47">
        <f t="shared" si="11"/>
        <v>6166.4676171485062</v>
      </c>
      <c r="D52" s="47">
        <f t="shared" si="6"/>
        <v>9791.6458617700227</v>
      </c>
      <c r="E52" s="47"/>
      <c r="F52" s="47">
        <f t="shared" si="7"/>
        <v>9935.3943557224229</v>
      </c>
      <c r="G52" s="47">
        <f>EXP(FORECAST(B39,$G$2:G$40,$B$2:B$40))*B39</f>
        <v>7654.6990352654666</v>
      </c>
      <c r="H52" s="48">
        <f t="shared" si="8"/>
        <v>7293.3613661762911</v>
      </c>
      <c r="I52" s="48">
        <f t="shared" si="9"/>
        <v>6995.9018842195683</v>
      </c>
      <c r="J52" s="48">
        <f>EXP(J63)</f>
        <v>5548.8168287248627</v>
      </c>
      <c r="K52" s="48">
        <f>EXP(K63)</f>
        <v>5044.8338568218032</v>
      </c>
      <c r="L52" s="131">
        <f t="array" ref="L52">EXP(AVERAGE(LN(C34:C38)))</f>
        <v>5952.9316146913834</v>
      </c>
      <c r="M52" s="131">
        <f t="array" ref="M52">EXP(AVERAGE(LN(C34:C38)))*EXP(VAR(LN(C34:C38)/2))</f>
        <v>6084.7581268070207</v>
      </c>
    </row>
    <row r="53" spans="1:13" s="86" customFormat="1" x14ac:dyDescent="0.2">
      <c r="A53" s="87"/>
      <c r="B53" s="88">
        <v>2016</v>
      </c>
      <c r="C53" s="47">
        <f t="shared" si="11"/>
        <v>6675.078408451026</v>
      </c>
      <c r="D53" s="47">
        <f t="shared" si="6"/>
        <v>11972.011046888529</v>
      </c>
      <c r="E53" s="47"/>
      <c r="F53" s="47">
        <f t="shared" si="7"/>
        <v>10595.507708816116</v>
      </c>
      <c r="G53" s="47">
        <f>EXP(FORECAST(B40,$G$2:G$40,$B$2:B$40))*B40</f>
        <v>7000.8306765289626</v>
      </c>
      <c r="H53" s="48">
        <f t="shared" si="8"/>
        <v>8449.0288100748239</v>
      </c>
      <c r="I53" s="48">
        <f t="shared" si="9"/>
        <v>8631.182356030502</v>
      </c>
      <c r="J53" s="48">
        <f t="shared" ref="J53:K54" si="12">EXP(J64)</f>
        <v>6658.5032430751489</v>
      </c>
      <c r="K53" s="48">
        <f t="shared" si="12"/>
        <v>7576.6770605081792</v>
      </c>
      <c r="L53" s="131">
        <f t="array" ref="L53">EXP(AVERAGE(LN(C35:C39)))</f>
        <v>6493.8531338878893</v>
      </c>
      <c r="M53" s="131">
        <f t="array" ref="M53">EXP(AVERAGE(LN(C35:C39)))*EXP(VAR(LN(C35:C39)/2))</f>
        <v>6612.7577742809926</v>
      </c>
    </row>
    <row r="54" spans="1:13" s="86" customFormat="1" x14ac:dyDescent="0.2">
      <c r="A54" s="87"/>
      <c r="B54" s="88">
        <v>2017</v>
      </c>
      <c r="C54" s="47">
        <f t="shared" si="11"/>
        <v>7673.1107208686926</v>
      </c>
      <c r="D54" s="47">
        <f t="shared" si="6"/>
        <v>13804.466039351388</v>
      </c>
      <c r="E54" s="47"/>
      <c r="F54" s="47">
        <f t="shared" si="7"/>
        <v>10961.169345251727</v>
      </c>
      <c r="G54" s="47">
        <f>EXP(FORECAST(B41,$G$2:G$40,$B$2:B$40))*B41</f>
        <v>7639.1525423346848</v>
      </c>
      <c r="H54" s="48">
        <f t="shared" si="8"/>
        <v>6330.0166543186206</v>
      </c>
      <c r="I54" s="48">
        <f t="shared" si="9"/>
        <v>6140.9095549087469</v>
      </c>
      <c r="J54" s="48">
        <f t="shared" si="12"/>
        <v>6699.7132100984354</v>
      </c>
      <c r="K54" s="48">
        <f t="shared" si="12"/>
        <v>6266.5422109629544</v>
      </c>
      <c r="L54" s="131">
        <f t="array" ref="L54">EXP(AVERAGE(LN(C36:C40)))</f>
        <v>7326.0617724732938</v>
      </c>
      <c r="M54" s="131">
        <f t="array" ref="M54">EXP(AVERAGE(LN(C36:C40)))*EXP(VAR(LN(C36:C40)/2))</f>
        <v>7554.8084631939628</v>
      </c>
    </row>
    <row r="55" spans="1:13" s="90" customFormat="1" x14ac:dyDescent="0.2">
      <c r="A55" s="87"/>
      <c r="B55" s="103">
        <v>2018</v>
      </c>
      <c r="C55" s="47">
        <f>AVERAGE(C37:C41)</f>
        <v>6252.4909008048326</v>
      </c>
      <c r="D55" s="47">
        <f>FORECAST(D42,$C$20:$C$41,$D$20:$D$41)</f>
        <v>7568.2887254312773</v>
      </c>
      <c r="E55" s="47"/>
      <c r="F55" s="47">
        <f>EXP(FORECAST(F42,$E$20:$E$41,$F$20:$F$41))</f>
        <v>7939.5069054406058</v>
      </c>
      <c r="G55" s="47">
        <f>EXP(FORECAST(B42,$G$2:G$41,$B$2:B$41))*B42</f>
        <v>6915.9870761265638</v>
      </c>
      <c r="H55" s="48">
        <f t="shared" si="8"/>
        <v>4809.6980038233442</v>
      </c>
      <c r="I55" s="48">
        <f t="shared" si="9"/>
        <v>5546.5953944199919</v>
      </c>
      <c r="J55" s="48"/>
      <c r="K55" s="48"/>
      <c r="L55" s="131">
        <f t="array" ref="L55">EXP(AVERAGE(LN(C37:C41)))</f>
        <v>5275.6872304755689</v>
      </c>
      <c r="M55" s="131" t="e">
        <f>EXP(AVERAGE(LN(C37:C41)))*EXP(VAR(LN(C37:C41)/2))</f>
        <v>#VALUE!</v>
      </c>
    </row>
    <row r="56" spans="1:13" x14ac:dyDescent="0.2">
      <c r="C56" s="3" t="s">
        <v>17</v>
      </c>
      <c r="D56" s="34" t="s">
        <v>89</v>
      </c>
      <c r="E56" s="41"/>
      <c r="F56" s="41" t="s">
        <v>90</v>
      </c>
      <c r="G56" s="32" t="s">
        <v>28</v>
      </c>
      <c r="H56" s="32" t="s">
        <v>56</v>
      </c>
      <c r="I56" s="32" t="s">
        <v>41</v>
      </c>
      <c r="J56" s="34" t="s">
        <v>54</v>
      </c>
      <c r="K56" s="34" t="s">
        <v>55</v>
      </c>
      <c r="L56" s="32" t="s">
        <v>108</v>
      </c>
      <c r="M56" s="32" t="s">
        <v>107</v>
      </c>
    </row>
    <row r="58" spans="1:13" x14ac:dyDescent="0.2">
      <c r="E58" s="120"/>
      <c r="G58" s="119">
        <f>EXP(-0.18864+-0.00004077*B34)*B34</f>
        <v>7315.7829028483566</v>
      </c>
      <c r="H58" s="122">
        <v>-1.2800199999999999</v>
      </c>
      <c r="I58" s="120">
        <v>-1.3639600000000001</v>
      </c>
      <c r="J58" s="126">
        <v>8.2432999999999996</v>
      </c>
      <c r="K58" s="126">
        <v>8.3199799999999993</v>
      </c>
      <c r="M58" s="128"/>
    </row>
    <row r="59" spans="1:13" x14ac:dyDescent="0.2">
      <c r="E59" s="120"/>
      <c r="F59" s="90"/>
      <c r="G59" s="119">
        <f t="shared" ref="G59:G64" si="13">EXP(-0.18864+-0.00004077*B35)*B35</f>
        <v>7110.7701330252121</v>
      </c>
      <c r="H59" s="122">
        <v>-1.0976900000000001</v>
      </c>
      <c r="I59" s="120">
        <v>-1.0215099999999999</v>
      </c>
      <c r="J59" s="126">
        <v>8.8689199999999992</v>
      </c>
      <c r="K59" s="126">
        <v>9.1210400000000007</v>
      </c>
      <c r="M59" s="128"/>
    </row>
    <row r="60" spans="1:13" x14ac:dyDescent="0.2">
      <c r="E60" s="120"/>
      <c r="F60" s="90"/>
      <c r="G60" s="119">
        <f t="shared" si="13"/>
        <v>4482.0094412830031</v>
      </c>
      <c r="H60" s="122">
        <v>-0.50163000000000002</v>
      </c>
      <c r="I60" s="120">
        <v>-0.53283999999999998</v>
      </c>
      <c r="J60" s="126">
        <v>8.6516800000000007</v>
      </c>
      <c r="K60" s="126">
        <v>8.4386100000000006</v>
      </c>
      <c r="M60" s="128"/>
    </row>
    <row r="61" spans="1:13" x14ac:dyDescent="0.2">
      <c r="E61" s="120"/>
      <c r="F61" s="90"/>
      <c r="G61" s="119">
        <f t="shared" si="13"/>
        <v>5997.1825219506691</v>
      </c>
      <c r="H61" s="122">
        <v>-0.47717999999999999</v>
      </c>
      <c r="I61" s="120">
        <v>-0.50897999999999999</v>
      </c>
      <c r="J61" s="126">
        <v>8.7444799999999994</v>
      </c>
      <c r="K61" s="126">
        <v>8.8958899999999996</v>
      </c>
      <c r="M61" s="128"/>
    </row>
    <row r="62" spans="1:13" x14ac:dyDescent="0.2">
      <c r="E62" s="120"/>
      <c r="F62" s="90"/>
      <c r="G62" s="119">
        <f t="shared" si="13"/>
        <v>7178.5170483713073</v>
      </c>
      <c r="H62" s="122">
        <v>-1.10676</v>
      </c>
      <c r="I62" s="120">
        <v>-1.02047</v>
      </c>
      <c r="J62" s="126">
        <v>8.8817299999999992</v>
      </c>
      <c r="K62" s="126">
        <v>8.8576899999999998</v>
      </c>
      <c r="M62" s="128"/>
    </row>
    <row r="63" spans="1:13" x14ac:dyDescent="0.2">
      <c r="E63" s="120"/>
      <c r="F63" s="90"/>
      <c r="G63" s="119">
        <f t="shared" si="13"/>
        <v>7210.8417427136965</v>
      </c>
      <c r="H63" s="122">
        <v>-0.91571999999999998</v>
      </c>
      <c r="I63" s="120">
        <v>-0.95735999999999999</v>
      </c>
      <c r="J63" s="126">
        <v>8.62134</v>
      </c>
      <c r="K63" s="126">
        <v>8.5261200000000006</v>
      </c>
      <c r="M63" s="128"/>
    </row>
    <row r="64" spans="1:13" x14ac:dyDescent="0.2">
      <c r="E64" s="120"/>
      <c r="F64" s="90"/>
      <c r="G64" s="119">
        <f t="shared" si="13"/>
        <v>6541.4563696346086</v>
      </c>
      <c r="H64" s="122">
        <v>-0.78657999999999995</v>
      </c>
      <c r="I64" s="120">
        <v>-0.76524999999999999</v>
      </c>
      <c r="J64" s="126">
        <v>8.8036499999999993</v>
      </c>
      <c r="K64" s="126">
        <v>8.9328299999999992</v>
      </c>
      <c r="M64" s="128"/>
    </row>
    <row r="65" spans="5:13" ht="13.5" thickBot="1" x14ac:dyDescent="0.25">
      <c r="E65" s="120"/>
      <c r="F65" s="90"/>
      <c r="G65" s="119">
        <f>EXP(-0.18864+-0.00004077*B41)*B41</f>
        <v>7193.9704457077551</v>
      </c>
      <c r="H65" s="122">
        <v>-0.79032000000000002</v>
      </c>
      <c r="I65" s="120">
        <v>-0.82064999999999999</v>
      </c>
      <c r="J65" s="127">
        <v>8.8098200000000002</v>
      </c>
      <c r="K65" s="127">
        <v>8.7429799999999993</v>
      </c>
      <c r="M65" s="128"/>
    </row>
    <row r="66" spans="5:13" ht="13.5" thickBot="1" x14ac:dyDescent="0.25">
      <c r="E66" s="121"/>
      <c r="F66" s="90"/>
      <c r="G66" s="119">
        <f>EXP(-0.18864+-0.00004077*B42)*B42</f>
        <v>6915.4699811073733</v>
      </c>
      <c r="H66" s="123">
        <v>-1.3405199999999999</v>
      </c>
      <c r="I66" s="121">
        <v>-1.19797</v>
      </c>
    </row>
  </sheetData>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3"/>
  <sheetViews>
    <sheetView zoomScaleNormal="100" workbookViewId="0">
      <pane ySplit="1" topLeftCell="A2" activePane="bottomLeft" state="frozen"/>
      <selection activeCell="M27" sqref="M27"/>
      <selection pane="bottomLeft" activeCell="D41" sqref="C2:D41"/>
    </sheetView>
  </sheetViews>
  <sheetFormatPr defaultRowHeight="12.75" x14ac:dyDescent="0.2"/>
  <cols>
    <col min="5" max="5" width="10.85546875" bestFit="1" customWidth="1"/>
    <col min="7" max="8" width="12.85546875" bestFit="1" customWidth="1"/>
    <col min="9" max="9" width="9.140625" customWidth="1"/>
    <col min="10" max="10" width="10.42578125" bestFit="1" customWidth="1"/>
    <col min="11" max="11" width="11.140625" customWidth="1"/>
    <col min="12" max="12" width="15.42578125" bestFit="1" customWidth="1"/>
    <col min="13" max="13" width="12.42578125" bestFit="1" customWidth="1"/>
    <col min="14" max="14" width="17" bestFit="1" customWidth="1"/>
    <col min="15" max="15" width="18.28515625" customWidth="1"/>
    <col min="16" max="16" width="10" bestFit="1" customWidth="1"/>
  </cols>
  <sheetData>
    <row r="1" spans="1:9" x14ac:dyDescent="0.2">
      <c r="A1" s="10" t="s">
        <v>13</v>
      </c>
      <c r="B1" s="3" t="s">
        <v>19</v>
      </c>
      <c r="C1" s="3" t="s">
        <v>43</v>
      </c>
      <c r="D1" s="3" t="s">
        <v>20</v>
      </c>
      <c r="E1" s="3" t="s">
        <v>44</v>
      </c>
      <c r="F1" s="3" t="s">
        <v>22</v>
      </c>
      <c r="G1" s="3" t="s">
        <v>24</v>
      </c>
      <c r="I1" s="3" t="s">
        <v>18</v>
      </c>
    </row>
    <row r="2" spans="1:9" x14ac:dyDescent="0.2">
      <c r="A2" s="33">
        <v>1974</v>
      </c>
      <c r="B2" s="113">
        <v>15200.808429049157</v>
      </c>
      <c r="C2" s="114">
        <v>38601.723907352149</v>
      </c>
      <c r="D2" s="114">
        <v>7314.7605278533483</v>
      </c>
      <c r="E2" s="11">
        <f>LN(C2)</f>
        <v>10.561052215267889</v>
      </c>
      <c r="F2" s="11">
        <f>LN(D2)</f>
        <v>8.897649575782788</v>
      </c>
      <c r="G2" s="11">
        <f>LN(C2/B2)</f>
        <v>0.93194832372619851</v>
      </c>
      <c r="I2">
        <f>C2/B2</f>
        <v>2.5394520355630039</v>
      </c>
    </row>
    <row r="3" spans="1:9" x14ac:dyDescent="0.2">
      <c r="A3" s="33">
        <v>1975</v>
      </c>
      <c r="B3" s="113">
        <v>14087.516841715718</v>
      </c>
      <c r="C3" s="114">
        <v>20205.548072803584</v>
      </c>
      <c r="D3" s="114">
        <v>4503.5344558577508</v>
      </c>
      <c r="E3" s="11">
        <f t="shared" ref="E3:E31" si="0">LN(C3)</f>
        <v>9.9137125027474333</v>
      </c>
      <c r="F3" s="11">
        <f t="shared" ref="F3:F32" si="1">LN(D3)</f>
        <v>8.4126178021011029</v>
      </c>
      <c r="G3" s="11">
        <f t="shared" ref="G3:G31" si="2">LN(C3/B3)</f>
        <v>0.36066814889234489</v>
      </c>
      <c r="I3">
        <f t="shared" ref="I3:I31" si="3">C3/B3</f>
        <v>1.4342874120278781</v>
      </c>
    </row>
    <row r="4" spans="1:9" x14ac:dyDescent="0.2">
      <c r="A4" s="33">
        <v>1976</v>
      </c>
      <c r="B4" s="113">
        <v>48915.878750988399</v>
      </c>
      <c r="C4" s="114">
        <v>15271.706767413616</v>
      </c>
      <c r="D4" s="114">
        <v>3961.8721711379576</v>
      </c>
      <c r="E4" s="11">
        <f t="shared" si="0"/>
        <v>9.6337571645542504</v>
      </c>
      <c r="F4" s="11">
        <f t="shared" si="1"/>
        <v>8.2844719630171522</v>
      </c>
      <c r="G4" s="11">
        <f t="shared" si="2"/>
        <v>-1.1641001770330806</v>
      </c>
      <c r="I4">
        <f t="shared" si="3"/>
        <v>0.31220346352471556</v>
      </c>
    </row>
    <row r="5" spans="1:9" x14ac:dyDescent="0.2">
      <c r="A5" s="33">
        <v>1977</v>
      </c>
      <c r="B5" s="113">
        <v>85783.90587469301</v>
      </c>
      <c r="C5" s="114">
        <v>19387.667305182338</v>
      </c>
      <c r="D5" s="114">
        <v>2679.2468013006346</v>
      </c>
      <c r="E5" s="11">
        <f t="shared" si="0"/>
        <v>9.872392436986301</v>
      </c>
      <c r="F5" s="11">
        <f t="shared" si="1"/>
        <v>7.8932909897137469</v>
      </c>
      <c r="G5" s="11">
        <f t="shared" si="2"/>
        <v>-1.4871942536769158</v>
      </c>
      <c r="I5">
        <f t="shared" si="3"/>
        <v>0.22600588195998508</v>
      </c>
    </row>
    <row r="6" spans="1:9" x14ac:dyDescent="0.2">
      <c r="A6" s="33">
        <v>1978</v>
      </c>
      <c r="B6" s="113">
        <v>54967.090958155022</v>
      </c>
      <c r="C6" s="114">
        <v>22862.275424833642</v>
      </c>
      <c r="D6" s="114">
        <v>5600.8816659415634</v>
      </c>
      <c r="E6" s="11">
        <f t="shared" si="0"/>
        <v>10.037243469789582</v>
      </c>
      <c r="F6" s="11">
        <f t="shared" si="1"/>
        <v>8.6306793046775176</v>
      </c>
      <c r="G6" s="11">
        <f t="shared" si="2"/>
        <v>-0.87724646912912818</v>
      </c>
      <c r="I6">
        <f t="shared" si="3"/>
        <v>0.41592660310581259</v>
      </c>
    </row>
    <row r="7" spans="1:9" x14ac:dyDescent="0.2">
      <c r="A7" s="33">
        <v>1979</v>
      </c>
      <c r="B7" s="113">
        <v>60607.494461508577</v>
      </c>
      <c r="C7" s="114">
        <v>21417.23566997048</v>
      </c>
      <c r="D7" s="114">
        <v>10468.965098592047</v>
      </c>
      <c r="E7" s="11">
        <f t="shared" si="0"/>
        <v>9.9719512819840759</v>
      </c>
      <c r="F7" s="11">
        <f t="shared" si="1"/>
        <v>9.2561704545275756</v>
      </c>
      <c r="G7" s="11">
        <f t="shared" si="2"/>
        <v>-1.0402225534086942</v>
      </c>
      <c r="I7">
        <f t="shared" si="3"/>
        <v>0.35337602816715064</v>
      </c>
    </row>
    <row r="8" spans="1:9" x14ac:dyDescent="0.2">
      <c r="A8" s="33">
        <v>1980</v>
      </c>
      <c r="B8" s="113">
        <v>35096.273954716482</v>
      </c>
      <c r="C8" s="114">
        <v>21271.490957513954</v>
      </c>
      <c r="D8" s="114">
        <v>7746.659710414855</v>
      </c>
      <c r="E8" s="11">
        <f t="shared" si="0"/>
        <v>9.9651230024707651</v>
      </c>
      <c r="F8" s="11">
        <f t="shared" si="1"/>
        <v>8.9550170243302336</v>
      </c>
      <c r="G8" s="11">
        <f t="shared" si="2"/>
        <v>-0.50072724621205467</v>
      </c>
      <c r="I8">
        <f t="shared" si="3"/>
        <v>0.60608972294209429</v>
      </c>
    </row>
    <row r="9" spans="1:9" x14ac:dyDescent="0.2">
      <c r="A9" s="33">
        <v>1981</v>
      </c>
      <c r="B9" s="113">
        <v>23162.28110894659</v>
      </c>
      <c r="C9" s="114">
        <v>23704.88683071189</v>
      </c>
      <c r="D9" s="114">
        <v>7231.5618756382864</v>
      </c>
      <c r="E9" s="11">
        <f t="shared" si="0"/>
        <v>10.073436501256563</v>
      </c>
      <c r="F9" s="11">
        <f t="shared" si="1"/>
        <v>8.8862103188815631</v>
      </c>
      <c r="G9" s="11">
        <f>LN(C9/B9)</f>
        <v>2.3156080941963083E-2</v>
      </c>
      <c r="I9">
        <f t="shared" si="3"/>
        <v>1.0234262644172691</v>
      </c>
    </row>
    <row r="10" spans="1:9" x14ac:dyDescent="0.2">
      <c r="A10" s="33">
        <v>1982</v>
      </c>
      <c r="B10" s="113">
        <v>37222.208996949157</v>
      </c>
      <c r="C10" s="114">
        <v>24362.216135631345</v>
      </c>
      <c r="D10" s="114">
        <v>19192.455588049419</v>
      </c>
      <c r="E10" s="11">
        <f t="shared" si="0"/>
        <v>10.100788692055019</v>
      </c>
      <c r="F10" s="11">
        <f t="shared" si="1"/>
        <v>9.8622725426730344</v>
      </c>
      <c r="G10" s="11">
        <f t="shared" si="2"/>
        <v>-0.42387218611005834</v>
      </c>
      <c r="I10">
        <f t="shared" si="3"/>
        <v>0.65450753171656584</v>
      </c>
    </row>
    <row r="11" spans="1:9" x14ac:dyDescent="0.2">
      <c r="A11" s="33">
        <v>1983</v>
      </c>
      <c r="B11" s="113">
        <v>43871.147868163811</v>
      </c>
      <c r="C11" s="114">
        <v>13259.725313862651</v>
      </c>
      <c r="D11" s="114">
        <v>7183.191347251166</v>
      </c>
      <c r="E11" s="11">
        <f t="shared" si="0"/>
        <v>9.492486548130314</v>
      </c>
      <c r="F11" s="11">
        <f t="shared" si="1"/>
        <v>8.8794990406245127</v>
      </c>
      <c r="G11" s="11">
        <f t="shared" si="2"/>
        <v>-1.1965256109067861</v>
      </c>
      <c r="I11">
        <f t="shared" si="3"/>
        <v>0.30224249781904844</v>
      </c>
    </row>
    <row r="12" spans="1:9" x14ac:dyDescent="0.2">
      <c r="A12" s="33">
        <v>1984</v>
      </c>
      <c r="B12" s="113">
        <v>39054.415815955479</v>
      </c>
      <c r="C12" s="114">
        <v>8772.3547130158586</v>
      </c>
      <c r="D12" s="114">
        <v>6415.0947290311151</v>
      </c>
      <c r="E12" s="11">
        <f t="shared" si="0"/>
        <v>9.0793605456805384</v>
      </c>
      <c r="F12" s="11">
        <f t="shared" si="1"/>
        <v>8.7664090437421294</v>
      </c>
      <c r="G12" s="11">
        <f t="shared" si="2"/>
        <v>-1.4933506842685143</v>
      </c>
      <c r="I12">
        <f t="shared" si="3"/>
        <v>0.22461876665511302</v>
      </c>
    </row>
    <row r="13" spans="1:9" x14ac:dyDescent="0.2">
      <c r="A13" s="33">
        <v>1985</v>
      </c>
      <c r="B13" s="113">
        <v>41640.4566064588</v>
      </c>
      <c r="C13" s="114">
        <v>22255.036468658829</v>
      </c>
      <c r="D13" s="114">
        <v>8405.053144055224</v>
      </c>
      <c r="E13" s="11">
        <f t="shared" si="0"/>
        <v>10.010323620121218</v>
      </c>
      <c r="F13" s="11">
        <f t="shared" si="1"/>
        <v>9.0365883687323301</v>
      </c>
      <c r="G13" s="11">
        <f t="shared" si="2"/>
        <v>-0.62650386812054426</v>
      </c>
      <c r="I13">
        <f t="shared" si="3"/>
        <v>0.53445707089597283</v>
      </c>
    </row>
    <row r="14" spans="1:9" x14ac:dyDescent="0.2">
      <c r="A14" s="33">
        <v>1986</v>
      </c>
      <c r="B14" s="113">
        <v>47656.750073801319</v>
      </c>
      <c r="C14" s="114">
        <v>11060.495209749653</v>
      </c>
      <c r="D14" s="114">
        <v>8562.1601794097733</v>
      </c>
      <c r="E14" s="11">
        <f t="shared" si="0"/>
        <v>9.3111350489157036</v>
      </c>
      <c r="F14" s="11">
        <f t="shared" si="1"/>
        <v>9.0551077947066965</v>
      </c>
      <c r="G14" s="11">
        <f t="shared" si="2"/>
        <v>-1.4606445096050609</v>
      </c>
      <c r="I14">
        <f t="shared" si="3"/>
        <v>0.23208664444430963</v>
      </c>
    </row>
    <row r="15" spans="1:9" x14ac:dyDescent="0.2">
      <c r="A15" s="33">
        <v>1987</v>
      </c>
      <c r="B15" s="113">
        <v>35225.678696417599</v>
      </c>
      <c r="C15" s="114">
        <v>8952.337306880132</v>
      </c>
      <c r="D15" s="114">
        <v>4906.3184184722631</v>
      </c>
      <c r="E15" s="11">
        <f t="shared" si="0"/>
        <v>9.0996699287814753</v>
      </c>
      <c r="F15" s="11">
        <f t="shared" si="1"/>
        <v>8.4982791265998063</v>
      </c>
      <c r="G15" s="11">
        <f t="shared" si="2"/>
        <v>-1.3698606752637401</v>
      </c>
      <c r="I15">
        <f t="shared" si="3"/>
        <v>0.25414236540432</v>
      </c>
    </row>
    <row r="16" spans="1:9" x14ac:dyDescent="0.2">
      <c r="A16" s="33">
        <v>1988</v>
      </c>
      <c r="B16" s="113">
        <v>43795.14825795839</v>
      </c>
      <c r="C16" s="114">
        <v>10369.473715093151</v>
      </c>
      <c r="D16" s="114">
        <v>5848.313870963615</v>
      </c>
      <c r="E16" s="11">
        <f t="shared" si="0"/>
        <v>9.2466215492214552</v>
      </c>
      <c r="F16" s="11">
        <f t="shared" si="1"/>
        <v>8.6739086714947575</v>
      </c>
      <c r="G16" s="11">
        <f t="shared" si="2"/>
        <v>-1.440656770641346</v>
      </c>
      <c r="I16">
        <f t="shared" si="3"/>
        <v>0.23677220257403342</v>
      </c>
    </row>
    <row r="17" spans="1:9" x14ac:dyDescent="0.2">
      <c r="A17" s="33">
        <v>1989</v>
      </c>
      <c r="B17" s="113">
        <v>23246.496893228272</v>
      </c>
      <c r="C17" s="114">
        <v>4583.8690687893459</v>
      </c>
      <c r="D17" s="114">
        <v>4711.3773275208714</v>
      </c>
      <c r="E17" s="11">
        <f t="shared" si="0"/>
        <v>8.4302986953316257</v>
      </c>
      <c r="F17" s="11">
        <f t="shared" si="1"/>
        <v>8.4577355704874861</v>
      </c>
      <c r="G17" s="11">
        <f t="shared" si="2"/>
        <v>-1.6236110330728231</v>
      </c>
      <c r="I17">
        <f t="shared" si="3"/>
        <v>0.19718536904046957</v>
      </c>
    </row>
    <row r="18" spans="1:9" x14ac:dyDescent="0.2">
      <c r="A18" s="33">
        <v>1990</v>
      </c>
      <c r="B18" s="113">
        <v>41671.267259244785</v>
      </c>
      <c r="C18" s="115">
        <v>3098.7645462437235</v>
      </c>
      <c r="D18" s="114">
        <v>1730.4936380593278</v>
      </c>
      <c r="E18" s="11">
        <f t="shared" si="0"/>
        <v>8.0387587775679012</v>
      </c>
      <c r="F18" s="11">
        <f t="shared" si="1"/>
        <v>7.4561619867088194</v>
      </c>
      <c r="G18" s="11">
        <f t="shared" si="2"/>
        <v>-2.5988083581750998</v>
      </c>
      <c r="I18">
        <f t="shared" si="3"/>
        <v>7.4362138472193015E-2</v>
      </c>
    </row>
    <row r="19" spans="1:9" x14ac:dyDescent="0.2">
      <c r="A19" s="33">
        <v>1991</v>
      </c>
      <c r="B19" s="113">
        <v>21019.913718561394</v>
      </c>
      <c r="C19" s="115">
        <v>5572.1171873742987</v>
      </c>
      <c r="D19" s="115">
        <v>4059.8806994979118</v>
      </c>
      <c r="E19" s="11">
        <f t="shared" si="0"/>
        <v>8.6255303661527485</v>
      </c>
      <c r="F19" s="11">
        <f t="shared" si="1"/>
        <v>8.3089088678039289</v>
      </c>
      <c r="G19" s="11">
        <f t="shared" si="2"/>
        <v>-1.3276951735391032</v>
      </c>
      <c r="I19">
        <f t="shared" si="3"/>
        <v>0.26508753851134531</v>
      </c>
    </row>
    <row r="20" spans="1:9" x14ac:dyDescent="0.2">
      <c r="A20" s="33">
        <v>1992</v>
      </c>
      <c r="B20" s="113">
        <v>20247.593355392808</v>
      </c>
      <c r="C20" s="115">
        <v>23730.285356550539</v>
      </c>
      <c r="D20" s="115">
        <v>7108.6371873742992</v>
      </c>
      <c r="E20" s="11">
        <f t="shared" si="0"/>
        <v>10.074507374496594</v>
      </c>
      <c r="F20" s="11">
        <f t="shared" si="1"/>
        <v>8.8690658289504132</v>
      </c>
      <c r="G20" s="11">
        <f t="shared" si="2"/>
        <v>0.15871615567200101</v>
      </c>
      <c r="I20">
        <f t="shared" si="3"/>
        <v>1.1720052324258152</v>
      </c>
    </row>
    <row r="21" spans="1:9" x14ac:dyDescent="0.2">
      <c r="A21" s="33">
        <v>1993</v>
      </c>
      <c r="B21" s="113">
        <v>16207.289753391196</v>
      </c>
      <c r="C21" s="115">
        <v>17147.718181257875</v>
      </c>
      <c r="D21" s="115">
        <v>6135.3280389717856</v>
      </c>
      <c r="E21" s="11">
        <f t="shared" si="0"/>
        <v>9.7496203930865448</v>
      </c>
      <c r="F21" s="11">
        <f t="shared" si="1"/>
        <v>8.7218188258005878</v>
      </c>
      <c r="G21" s="11">
        <f t="shared" si="2"/>
        <v>5.6403988301623305E-2</v>
      </c>
      <c r="I21">
        <f t="shared" si="3"/>
        <v>1.0580250271437213</v>
      </c>
    </row>
    <row r="22" spans="1:9" x14ac:dyDescent="0.2">
      <c r="A22" s="33">
        <v>1994</v>
      </c>
      <c r="B22" s="113">
        <v>9831.5386702122378</v>
      </c>
      <c r="C22" s="115">
        <v>14606.017381700909</v>
      </c>
      <c r="D22" s="115">
        <v>11200.790069892588</v>
      </c>
      <c r="E22" s="11">
        <f t="shared" si="0"/>
        <v>9.5891888722177487</v>
      </c>
      <c r="F22" s="11">
        <f t="shared" si="1"/>
        <v>9.323739596749915</v>
      </c>
      <c r="G22" s="11">
        <f t="shared" si="2"/>
        <v>0.3958381433285903</v>
      </c>
      <c r="I22">
        <f t="shared" si="3"/>
        <v>1.4856288391515426</v>
      </c>
    </row>
    <row r="23" spans="1:9" x14ac:dyDescent="0.2">
      <c r="A23" s="33">
        <v>1995</v>
      </c>
      <c r="B23" s="113">
        <v>10048</v>
      </c>
      <c r="C23" s="115">
        <v>33202.17060982425</v>
      </c>
      <c r="D23" s="115">
        <v>10309.713446624437</v>
      </c>
      <c r="E23" s="11">
        <f t="shared" si="0"/>
        <v>10.410370532581396</v>
      </c>
      <c r="F23" s="11">
        <f t="shared" si="1"/>
        <v>9.2408417828928844</v>
      </c>
      <c r="G23" s="11">
        <f t="shared" si="2"/>
        <v>1.1952416438734166</v>
      </c>
      <c r="I23">
        <f t="shared" si="3"/>
        <v>3.3043561514554387</v>
      </c>
    </row>
    <row r="24" spans="1:9" x14ac:dyDescent="0.2">
      <c r="A24" s="33">
        <v>1996</v>
      </c>
      <c r="B24" s="113">
        <v>14349</v>
      </c>
      <c r="C24" s="115">
        <v>15580.03386399629</v>
      </c>
      <c r="D24" s="115">
        <v>4654.2777213619256</v>
      </c>
      <c r="E24" s="11">
        <f t="shared" si="0"/>
        <v>9.6537454929779791</v>
      </c>
      <c r="F24" s="11">
        <f t="shared" si="1"/>
        <v>8.4455420157736949</v>
      </c>
      <c r="G24" s="11">
        <f t="shared" si="2"/>
        <v>8.2309960629573312E-2</v>
      </c>
      <c r="I24">
        <f t="shared" si="3"/>
        <v>1.0857923105440304</v>
      </c>
    </row>
    <row r="25" spans="1:9" x14ac:dyDescent="0.2">
      <c r="A25" s="33">
        <v>1997</v>
      </c>
      <c r="B25" s="113">
        <v>35587</v>
      </c>
      <c r="C25" s="115">
        <v>18849.389515593277</v>
      </c>
      <c r="D25" s="115">
        <v>8166.5559561580312</v>
      </c>
      <c r="E25" s="11">
        <f t="shared" si="0"/>
        <v>9.8442358059110298</v>
      </c>
      <c r="F25" s="11">
        <f t="shared" si="1"/>
        <v>9.0078025513840068</v>
      </c>
      <c r="G25" s="11">
        <f t="shared" si="2"/>
        <v>-0.63549987569949917</v>
      </c>
      <c r="I25">
        <f t="shared" si="3"/>
        <v>0.52967065264263014</v>
      </c>
    </row>
    <row r="26" spans="1:9" x14ac:dyDescent="0.2">
      <c r="A26" s="33">
        <v>1998</v>
      </c>
      <c r="B26" s="113">
        <v>36310.213674484126</v>
      </c>
      <c r="C26" s="115">
        <v>22762.063505990678</v>
      </c>
      <c r="D26" s="115">
        <v>8842.0571426269289</v>
      </c>
      <c r="E26" s="11">
        <f t="shared" si="0"/>
        <v>10.032850547838413</v>
      </c>
      <c r="F26" s="11">
        <f t="shared" si="1"/>
        <v>9.0872748370012406</v>
      </c>
      <c r="G26" s="11">
        <f t="shared" si="2"/>
        <v>-0.46700380128094204</v>
      </c>
      <c r="I26">
        <f t="shared" si="3"/>
        <v>0.6268777074695655</v>
      </c>
    </row>
    <row r="27" spans="1:9" x14ac:dyDescent="0.2">
      <c r="A27" s="33">
        <v>1999</v>
      </c>
      <c r="B27" s="45">
        <v>29088</v>
      </c>
      <c r="C27" s="115">
        <v>44248.733767346203</v>
      </c>
      <c r="D27" s="115">
        <v>16832.450323757814</v>
      </c>
      <c r="E27" s="11">
        <f t="shared" si="0"/>
        <v>10.697582034599442</v>
      </c>
      <c r="F27" s="11">
        <f t="shared" si="1"/>
        <v>9.731063869205089</v>
      </c>
      <c r="G27" s="11">
        <f t="shared" si="2"/>
        <v>0.41950103762223662</v>
      </c>
      <c r="I27">
        <f t="shared" si="3"/>
        <v>1.5212023434868744</v>
      </c>
    </row>
    <row r="28" spans="1:9" x14ac:dyDescent="0.2">
      <c r="A28" s="33">
        <v>2000</v>
      </c>
      <c r="B28" s="45">
        <v>33965</v>
      </c>
      <c r="C28" s="115">
        <v>25806.749999332358</v>
      </c>
      <c r="D28" s="115">
        <v>12067.836482003508</v>
      </c>
      <c r="E28" s="11">
        <f t="shared" si="0"/>
        <v>10.158391364572202</v>
      </c>
      <c r="F28" s="11">
        <f>LN(D28)</f>
        <v>9.3982990504691806</v>
      </c>
      <c r="G28" s="11">
        <f t="shared" si="2"/>
        <v>-0.2746944970532002</v>
      </c>
      <c r="I28">
        <f t="shared" si="3"/>
        <v>0.75980421019674249</v>
      </c>
    </row>
    <row r="29" spans="1:9" x14ac:dyDescent="0.2">
      <c r="A29" s="33">
        <v>2001</v>
      </c>
      <c r="B29" s="45">
        <v>27966</v>
      </c>
      <c r="C29" s="115">
        <v>21194.566607368764</v>
      </c>
      <c r="D29" s="115">
        <v>13037.412828610082</v>
      </c>
      <c r="E29" s="11">
        <f t="shared" si="0"/>
        <v>9.961500135706423</v>
      </c>
      <c r="F29" s="11">
        <f t="shared" si="1"/>
        <v>9.4755784130822711</v>
      </c>
      <c r="G29" s="11">
        <f t="shared" si="2"/>
        <v>-0.27724462989437326</v>
      </c>
      <c r="I29">
        <f t="shared" si="3"/>
        <v>0.75786907699952677</v>
      </c>
    </row>
    <row r="30" spans="1:9" x14ac:dyDescent="0.2">
      <c r="A30" s="33">
        <v>2002</v>
      </c>
      <c r="B30" s="45">
        <v>28535</v>
      </c>
      <c r="C30" s="115">
        <v>17092.354956883402</v>
      </c>
      <c r="D30" s="115">
        <v>8745.7133584309759</v>
      </c>
      <c r="E30" s="11">
        <f t="shared" si="0"/>
        <v>9.746386563976511</v>
      </c>
      <c r="F30" s="11">
        <f t="shared" si="1"/>
        <v>9.0763189574169179</v>
      </c>
      <c r="G30" s="11">
        <f t="shared" si="2"/>
        <v>-0.51250011899429737</v>
      </c>
      <c r="I30">
        <f t="shared" si="3"/>
        <v>0.5989961435739759</v>
      </c>
    </row>
    <row r="31" spans="1:9" x14ac:dyDescent="0.2">
      <c r="A31" s="33">
        <v>2003</v>
      </c>
      <c r="B31" s="45">
        <v>39257</v>
      </c>
      <c r="C31" s="115">
        <v>3667.7979848126706</v>
      </c>
      <c r="D31" s="115">
        <v>2175.3906308760697</v>
      </c>
      <c r="E31" s="11">
        <f t="shared" si="0"/>
        <v>8.2073467568358627</v>
      </c>
      <c r="F31" s="11">
        <f t="shared" si="1"/>
        <v>7.6849635277993533</v>
      </c>
      <c r="G31" s="11">
        <f t="shared" si="2"/>
        <v>-2.3705382944223454</v>
      </c>
      <c r="I31">
        <f t="shared" si="3"/>
        <v>9.3430419665605391E-2</v>
      </c>
    </row>
    <row r="32" spans="1:9" x14ac:dyDescent="0.2">
      <c r="A32" s="45">
        <v>2004</v>
      </c>
      <c r="B32" s="45">
        <v>56659</v>
      </c>
      <c r="C32" s="115">
        <v>3064.62856295341</v>
      </c>
      <c r="D32" s="115">
        <v>1512.7131009261634</v>
      </c>
      <c r="E32" s="11">
        <f t="shared" ref="E32:E40" si="4">LN(C32)</f>
        <v>8.0276816543882532</v>
      </c>
      <c r="F32" s="11">
        <f t="shared" si="1"/>
        <v>7.321660073154808</v>
      </c>
      <c r="G32" s="11">
        <f t="shared" ref="G32:G39" si="5">LN(C32/B32)</f>
        <v>-2.9171244697053149</v>
      </c>
      <c r="I32">
        <f t="shared" ref="I32:I39" si="6">C32/B32</f>
        <v>5.4088998446026403E-2</v>
      </c>
    </row>
    <row r="33" spans="1:16" x14ac:dyDescent="0.2">
      <c r="A33" s="33">
        <v>2005</v>
      </c>
      <c r="B33" s="45">
        <v>36433</v>
      </c>
      <c r="C33" s="115">
        <v>15605.481536909188</v>
      </c>
      <c r="D33" s="115">
        <v>8503.103908169609</v>
      </c>
      <c r="E33" s="11">
        <f t="shared" si="4"/>
        <v>9.6553775120890357</v>
      </c>
      <c r="F33" s="11">
        <f t="shared" ref="F33:F41" si="7">LN(D33)</f>
        <v>9.0481865414886649</v>
      </c>
      <c r="G33" s="11">
        <f t="shared" si="5"/>
        <v>-0.84785272423479918</v>
      </c>
      <c r="I33">
        <f t="shared" si="6"/>
        <v>0.42833369574037788</v>
      </c>
    </row>
    <row r="34" spans="1:16" x14ac:dyDescent="0.2">
      <c r="A34" s="45">
        <v>2006</v>
      </c>
      <c r="B34" s="45">
        <v>29922</v>
      </c>
      <c r="C34" s="115">
        <v>14461.244097439354</v>
      </c>
      <c r="D34" s="115">
        <v>4668.3064426651417</v>
      </c>
      <c r="E34" s="11">
        <f t="shared" si="4"/>
        <v>9.579227529179084</v>
      </c>
      <c r="F34" s="11">
        <f t="shared" si="7"/>
        <v>8.4485516387806925</v>
      </c>
      <c r="G34" s="11">
        <f t="shared" si="5"/>
        <v>-0.72712174559509313</v>
      </c>
      <c r="I34">
        <f t="shared" si="6"/>
        <v>0.48329804483120625</v>
      </c>
    </row>
    <row r="35" spans="1:16" x14ac:dyDescent="0.2">
      <c r="A35" s="45">
        <v>2007</v>
      </c>
      <c r="B35" s="45">
        <v>17594</v>
      </c>
      <c r="C35" s="115">
        <v>4181.522334695208</v>
      </c>
      <c r="D35" s="115">
        <v>6030.9224262863663</v>
      </c>
      <c r="E35" s="11">
        <f t="shared" si="4"/>
        <v>8.3384306541190956</v>
      </c>
      <c r="F35" s="11">
        <f t="shared" si="7"/>
        <v>8.7046552508722215</v>
      </c>
      <c r="G35" s="11">
        <f t="shared" si="5"/>
        <v>-1.4368825596935242</v>
      </c>
      <c r="I35">
        <f t="shared" si="6"/>
        <v>0.23766751930744617</v>
      </c>
    </row>
    <row r="36" spans="1:16" x14ac:dyDescent="0.2">
      <c r="A36" s="45">
        <v>2008</v>
      </c>
      <c r="B36" s="45">
        <v>7284</v>
      </c>
      <c r="C36" s="115">
        <v>11682.391796439155</v>
      </c>
      <c r="D36" s="115">
        <v>8809.07371842457</v>
      </c>
      <c r="E36" s="11">
        <f t="shared" si="4"/>
        <v>9.3658380125106451</v>
      </c>
      <c r="F36" s="11">
        <f t="shared" si="7"/>
        <v>9.0835375736097514</v>
      </c>
      <c r="G36" s="11">
        <f t="shared" si="5"/>
        <v>0.47240257166314603</v>
      </c>
      <c r="I36">
        <f t="shared" si="6"/>
        <v>1.6038429154913723</v>
      </c>
    </row>
    <row r="37" spans="1:16" x14ac:dyDescent="0.2">
      <c r="A37" s="45">
        <v>2009</v>
      </c>
      <c r="B37" s="45">
        <v>11641</v>
      </c>
      <c r="C37" s="115">
        <v>7107.6941322480016</v>
      </c>
      <c r="D37" s="115">
        <v>4277.8876007538311</v>
      </c>
      <c r="E37" s="11">
        <f t="shared" si="4"/>
        <v>8.8689331568697654</v>
      </c>
      <c r="F37" s="11">
        <f t="shared" si="7"/>
        <v>8.3612146155136067</v>
      </c>
      <c r="G37" s="11">
        <f t="shared" si="5"/>
        <v>-0.49335547137847646</v>
      </c>
      <c r="I37">
        <f t="shared" si="6"/>
        <v>0.61057418883669801</v>
      </c>
    </row>
    <row r="38" spans="1:16" x14ac:dyDescent="0.2">
      <c r="A38" s="45">
        <v>2010</v>
      </c>
      <c r="B38" s="45">
        <v>18223</v>
      </c>
      <c r="C38" s="115">
        <v>12763.307712485024</v>
      </c>
      <c r="D38" s="115">
        <v>7046.1478976126245</v>
      </c>
      <c r="E38" s="89">
        <f t="shared" si="4"/>
        <v>9.4543297484221362</v>
      </c>
      <c r="F38" s="11">
        <f t="shared" si="7"/>
        <v>8.8602363489750466</v>
      </c>
      <c r="G38" s="89">
        <f t="shared" si="5"/>
        <v>-0.35611006306391818</v>
      </c>
      <c r="I38" s="86">
        <f t="shared" si="6"/>
        <v>0.70039552831504281</v>
      </c>
    </row>
    <row r="39" spans="1:16" s="86" customFormat="1" x14ac:dyDescent="0.2">
      <c r="A39" s="45">
        <v>2011</v>
      </c>
      <c r="B39" s="45">
        <v>18553</v>
      </c>
      <c r="C39" s="115">
        <v>8947.9026572615876</v>
      </c>
      <c r="D39" s="115">
        <v>7211.3603991777436</v>
      </c>
      <c r="E39" s="89">
        <f t="shared" si="4"/>
        <v>9.0991744438362279</v>
      </c>
      <c r="F39" s="89">
        <f t="shared" si="7"/>
        <v>8.883412894752265</v>
      </c>
      <c r="G39" s="89">
        <f t="shared" si="5"/>
        <v>-0.7292123361906504</v>
      </c>
      <c r="I39" s="86">
        <f t="shared" si="6"/>
        <v>0.48228872189196287</v>
      </c>
    </row>
    <row r="40" spans="1:16" s="86" customFormat="1" x14ac:dyDescent="0.2">
      <c r="A40" s="45">
        <v>2012</v>
      </c>
      <c r="B40" s="117">
        <v>13952</v>
      </c>
      <c r="C40" s="115">
        <v>9390.5935876749754</v>
      </c>
      <c r="D40" s="115">
        <v>11021.083988374694</v>
      </c>
      <c r="E40" s="104">
        <f t="shared" si="4"/>
        <v>9.1474637850791964</v>
      </c>
      <c r="F40" s="89">
        <f t="shared" si="7"/>
        <v>9.3075654434205752</v>
      </c>
      <c r="G40" s="104">
        <f t="shared" ref="G40" si="8">LN(C40/B40)</f>
        <v>-0.39591436106956401</v>
      </c>
      <c r="H40" s="90"/>
      <c r="I40" s="90">
        <f t="shared" ref="I40" si="9">C40/B40</f>
        <v>0.67306433397899768</v>
      </c>
    </row>
    <row r="41" spans="1:16" s="86" customFormat="1" x14ac:dyDescent="0.2">
      <c r="A41" s="45">
        <v>2013</v>
      </c>
      <c r="B41" s="68">
        <v>18378</v>
      </c>
      <c r="C41" s="33"/>
      <c r="D41" s="115">
        <v>1705.9746181052706</v>
      </c>
      <c r="E41" s="89"/>
      <c r="F41" s="104">
        <f t="shared" si="7"/>
        <v>7.4418918499252777</v>
      </c>
    </row>
    <row r="42" spans="1:16" s="86" customFormat="1" x14ac:dyDescent="0.2">
      <c r="A42" s="45"/>
      <c r="B42" s="68"/>
      <c r="C42" s="33"/>
      <c r="D42" s="67"/>
      <c r="E42" s="89"/>
      <c r="F42" s="89"/>
    </row>
    <row r="43" spans="1:16" s="86" customFormat="1" x14ac:dyDescent="0.2">
      <c r="A43" s="45"/>
      <c r="B43" s="68"/>
      <c r="C43" s="33"/>
      <c r="D43" s="67"/>
      <c r="E43" s="89"/>
      <c r="F43" s="89"/>
    </row>
    <row r="45" spans="1:16" x14ac:dyDescent="0.2">
      <c r="A45" s="12" t="s">
        <v>25</v>
      </c>
      <c r="B45" s="14">
        <v>2010</v>
      </c>
      <c r="C45" s="49">
        <f>AVERAGE(C28:C32)</f>
        <v>14165.21962227012</v>
      </c>
      <c r="D45" s="49">
        <f>FORECAST(D33,$C$2:$C$39,$D$2:$D$39)</f>
        <v>18504.753313351852</v>
      </c>
      <c r="E45" s="49">
        <f>FORECAST(D33,$C$19:$C$39,$D$19:$D$39)</f>
        <v>18093.39504861473</v>
      </c>
      <c r="F45" s="47">
        <f>EXP(FORECAST(F33,$E$2:$E$39,$F$2:$F$39))</f>
        <v>17580.357991566161</v>
      </c>
      <c r="G45" s="49">
        <f>EXP(FORECAST(F33,$E$19:$E$39,$F$19:$F$39))</f>
        <v>16767.383450107627</v>
      </c>
      <c r="H45" s="49">
        <f>EXP(FORECAST(F33,$E$7:$E$39,$F$7:$F$39))</f>
        <v>16228.145199612831</v>
      </c>
      <c r="I45" s="49">
        <f>EXP(FORECAST(B33,$G$2:$G$39,$B$2:$B$39))*B33</f>
        <v>15463.577630482512</v>
      </c>
      <c r="J45" s="49">
        <f t="shared" ref="J45:J52" si="10">EXP(J56)*B33</f>
        <v>7898.9904276770194</v>
      </c>
      <c r="K45" s="49">
        <f t="shared" ref="K45:K52" si="11">EXP(K56)*B33</f>
        <v>10885.53623720983</v>
      </c>
      <c r="L45" s="49">
        <f>EXP(L56)</f>
        <v>8963.3560948974973</v>
      </c>
      <c r="M45" s="49">
        <f>EXP(M56)</f>
        <v>14469.525107811531</v>
      </c>
      <c r="N45" s="49">
        <f>EXP(N56)</f>
        <v>14524.613905646931</v>
      </c>
      <c r="O45" s="49">
        <f t="array" ref="O45">EXP(AVERAGE(LN(C28:C32)))*EXP(VAR(LN(C28:C32))/2)</f>
        <v>16976.459164199412</v>
      </c>
      <c r="P45" s="49">
        <f t="array" ref="P45">EXP(AVERAGE(LN(C28:C32)))</f>
        <v>10099.702986258921</v>
      </c>
    </row>
    <row r="46" spans="1:16" x14ac:dyDescent="0.2">
      <c r="B46" s="14">
        <v>2011</v>
      </c>
      <c r="C46" s="49">
        <f>AVERAGE(C29:C33)</f>
        <v>12124.965929785487</v>
      </c>
      <c r="D46" s="49">
        <f>FORECAST(D34,$C$2:$C$39,$D$2:$D$39)</f>
        <v>12364.592833743896</v>
      </c>
      <c r="E46" s="49">
        <f t="shared" ref="E46:E52" si="12">FORECAST(D34,$C$19:$C$39,$D$19:$D$39)</f>
        <v>9452.7109302446243</v>
      </c>
      <c r="F46" s="47">
        <f t="shared" ref="F46:F52" si="13">EXP(FORECAST(F34,$E$2:$E$39,$F$2:$F$39))</f>
        <v>10424.084008052881</v>
      </c>
      <c r="G46" s="49">
        <f t="shared" ref="G46:G52" si="14">EXP(FORECAST(F34,$E$19:$E$39,$F$19:$F$39))</f>
        <v>8982.5767417962743</v>
      </c>
      <c r="H46" s="49">
        <f t="shared" ref="H46:H52" si="15">EXP(FORECAST(F34,$E$7:$E$39,$F$7:$F$39))</f>
        <v>8748.8900955131649</v>
      </c>
      <c r="I46" s="49">
        <f t="shared" ref="I46:I52" si="16">EXP(FORECAST(B34,$G$2:$G$39,$B$2:$B$39))*B34</f>
        <v>15877.526275951946</v>
      </c>
      <c r="J46" s="49">
        <f t="shared" si="10"/>
        <v>16141.82929747472</v>
      </c>
      <c r="K46" s="49">
        <f t="shared" si="11"/>
        <v>18921.786740985975</v>
      </c>
      <c r="L46" s="49">
        <f>EXP(L57)</f>
        <v>18805.412381163638</v>
      </c>
      <c r="M46" s="49">
        <f t="shared" ref="M46:N49" si="17">EXP(M57)</f>
        <v>10355.778996293706</v>
      </c>
      <c r="N46" s="49">
        <f t="shared" si="17"/>
        <v>9356.2514205788393</v>
      </c>
      <c r="O46" s="49">
        <f t="array" ref="O46">EXP(AVERAGE(LN(C29:C33)))*EXP(VAR(LN(C29:C33))/2)</f>
        <v>13992.955820869291</v>
      </c>
      <c r="P46" s="49">
        <f t="array" ref="P46">EXP(AVERAGE(LN(C29:C33)))</f>
        <v>9133.0823609209037</v>
      </c>
    </row>
    <row r="47" spans="1:16" x14ac:dyDescent="0.2">
      <c r="B47" s="14">
        <v>2012</v>
      </c>
      <c r="C47" s="49">
        <f>AVERAGE(C30:C34)</f>
        <v>10778.301427799606</v>
      </c>
      <c r="D47" s="49">
        <f t="shared" ref="D47:D52" si="18">FORECAST(D35,$C$2:$C$39,$D$2:$D$39)</f>
        <v>14546.371894248341</v>
      </c>
      <c r="E47" s="49">
        <f t="shared" si="12"/>
        <v>12522.999360083335</v>
      </c>
      <c r="F47" s="47">
        <f t="shared" si="13"/>
        <v>13031.220068322042</v>
      </c>
      <c r="G47" s="49">
        <f t="shared" si="14"/>
        <v>11726.605599472116</v>
      </c>
      <c r="H47" s="49">
        <f t="shared" si="15"/>
        <v>11390.70195709884</v>
      </c>
      <c r="I47" s="49">
        <f t="shared" si="16"/>
        <v>14248.674854600662</v>
      </c>
      <c r="J47" s="49">
        <f t="shared" si="10"/>
        <v>13878.597909776265</v>
      </c>
      <c r="K47" s="49">
        <f t="shared" si="11"/>
        <v>11998.455519910765</v>
      </c>
      <c r="L47" s="49">
        <f>EXP(L58)</f>
        <v>11865.614992296791</v>
      </c>
      <c r="M47" s="49">
        <f t="shared" si="17"/>
        <v>15090.187845082184</v>
      </c>
      <c r="N47" s="49">
        <f t="shared" si="17"/>
        <v>13717.120456660596</v>
      </c>
      <c r="O47" s="49">
        <f t="array" ref="O47">EXP(AVERAGE(LN(C30:C34)))*EXP(VAR(LN(C30:C34))/2)</f>
        <v>12137.010628835929</v>
      </c>
      <c r="P47" s="49">
        <f t="array" ref="P47">EXP(AVERAGE(LN(C30:C34)))</f>
        <v>8460.8422407889848</v>
      </c>
    </row>
    <row r="48" spans="1:16" x14ac:dyDescent="0.2">
      <c r="B48" s="14">
        <v>2013</v>
      </c>
      <c r="C48" s="49">
        <f>AVERAGE(C31:C35)</f>
        <v>8196.1349033619663</v>
      </c>
      <c r="D48" s="49">
        <f t="shared" si="18"/>
        <v>18994.662820641439</v>
      </c>
      <c r="E48" s="49">
        <f t="shared" si="12"/>
        <v>18782.815677462197</v>
      </c>
      <c r="F48" s="47">
        <f t="shared" si="13"/>
        <v>18130.497900500737</v>
      </c>
      <c r="G48" s="49">
        <f t="shared" si="14"/>
        <v>17395.851637392261</v>
      </c>
      <c r="H48" s="49">
        <f t="shared" si="15"/>
        <v>16830.121516380408</v>
      </c>
      <c r="I48" s="49">
        <f t="shared" si="16"/>
        <v>8401.1874486630131</v>
      </c>
      <c r="J48" s="49">
        <f t="shared" si="10"/>
        <v>4648.1540480363528</v>
      </c>
      <c r="K48" s="49">
        <f t="shared" si="11"/>
        <v>4656.9939359618184</v>
      </c>
      <c r="L48" s="49">
        <f>EXP(L59)</f>
        <v>7644.945580307316</v>
      </c>
      <c r="M48" s="49">
        <f t="shared" si="17"/>
        <v>10498.629459925505</v>
      </c>
      <c r="N48" s="49">
        <f t="shared" si="17"/>
        <v>12384.487990861753</v>
      </c>
      <c r="O48" s="49">
        <f t="array" ref="O48">EXP(AVERAGE(LN(C31:C35)))*EXP(VAR(LN(C31:C35))/2)</f>
        <v>8717.9995813548539</v>
      </c>
      <c r="P48" s="49">
        <f t="array" ref="P48">EXP(AVERAGE(LN(C31:C35)))</f>
        <v>6384.4001756594998</v>
      </c>
    </row>
    <row r="49" spans="1:16" x14ac:dyDescent="0.2">
      <c r="B49" s="14">
        <v>2014</v>
      </c>
      <c r="C49" s="49">
        <f>AVERAGE(C32:C36)</f>
        <v>9799.0536656872628</v>
      </c>
      <c r="D49" s="49">
        <f t="shared" si="18"/>
        <v>11739.466118405675</v>
      </c>
      <c r="E49" s="49">
        <f t="shared" si="12"/>
        <v>8573.00713436978</v>
      </c>
      <c r="F49" s="47">
        <f t="shared" si="13"/>
        <v>9659.9918730682457</v>
      </c>
      <c r="G49" s="49">
        <f t="shared" si="14"/>
        <v>8202.0105192527044</v>
      </c>
      <c r="H49" s="49">
        <f t="shared" si="15"/>
        <v>7995.9976394674777</v>
      </c>
      <c r="I49" s="49">
        <f t="shared" si="16"/>
        <v>11562.887533863675</v>
      </c>
      <c r="J49" s="49">
        <f t="shared" si="10"/>
        <v>13884.919863055688</v>
      </c>
      <c r="K49" s="49">
        <f t="shared" si="11"/>
        <v>17207.809978279194</v>
      </c>
      <c r="L49" s="49">
        <f>EXP(L60)</f>
        <v>17507.768925499666</v>
      </c>
      <c r="M49" s="49">
        <f t="shared" si="17"/>
        <v>8410.1955098200888</v>
      </c>
      <c r="N49" s="49">
        <f t="shared" si="17"/>
        <v>7085.4594620933385</v>
      </c>
      <c r="O49" s="49">
        <f t="array" ref="O49">EXP(AVERAGE(LN(C32:C36)))*EXP(VAR(LN(C32:C36))/2)</f>
        <v>10705.634146371382</v>
      </c>
      <c r="P49" s="49">
        <f t="array" ref="P49">EXP(AVERAGE(LN(C32:C36)))</f>
        <v>8049.0638558960036</v>
      </c>
    </row>
    <row r="50" spans="1:16" x14ac:dyDescent="0.2">
      <c r="A50" s="1"/>
      <c r="B50" s="14">
        <v>2015</v>
      </c>
      <c r="C50" s="49">
        <f t="shared" ref="C50:C53" si="19">AVERAGE(C33:C37)</f>
        <v>10607.66677954618</v>
      </c>
      <c r="D50" s="49">
        <f t="shared" si="18"/>
        <v>16171.919885505506</v>
      </c>
      <c r="E50" s="49">
        <f t="shared" si="12"/>
        <v>14810.536755620758</v>
      </c>
      <c r="F50" s="47">
        <f t="shared" si="13"/>
        <v>14923.812702131203</v>
      </c>
      <c r="G50" s="49">
        <f t="shared" si="14"/>
        <v>13788.042045605102</v>
      </c>
      <c r="H50" s="49">
        <f t="shared" si="15"/>
        <v>13371.11611899025</v>
      </c>
      <c r="I50" s="49">
        <f t="shared" si="16"/>
        <v>14443.126383213616</v>
      </c>
      <c r="J50" s="49">
        <f t="shared" si="10"/>
        <v>11429.234840801175</v>
      </c>
      <c r="K50" s="49">
        <f t="shared" si="11"/>
        <v>8993.7917387449306</v>
      </c>
      <c r="L50" s="49">
        <f>EXP(L61)</f>
        <v>8274.2205296841603</v>
      </c>
      <c r="M50" s="49">
        <f>EXP(M61)</f>
        <v>12755.27256991656</v>
      </c>
      <c r="N50" s="49">
        <f>EXP(N61)</f>
        <v>11228.382460468398</v>
      </c>
      <c r="O50" s="49">
        <f t="array" ref="O50">EXP(AVERAGE(LN(C33:C37)))*EXP(VAR(LN(C33:C37))/2)</f>
        <v>11097.352523383246</v>
      </c>
      <c r="P50" s="49">
        <f t="array" ref="P50">EXP(AVERAGE(LN(C33:C37)))</f>
        <v>9523.9158591343294</v>
      </c>
    </row>
    <row r="51" spans="1:16" s="86" customFormat="1" x14ac:dyDescent="0.2">
      <c r="A51" s="87"/>
      <c r="B51" s="88">
        <v>2016</v>
      </c>
      <c r="C51" s="49">
        <f t="shared" si="19"/>
        <v>10039.232014661349</v>
      </c>
      <c r="D51" s="49">
        <f t="shared" si="18"/>
        <v>16436.453092792857</v>
      </c>
      <c r="E51" s="49">
        <f t="shared" si="12"/>
        <v>15182.79866808714</v>
      </c>
      <c r="F51" s="47">
        <f t="shared" si="13"/>
        <v>15228.36209363898</v>
      </c>
      <c r="G51" s="49">
        <f t="shared" si="14"/>
        <v>14124.709791501255</v>
      </c>
      <c r="H51" s="49">
        <f t="shared" si="15"/>
        <v>13694.253553977456</v>
      </c>
      <c r="I51" s="49">
        <f t="shared" si="16"/>
        <v>14539.194358753519</v>
      </c>
      <c r="J51" s="49">
        <f t="shared" si="10"/>
        <v>14029.06853615482</v>
      </c>
      <c r="K51" s="49">
        <f t="shared" si="11"/>
        <v>16861.30751791894</v>
      </c>
      <c r="L51" s="49">
        <f t="shared" ref="L51:L52" si="20">EXP(L62)</f>
        <v>17811.507212159209</v>
      </c>
      <c r="M51" s="49">
        <f t="shared" ref="M51:N52" si="21">EXP(M62)</f>
        <v>14292.64002233423</v>
      </c>
      <c r="N51" s="49">
        <f t="shared" si="21"/>
        <v>12507.703331548031</v>
      </c>
      <c r="O51" s="49">
        <f t="array" ref="O51">EXP(AVERAGE(LN(C34:C38)))*EXP(VAR(LN(C34:C38))/2)</f>
        <v>10440.775678989039</v>
      </c>
      <c r="P51" s="49">
        <f t="array" ref="P51">EXP(AVERAGE(LN(C34:C38)))</f>
        <v>9148.5604700971708</v>
      </c>
    </row>
    <row r="52" spans="1:16" s="86" customFormat="1" x14ac:dyDescent="0.2">
      <c r="A52" s="87"/>
      <c r="B52" s="88">
        <v>2017</v>
      </c>
      <c r="C52" s="49">
        <f t="shared" si="19"/>
        <v>8936.5637266257945</v>
      </c>
      <c r="D52" s="49">
        <f t="shared" si="18"/>
        <v>22536.466048115923</v>
      </c>
      <c r="E52" s="49">
        <f t="shared" si="12"/>
        <v>23766.985553749328</v>
      </c>
      <c r="F52" s="47">
        <f t="shared" si="13"/>
        <v>22040.159900786766</v>
      </c>
      <c r="G52" s="49">
        <f t="shared" si="14"/>
        <v>21964.295114127555</v>
      </c>
      <c r="H52" s="49">
        <f t="shared" si="15"/>
        <v>21199.81112040305</v>
      </c>
      <c r="I52" s="49">
        <f t="shared" si="16"/>
        <v>12802.406551087362</v>
      </c>
      <c r="J52" s="49">
        <f t="shared" si="10"/>
        <v>10348.202852205954</v>
      </c>
      <c r="K52" s="49">
        <f t="shared" si="11"/>
        <v>9019.4455855299111</v>
      </c>
      <c r="L52" s="49">
        <f t="shared" si="20"/>
        <v>9468.2559174970993</v>
      </c>
      <c r="M52" s="49">
        <f t="shared" si="21"/>
        <v>17446.598844346867</v>
      </c>
      <c r="N52" s="49">
        <f t="shared" si="21"/>
        <v>17053.316842347271</v>
      </c>
      <c r="O52" s="49">
        <f t="array" ref="O52">EXP(AVERAGE(LN(C35:C39)))*EXP(VAR(LN(C35:C39))/2)</f>
        <v>9187.1171797169845</v>
      </c>
      <c r="P52" s="49">
        <f t="array" ref="P52">EXP(AVERAGE(LN(C35:C39)))</f>
        <v>8311.0497464584023</v>
      </c>
    </row>
    <row r="53" spans="1:16" s="90" customFormat="1" x14ac:dyDescent="0.2">
      <c r="A53" s="87"/>
      <c r="B53" s="103">
        <v>2018</v>
      </c>
      <c r="C53" s="49">
        <f t="shared" si="19"/>
        <v>9978.3779772217476</v>
      </c>
      <c r="D53" s="49">
        <f>FORECAST(D41,$C$2:$C$40,$D$2:$D$40)</f>
        <v>7791.949386837432</v>
      </c>
      <c r="E53" s="49">
        <f>FORECAST(D41,$C$19:$C$40,$D$19:$D$40)</f>
        <v>3113.9265604950319</v>
      </c>
      <c r="F53" s="47">
        <f>EXP(FORECAST(F41,$E$2:$E$40,$F$2:$F$40))</f>
        <v>4466.3926350769061</v>
      </c>
      <c r="G53" s="49">
        <f>EXP(FORECAST(F41,$E$19:$E$40,$F$19:$F$40))</f>
        <v>3287.8225582604919</v>
      </c>
      <c r="H53" s="49">
        <f>EXP(FORECAST(F41,$E$7:$E$40,$F$7:$F$40))</f>
        <v>3189.382471153237</v>
      </c>
      <c r="I53" s="49">
        <f>EXP(FORECAST(B41,$G$2:$G$40,$B$2:$B$40))*B41</f>
        <v>14278.730892502273</v>
      </c>
      <c r="J53" s="49"/>
      <c r="K53" s="49"/>
      <c r="L53" s="49"/>
      <c r="M53" s="49"/>
      <c r="N53" s="49"/>
      <c r="O53" s="49">
        <f t="array" ref="O53">EXP(AVERAGE(LN(C36:C40)))*EXP(VAR(LN(C36:C40))/2)</f>
        <v>10035.5012884323</v>
      </c>
      <c r="P53" s="49">
        <f t="array" ref="P53">EXP(AVERAGE(LN(C36:C40)))</f>
        <v>9770.7433719562123</v>
      </c>
    </row>
    <row r="54" spans="1:16" x14ac:dyDescent="0.2">
      <c r="C54" s="3" t="s">
        <v>17</v>
      </c>
      <c r="D54" s="32" t="s">
        <v>26</v>
      </c>
      <c r="E54" t="s">
        <v>60</v>
      </c>
      <c r="F54" s="32" t="s">
        <v>27</v>
      </c>
      <c r="G54" s="32" t="s">
        <v>59</v>
      </c>
      <c r="H54" s="32" t="s">
        <v>97</v>
      </c>
      <c r="I54" s="32" t="s">
        <v>28</v>
      </c>
      <c r="J54" s="32" t="s">
        <v>41</v>
      </c>
      <c r="K54" s="32" t="s">
        <v>56</v>
      </c>
      <c r="L54" s="34" t="s">
        <v>55</v>
      </c>
      <c r="M54" s="32" t="s">
        <v>63</v>
      </c>
      <c r="N54" s="32" t="s">
        <v>98</v>
      </c>
      <c r="O54" s="34" t="s">
        <v>102</v>
      </c>
      <c r="P54" t="s">
        <v>111</v>
      </c>
    </row>
    <row r="56" spans="1:16" x14ac:dyDescent="0.2">
      <c r="J56" s="122">
        <v>-1.52874</v>
      </c>
      <c r="K56" s="120">
        <v>-1.20804</v>
      </c>
      <c r="L56" s="124">
        <v>9.1008999999999993</v>
      </c>
      <c r="M56" s="128">
        <v>9.5798000000000005</v>
      </c>
      <c r="N56" s="128">
        <v>9.5836000000000006</v>
      </c>
      <c r="O56" s="126">
        <v>10345.07</v>
      </c>
    </row>
    <row r="57" spans="1:16" x14ac:dyDescent="0.2">
      <c r="J57" s="122">
        <v>-0.61717999999999995</v>
      </c>
      <c r="K57" s="120">
        <v>-0.45828000000000002</v>
      </c>
      <c r="L57" s="124">
        <v>9.8419000000000008</v>
      </c>
      <c r="M57" s="128">
        <v>9.2453000000000003</v>
      </c>
      <c r="N57" s="128">
        <v>9.1438000000000006</v>
      </c>
      <c r="O57" s="126">
        <v>16307.15</v>
      </c>
    </row>
    <row r="58" spans="1:16" x14ac:dyDescent="0.2">
      <c r="J58" s="122">
        <v>-0.23721</v>
      </c>
      <c r="K58" s="120">
        <v>-0.38278000000000001</v>
      </c>
      <c r="L58" s="124">
        <v>9.3813999999999993</v>
      </c>
      <c r="M58" s="128">
        <v>9.6218000000000004</v>
      </c>
      <c r="N58" s="128">
        <v>9.5264000000000006</v>
      </c>
      <c r="O58" s="126">
        <v>15763.24</v>
      </c>
    </row>
    <row r="59" spans="1:16" x14ac:dyDescent="0.2">
      <c r="J59" s="122">
        <v>-0.44921</v>
      </c>
      <c r="K59" s="120">
        <v>-0.44730999999999999</v>
      </c>
      <c r="L59" s="124">
        <v>8.9418000000000006</v>
      </c>
      <c r="M59" s="128">
        <v>9.2590000000000003</v>
      </c>
      <c r="N59" s="128">
        <v>9.4242000000000008</v>
      </c>
      <c r="O59" s="126">
        <v>10876.15</v>
      </c>
    </row>
    <row r="60" spans="1:16" x14ac:dyDescent="0.2">
      <c r="J60" s="126">
        <v>0.17627000000000001</v>
      </c>
      <c r="K60" s="124">
        <v>0.39083000000000001</v>
      </c>
      <c r="L60" s="124">
        <v>9.7704000000000004</v>
      </c>
      <c r="M60" s="128">
        <v>9.0372000000000003</v>
      </c>
      <c r="N60" s="128">
        <v>8.8658000000000001</v>
      </c>
      <c r="O60" s="126">
        <v>14461.47</v>
      </c>
    </row>
    <row r="61" spans="1:16" x14ac:dyDescent="0.2">
      <c r="J61" s="122">
        <v>-0.46650999999999998</v>
      </c>
      <c r="K61" s="120">
        <v>-0.70615000000000006</v>
      </c>
      <c r="L61" s="124">
        <v>9.0208999999999993</v>
      </c>
      <c r="M61" s="128">
        <v>9.4536999999999995</v>
      </c>
      <c r="N61" s="128">
        <v>9.3262</v>
      </c>
      <c r="O61" s="126">
        <v>12263.97</v>
      </c>
    </row>
    <row r="62" spans="1:16" x14ac:dyDescent="0.2">
      <c r="J62" s="122">
        <v>-0.27950000000000003</v>
      </c>
      <c r="K62" s="120">
        <v>-9.5610000000000001E-2</v>
      </c>
      <c r="L62" s="124">
        <v>9.7875999999999994</v>
      </c>
      <c r="M62" s="128">
        <v>9.5675000000000008</v>
      </c>
      <c r="N62" s="128">
        <v>9.4341000000000008</v>
      </c>
      <c r="O62" s="126">
        <v>15107.6</v>
      </c>
    </row>
    <row r="63" spans="1:16" ht="13.5" thickBot="1" x14ac:dyDescent="0.25">
      <c r="J63" s="123">
        <v>-0.29881000000000002</v>
      </c>
      <c r="K63" s="121">
        <v>-0.43624000000000002</v>
      </c>
      <c r="L63" s="125">
        <v>9.1556999999999995</v>
      </c>
      <c r="M63" s="128">
        <v>9.7668999999999997</v>
      </c>
      <c r="N63" s="128">
        <v>9.7440999999999995</v>
      </c>
      <c r="O63" s="127">
        <v>13250.52</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0"/>
  <sheetViews>
    <sheetView zoomScaleNormal="100" workbookViewId="0">
      <pane ySplit="1" topLeftCell="A2" activePane="bottomLeft" state="frozen"/>
      <selection pane="bottomLeft" activeCell="D40" sqref="C2:D40"/>
    </sheetView>
  </sheetViews>
  <sheetFormatPr defaultRowHeight="12.75" x14ac:dyDescent="0.2"/>
  <cols>
    <col min="4" max="4" width="6.28515625" bestFit="1" customWidth="1"/>
    <col min="5" max="5" width="10.85546875" bestFit="1" customWidth="1"/>
    <col min="7" max="8" width="12.85546875" bestFit="1" customWidth="1"/>
    <col min="9" max="9" width="9.140625" customWidth="1"/>
    <col min="10" max="10" width="10.42578125" bestFit="1" customWidth="1"/>
    <col min="11" max="12" width="10.42578125" customWidth="1"/>
    <col min="13" max="13" width="13.28515625" bestFit="1" customWidth="1"/>
    <col min="14" max="14" width="11.7109375" bestFit="1" customWidth="1"/>
    <col min="15" max="15" width="12.28515625" bestFit="1" customWidth="1"/>
    <col min="16" max="16" width="14.140625" bestFit="1" customWidth="1"/>
    <col min="17" max="17" width="15.5703125" customWidth="1"/>
  </cols>
  <sheetData>
    <row r="1" spans="1:9" x14ac:dyDescent="0.2">
      <c r="A1" s="10" t="s">
        <v>13</v>
      </c>
      <c r="B1" s="3" t="s">
        <v>19</v>
      </c>
      <c r="C1" s="3" t="s">
        <v>65</v>
      </c>
      <c r="D1" s="3" t="s">
        <v>43</v>
      </c>
      <c r="E1" s="3" t="s">
        <v>66</v>
      </c>
      <c r="F1" s="3" t="s">
        <v>44</v>
      </c>
      <c r="G1" s="3" t="s">
        <v>24</v>
      </c>
      <c r="I1" s="3" t="s">
        <v>18</v>
      </c>
    </row>
    <row r="2" spans="1:9" x14ac:dyDescent="0.2">
      <c r="A2" s="33">
        <v>1974</v>
      </c>
      <c r="B2" s="113">
        <v>15200.808429049157</v>
      </c>
      <c r="C2" s="114">
        <v>15451.301467438034</v>
      </c>
      <c r="D2" s="114">
        <v>38601.723907352149</v>
      </c>
      <c r="E2" s="11">
        <f>LN(C2)</f>
        <v>9.6454485161527526</v>
      </c>
      <c r="F2" s="11">
        <f>LN(D2)</f>
        <v>10.561052215267889</v>
      </c>
      <c r="G2" s="11">
        <f>LN(C2/B2)</f>
        <v>1.6344624611062009E-2</v>
      </c>
      <c r="I2">
        <f>C2/B2</f>
        <v>1.0164789287068561</v>
      </c>
    </row>
    <row r="3" spans="1:9" x14ac:dyDescent="0.2">
      <c r="A3" s="33">
        <v>1975</v>
      </c>
      <c r="B3" s="113">
        <v>14087.516841715718</v>
      </c>
      <c r="C3" s="114">
        <v>8841.5144442920955</v>
      </c>
      <c r="D3" s="114">
        <v>20205.548072803584</v>
      </c>
      <c r="E3" s="11">
        <f t="shared" ref="E3:F31" si="0">LN(C3)</f>
        <v>9.0872134581861808</v>
      </c>
      <c r="F3" s="11">
        <f t="shared" si="0"/>
        <v>9.9137125027474333</v>
      </c>
      <c r="G3" s="11">
        <f t="shared" ref="G3:G31" si="1">LN(C3/B3)</f>
        <v>-0.46583089566890645</v>
      </c>
      <c r="I3">
        <f t="shared" ref="I3:I31" si="2">C3/B3</f>
        <v>0.62761340721955705</v>
      </c>
    </row>
    <row r="4" spans="1:9" x14ac:dyDescent="0.2">
      <c r="A4" s="33">
        <v>1976</v>
      </c>
      <c r="B4" s="113">
        <v>48915.878750988399</v>
      </c>
      <c r="C4" s="114">
        <v>18525.993202729787</v>
      </c>
      <c r="D4" s="114">
        <v>15271.706767413616</v>
      </c>
      <c r="E4" s="11">
        <f t="shared" si="0"/>
        <v>9.8269300629095433</v>
      </c>
      <c r="F4" s="11">
        <f t="shared" si="0"/>
        <v>9.6337571645542504</v>
      </c>
      <c r="G4" s="11">
        <f t="shared" si="1"/>
        <v>-0.97092727867778827</v>
      </c>
      <c r="I4">
        <f t="shared" si="2"/>
        <v>0.37873168541116004</v>
      </c>
    </row>
    <row r="5" spans="1:9" x14ac:dyDescent="0.2">
      <c r="A5" s="33">
        <v>1977</v>
      </c>
      <c r="B5" s="113">
        <v>85783.90587469301</v>
      </c>
      <c r="C5" s="114">
        <v>16471.334827818337</v>
      </c>
      <c r="D5" s="114">
        <v>19387.667305182338</v>
      </c>
      <c r="E5" s="11">
        <f t="shared" si="0"/>
        <v>9.709376865899678</v>
      </c>
      <c r="F5" s="11">
        <f t="shared" si="0"/>
        <v>9.872392436986301</v>
      </c>
      <c r="G5" s="11">
        <f>LN(C5/B5)</f>
        <v>-1.6502098247635391</v>
      </c>
      <c r="I5">
        <f t="shared" si="2"/>
        <v>0.19200961602143046</v>
      </c>
    </row>
    <row r="6" spans="1:9" x14ac:dyDescent="0.2">
      <c r="A6" s="33">
        <v>1978</v>
      </c>
      <c r="B6" s="113">
        <v>54967.090958155022</v>
      </c>
      <c r="C6" s="114">
        <v>16404.691151466748</v>
      </c>
      <c r="D6" s="114">
        <v>22862.275424833642</v>
      </c>
      <c r="E6" s="11">
        <f t="shared" si="0"/>
        <v>9.7053226187301274</v>
      </c>
      <c r="F6" s="11">
        <f t="shared" si="0"/>
        <v>10.037243469789582</v>
      </c>
      <c r="G6" s="11">
        <f t="shared" si="1"/>
        <v>-1.2091673201885826</v>
      </c>
      <c r="I6">
        <f t="shared" si="2"/>
        <v>0.29844568569137486</v>
      </c>
    </row>
    <row r="7" spans="1:9" x14ac:dyDescent="0.2">
      <c r="A7" s="33">
        <v>1979</v>
      </c>
      <c r="B7" s="113">
        <v>60607.494461508577</v>
      </c>
      <c r="C7" s="114">
        <v>20497.695775415767</v>
      </c>
      <c r="D7" s="114">
        <v>21417.23566997048</v>
      </c>
      <c r="E7" s="11">
        <f t="shared" si="0"/>
        <v>9.9280677576097798</v>
      </c>
      <c r="F7" s="11">
        <f t="shared" si="0"/>
        <v>9.9719512819840759</v>
      </c>
      <c r="G7" s="11">
        <f t="shared" si="1"/>
        <v>-1.0841060777829896</v>
      </c>
      <c r="I7">
        <f>C7/B7</f>
        <v>0.33820397885666958</v>
      </c>
    </row>
    <row r="8" spans="1:9" x14ac:dyDescent="0.2">
      <c r="A8" s="33">
        <v>1980</v>
      </c>
      <c r="B8" s="113">
        <v>35096.273954716482</v>
      </c>
      <c r="C8" s="114">
        <v>15978.824857683823</v>
      </c>
      <c r="D8" s="114">
        <v>21271.490957513954</v>
      </c>
      <c r="E8" s="11">
        <f t="shared" si="0"/>
        <v>9.6790196782985323</v>
      </c>
      <c r="F8" s="11">
        <f t="shared" si="0"/>
        <v>9.9651230024707651</v>
      </c>
      <c r="G8" s="11">
        <f t="shared" si="1"/>
        <v>-0.7868305703842865</v>
      </c>
      <c r="I8">
        <f t="shared" si="2"/>
        <v>0.45528550632755921</v>
      </c>
    </row>
    <row r="9" spans="1:9" x14ac:dyDescent="0.2">
      <c r="A9" s="33">
        <v>1981</v>
      </c>
      <c r="B9" s="113">
        <v>23162.28110894659</v>
      </c>
      <c r="C9" s="114">
        <v>12989.544227520477</v>
      </c>
      <c r="D9" s="114">
        <v>23704.88683071189</v>
      </c>
      <c r="E9" s="11">
        <f t="shared" si="0"/>
        <v>9.4719000226380548</v>
      </c>
      <c r="F9" s="11">
        <f t="shared" si="0"/>
        <v>10.073436501256563</v>
      </c>
      <c r="G9" s="11">
        <f>LN(C9/B9)</f>
        <v>-0.57838039767654559</v>
      </c>
      <c r="I9">
        <f t="shared" si="2"/>
        <v>0.56080591399536961</v>
      </c>
    </row>
    <row r="10" spans="1:9" x14ac:dyDescent="0.2">
      <c r="A10" s="33">
        <v>1982</v>
      </c>
      <c r="B10" s="113">
        <v>37222.208996949157</v>
      </c>
      <c r="C10" s="114">
        <v>31446.764835646642</v>
      </c>
      <c r="D10" s="114">
        <v>24362.216135631345</v>
      </c>
      <c r="E10" s="11">
        <f>LN(C10)</f>
        <v>10.356051389926346</v>
      </c>
      <c r="F10" s="11">
        <f t="shared" si="0"/>
        <v>10.100788692055019</v>
      </c>
      <c r="G10" s="11">
        <f t="shared" si="1"/>
        <v>-0.16860948823873098</v>
      </c>
      <c r="I10">
        <f t="shared" si="2"/>
        <v>0.84483875844725154</v>
      </c>
    </row>
    <row r="11" spans="1:9" x14ac:dyDescent="0.2">
      <c r="A11" s="33">
        <v>1983</v>
      </c>
      <c r="B11" s="113">
        <v>43871.147868163811</v>
      </c>
      <c r="C11" s="114">
        <v>15608.843390360413</v>
      </c>
      <c r="D11" s="114">
        <v>13259.725313862651</v>
      </c>
      <c r="E11" s="11">
        <f t="shared" si="0"/>
        <v>9.6555929166170564</v>
      </c>
      <c r="F11" s="11">
        <f>LN(D11)</f>
        <v>9.492486548130314</v>
      </c>
      <c r="G11" s="11">
        <f t="shared" si="1"/>
        <v>-1.0334192424200437</v>
      </c>
      <c r="I11">
        <f t="shared" si="2"/>
        <v>0.3557883517720164</v>
      </c>
    </row>
    <row r="12" spans="1:9" x14ac:dyDescent="0.2">
      <c r="A12" s="33">
        <v>1984</v>
      </c>
      <c r="B12" s="113">
        <v>39054.415815955479</v>
      </c>
      <c r="C12" s="114">
        <v>20247.440203855847</v>
      </c>
      <c r="D12" s="114">
        <v>8772.3547130158586</v>
      </c>
      <c r="E12" s="11">
        <f t="shared" si="0"/>
        <v>9.9157836548581759</v>
      </c>
      <c r="F12" s="11">
        <f t="shared" si="0"/>
        <v>9.0793605456805384</v>
      </c>
      <c r="G12" s="11">
        <f t="shared" si="1"/>
        <v>-0.65692757509087696</v>
      </c>
      <c r="I12">
        <f t="shared" si="2"/>
        <v>0.51844176339167924</v>
      </c>
    </row>
    <row r="13" spans="1:9" x14ac:dyDescent="0.2">
      <c r="A13" s="33">
        <v>1985</v>
      </c>
      <c r="B13" s="113">
        <v>41640.4566064588</v>
      </c>
      <c r="C13" s="114">
        <v>15904.842762988237</v>
      </c>
      <c r="D13" s="114">
        <v>22255.036468658829</v>
      </c>
      <c r="E13" s="11">
        <f t="shared" si="0"/>
        <v>9.6743789181229491</v>
      </c>
      <c r="F13" s="11">
        <f>LN(D13)</f>
        <v>10.010323620121218</v>
      </c>
      <c r="G13" s="11">
        <f t="shared" si="1"/>
        <v>-0.96244857011881213</v>
      </c>
      <c r="I13">
        <f t="shared" si="2"/>
        <v>0.38195649277585625</v>
      </c>
    </row>
    <row r="14" spans="1:9" x14ac:dyDescent="0.2">
      <c r="A14" s="33">
        <v>1986</v>
      </c>
      <c r="B14" s="113">
        <v>47656.750073801319</v>
      </c>
      <c r="C14" s="114">
        <v>10566.346948847491</v>
      </c>
      <c r="D14" s="114">
        <v>11060.495209749653</v>
      </c>
      <c r="E14" s="11">
        <f t="shared" si="0"/>
        <v>9.265429413532642</v>
      </c>
      <c r="F14" s="11">
        <f t="shared" si="0"/>
        <v>9.3111350489157036</v>
      </c>
      <c r="G14" s="11">
        <f t="shared" si="1"/>
        <v>-1.5063501449881225</v>
      </c>
      <c r="I14">
        <f t="shared" si="2"/>
        <v>0.22171774056108379</v>
      </c>
    </row>
    <row r="15" spans="1:9" x14ac:dyDescent="0.2">
      <c r="A15" s="33">
        <v>1987</v>
      </c>
      <c r="B15" s="113">
        <v>35225.678696417599</v>
      </c>
      <c r="C15" s="114">
        <v>7367.4248176555466</v>
      </c>
      <c r="D15" s="114">
        <v>8952.337306880132</v>
      </c>
      <c r="E15" s="11">
        <f t="shared" si="0"/>
        <v>8.9048235099660324</v>
      </c>
      <c r="F15" s="11">
        <f t="shared" si="0"/>
        <v>9.0996699287814753</v>
      </c>
      <c r="G15" s="11">
        <f t="shared" si="1"/>
        <v>-1.5647070940791821</v>
      </c>
      <c r="I15">
        <f t="shared" si="2"/>
        <v>0.20914926526042502</v>
      </c>
    </row>
    <row r="16" spans="1:9" x14ac:dyDescent="0.2">
      <c r="A16" s="33">
        <v>1988</v>
      </c>
      <c r="B16" s="113">
        <v>43795.14825795839</v>
      </c>
      <c r="C16" s="114">
        <v>4305.4615651202876</v>
      </c>
      <c r="D16" s="114">
        <v>10369.473715093151</v>
      </c>
      <c r="E16" s="11">
        <f t="shared" si="0"/>
        <v>8.3676396271704174</v>
      </c>
      <c r="F16" s="11">
        <f t="shared" si="0"/>
        <v>9.2466215492214552</v>
      </c>
      <c r="G16" s="11">
        <f t="shared" si="1"/>
        <v>-2.3196386926923842</v>
      </c>
      <c r="I16">
        <f t="shared" si="2"/>
        <v>9.8309098984221507E-2</v>
      </c>
    </row>
    <row r="17" spans="1:17" x14ac:dyDescent="0.2">
      <c r="A17" s="33">
        <v>1989</v>
      </c>
      <c r="B17" s="113">
        <v>23246.496893228272</v>
      </c>
      <c r="C17" s="115">
        <v>3286.3170388531744</v>
      </c>
      <c r="D17" s="114">
        <v>4583.8690687893459</v>
      </c>
      <c r="E17" s="11">
        <f t="shared" si="0"/>
        <v>8.0975227756391899</v>
      </c>
      <c r="F17" s="11">
        <f t="shared" si="0"/>
        <v>8.4302986953316257</v>
      </c>
      <c r="G17" s="11">
        <f t="shared" si="1"/>
        <v>-1.9563869527652591</v>
      </c>
      <c r="I17">
        <f t="shared" si="2"/>
        <v>0.14136826954819509</v>
      </c>
    </row>
    <row r="18" spans="1:17" x14ac:dyDescent="0.2">
      <c r="A18" s="33">
        <v>1990</v>
      </c>
      <c r="B18" s="113">
        <v>41671.267259244785</v>
      </c>
      <c r="C18" s="115">
        <v>2013.7231180938411</v>
      </c>
      <c r="D18" s="115">
        <v>3098.7645462437235</v>
      </c>
      <c r="E18" s="11">
        <f t="shared" si="0"/>
        <v>7.6077405852245992</v>
      </c>
      <c r="F18" s="11">
        <f t="shared" si="0"/>
        <v>8.0387587775679012</v>
      </c>
      <c r="G18" s="11">
        <f t="shared" si="1"/>
        <v>-3.0298265505184032</v>
      </c>
      <c r="I18">
        <f t="shared" si="2"/>
        <v>4.832401917527708E-2</v>
      </c>
    </row>
    <row r="19" spans="1:17" x14ac:dyDescent="0.2">
      <c r="A19" s="33">
        <v>1991</v>
      </c>
      <c r="B19" s="113">
        <v>21019.913718561394</v>
      </c>
      <c r="C19" s="115">
        <v>6113.3832126036305</v>
      </c>
      <c r="D19" s="115">
        <v>5572.1171873742987</v>
      </c>
      <c r="E19" s="11">
        <f t="shared" si="0"/>
        <v>8.7182356162045291</v>
      </c>
      <c r="F19" s="11">
        <f t="shared" si="0"/>
        <v>8.6255303661527485</v>
      </c>
      <c r="G19" s="11">
        <f t="shared" si="1"/>
        <v>-1.2349899234873221</v>
      </c>
      <c r="I19">
        <f t="shared" si="2"/>
        <v>0.29083769298278694</v>
      </c>
    </row>
    <row r="20" spans="1:17" x14ac:dyDescent="0.2">
      <c r="A20" s="33">
        <v>1992</v>
      </c>
      <c r="B20" s="113">
        <v>20247.593355392808</v>
      </c>
      <c r="C20" s="115">
        <v>12061.913381326702</v>
      </c>
      <c r="D20" s="115">
        <v>23730.285356550539</v>
      </c>
      <c r="E20" s="11">
        <f t="shared" si="0"/>
        <v>9.3978081128648281</v>
      </c>
      <c r="F20" s="11">
        <f t="shared" si="0"/>
        <v>10.074507374496594</v>
      </c>
      <c r="G20" s="11">
        <f t="shared" si="1"/>
        <v>-0.51798310595976627</v>
      </c>
      <c r="I20">
        <f t="shared" si="2"/>
        <v>0.59572084294719863</v>
      </c>
    </row>
    <row r="21" spans="1:17" x14ac:dyDescent="0.2">
      <c r="A21" s="33">
        <v>1993</v>
      </c>
      <c r="B21" s="113">
        <v>16207.289753391196</v>
      </c>
      <c r="C21" s="115">
        <v>8452.9820339873313</v>
      </c>
      <c r="D21" s="115">
        <v>17147.718181257875</v>
      </c>
      <c r="E21" s="11">
        <f t="shared" si="0"/>
        <v>9.0422745615259039</v>
      </c>
      <c r="F21" s="11">
        <f t="shared" si="0"/>
        <v>9.7496203930865448</v>
      </c>
      <c r="G21" s="11">
        <f t="shared" si="1"/>
        <v>-0.65094184325901783</v>
      </c>
      <c r="I21">
        <f t="shared" si="2"/>
        <v>0.52155432293783965</v>
      </c>
    </row>
    <row r="22" spans="1:17" x14ac:dyDescent="0.2">
      <c r="A22" s="33">
        <v>1994</v>
      </c>
      <c r="B22" s="113">
        <v>9831.5386702122378</v>
      </c>
      <c r="C22" s="115">
        <v>4416.0035800613459</v>
      </c>
      <c r="D22" s="115">
        <v>14606.017381700909</v>
      </c>
      <c r="E22" s="11">
        <f t="shared" si="0"/>
        <v>8.3929903986589007</v>
      </c>
      <c r="F22" s="11">
        <f t="shared" si="0"/>
        <v>9.5891888722177487</v>
      </c>
      <c r="G22" s="11">
        <f t="shared" si="1"/>
        <v>-0.8003603302302591</v>
      </c>
      <c r="I22">
        <f t="shared" si="2"/>
        <v>0.44916708647457476</v>
      </c>
    </row>
    <row r="23" spans="1:17" x14ac:dyDescent="0.2">
      <c r="A23" s="33">
        <v>1995</v>
      </c>
      <c r="B23" s="113">
        <v>10048</v>
      </c>
      <c r="C23" s="115">
        <v>9463.3110676139477</v>
      </c>
      <c r="D23" s="115">
        <v>33202.17060982425</v>
      </c>
      <c r="E23" s="11">
        <f t="shared" si="0"/>
        <v>9.1551776079550624</v>
      </c>
      <c r="F23" s="11">
        <f t="shared" si="0"/>
        <v>10.410370532581396</v>
      </c>
      <c r="G23" s="11">
        <f t="shared" si="1"/>
        <v>-5.9951280752917002E-2</v>
      </c>
      <c r="I23">
        <f t="shared" si="2"/>
        <v>0.94181041676094224</v>
      </c>
    </row>
    <row r="24" spans="1:17" x14ac:dyDescent="0.2">
      <c r="A24" s="33">
        <v>1996</v>
      </c>
      <c r="B24" s="113">
        <v>14349</v>
      </c>
      <c r="C24" s="115">
        <v>5263.1451543065714</v>
      </c>
      <c r="D24" s="115">
        <v>15580.03386399629</v>
      </c>
      <c r="E24" s="11">
        <f t="shared" si="0"/>
        <v>8.5684840651191063</v>
      </c>
      <c r="F24" s="11">
        <f t="shared" si="0"/>
        <v>9.6537454929779791</v>
      </c>
      <c r="G24" s="11">
        <f t="shared" si="1"/>
        <v>-1.0029514672292998</v>
      </c>
      <c r="I24">
        <f t="shared" si="2"/>
        <v>0.36679525780936451</v>
      </c>
    </row>
    <row r="25" spans="1:17" x14ac:dyDescent="0.2">
      <c r="A25" s="33">
        <v>1997</v>
      </c>
      <c r="B25" s="113">
        <v>35587</v>
      </c>
      <c r="C25" s="115">
        <v>6599.162149429244</v>
      </c>
      <c r="D25" s="115">
        <v>18849.389515593277</v>
      </c>
      <c r="E25" s="11">
        <f t="shared" si="0"/>
        <v>8.7946979728998826</v>
      </c>
      <c r="F25" s="11">
        <f t="shared" si="0"/>
        <v>9.8442358059110298</v>
      </c>
      <c r="G25" s="11">
        <f t="shared" si="1"/>
        <v>-1.6850377087106467</v>
      </c>
      <c r="I25">
        <f t="shared" si="2"/>
        <v>0.18543743921738962</v>
      </c>
      <c r="K25" s="90"/>
      <c r="P25">
        <v>0</v>
      </c>
      <c r="Q25">
        <v>13694.332664623576</v>
      </c>
    </row>
    <row r="26" spans="1:17" x14ac:dyDescent="0.2">
      <c r="A26" s="33">
        <v>1998</v>
      </c>
      <c r="B26" s="113">
        <v>36310.213674484126</v>
      </c>
      <c r="C26" s="115">
        <v>10056.530401669592</v>
      </c>
      <c r="D26" s="115">
        <v>22762.063505990678</v>
      </c>
      <c r="E26" s="11">
        <f t="shared" si="0"/>
        <v>9.2159774936752257</v>
      </c>
      <c r="F26" s="11">
        <f t="shared" si="0"/>
        <v>10.032850547838413</v>
      </c>
      <c r="G26" s="11">
        <f t="shared" si="1"/>
        <v>-1.2838768554441278</v>
      </c>
      <c r="I26">
        <f t="shared" si="2"/>
        <v>0.27696147678515332</v>
      </c>
      <c r="K26" s="90"/>
      <c r="P26">
        <v>0</v>
      </c>
      <c r="Q26">
        <v>23155.467535199965</v>
      </c>
    </row>
    <row r="27" spans="1:17" x14ac:dyDescent="0.2">
      <c r="A27" s="33">
        <v>1999</v>
      </c>
      <c r="B27" s="45">
        <v>29088</v>
      </c>
      <c r="C27" s="115">
        <v>5290.0263156526171</v>
      </c>
      <c r="D27" s="115">
        <v>44248.733767346203</v>
      </c>
      <c r="E27" s="11">
        <f t="shared" si="0"/>
        <v>8.5735784994434905</v>
      </c>
      <c r="F27" s="11">
        <f t="shared" si="0"/>
        <v>10.697582034599442</v>
      </c>
      <c r="G27" s="11">
        <f t="shared" si="1"/>
        <v>-1.7045024975337142</v>
      </c>
      <c r="I27">
        <f t="shared" si="2"/>
        <v>0.18186284088464719</v>
      </c>
      <c r="K27" s="90"/>
      <c r="P27">
        <v>0</v>
      </c>
      <c r="Q27">
        <v>15452.474152275188</v>
      </c>
    </row>
    <row r="28" spans="1:17" x14ac:dyDescent="0.2">
      <c r="A28" s="33">
        <v>2000</v>
      </c>
      <c r="B28" s="45">
        <v>33965</v>
      </c>
      <c r="C28" s="115">
        <v>8509.3427271220298</v>
      </c>
      <c r="D28" s="115">
        <v>25806.749999332358</v>
      </c>
      <c r="E28" s="11">
        <f t="shared" si="0"/>
        <v>9.048919983228803</v>
      </c>
      <c r="F28" s="11">
        <f t="shared" si="0"/>
        <v>10.158391364572202</v>
      </c>
      <c r="G28" s="11">
        <f t="shared" si="1"/>
        <v>-1.3841658783965993</v>
      </c>
      <c r="I28">
        <f t="shared" si="2"/>
        <v>0.25053268738766465</v>
      </c>
      <c r="K28" s="90"/>
    </row>
    <row r="29" spans="1:17" x14ac:dyDescent="0.2">
      <c r="A29" s="33">
        <v>2001</v>
      </c>
      <c r="B29" s="45">
        <v>27966</v>
      </c>
      <c r="C29" s="115">
        <v>4765.1413819190093</v>
      </c>
      <c r="D29" s="115">
        <v>21194.566607368764</v>
      </c>
      <c r="E29" s="11">
        <f t="shared" si="0"/>
        <v>8.4690824865650249</v>
      </c>
      <c r="F29" s="11">
        <f t="shared" si="0"/>
        <v>9.961500135706423</v>
      </c>
      <c r="G29" s="11">
        <f t="shared" si="1"/>
        <v>-1.7696622790357703</v>
      </c>
      <c r="I29">
        <f t="shared" si="2"/>
        <v>0.17039052356143208</v>
      </c>
      <c r="K29" s="90"/>
    </row>
    <row r="30" spans="1:17" x14ac:dyDescent="0.2">
      <c r="A30" s="33">
        <v>2002</v>
      </c>
      <c r="B30" s="45">
        <v>28535</v>
      </c>
      <c r="C30" s="115">
        <v>4479.2149738152111</v>
      </c>
      <c r="D30" s="115">
        <v>17092.354956883402</v>
      </c>
      <c r="E30" s="11">
        <f t="shared" si="0"/>
        <v>8.4072030809955205</v>
      </c>
      <c r="F30" s="11">
        <f t="shared" si="0"/>
        <v>9.746386563976511</v>
      </c>
      <c r="G30" s="11">
        <f t="shared" si="1"/>
        <v>-1.8516836019752876</v>
      </c>
      <c r="I30">
        <f t="shared" si="2"/>
        <v>0.15697266423042619</v>
      </c>
      <c r="K30" s="90"/>
    </row>
    <row r="31" spans="1:17" x14ac:dyDescent="0.2">
      <c r="A31" s="33">
        <v>2003</v>
      </c>
      <c r="B31" s="45">
        <v>39257</v>
      </c>
      <c r="C31" s="115">
        <v>1153.8472837686768</v>
      </c>
      <c r="D31" s="115">
        <v>3667.7979848126706</v>
      </c>
      <c r="E31" s="11">
        <f t="shared" si="0"/>
        <v>7.0508571018885178</v>
      </c>
      <c r="F31" s="11">
        <f t="shared" si="0"/>
        <v>8.2073467568358627</v>
      </c>
      <c r="G31" s="11">
        <f t="shared" si="1"/>
        <v>-3.5270279493696899</v>
      </c>
      <c r="I31">
        <f t="shared" si="2"/>
        <v>2.9392141115436147E-2</v>
      </c>
      <c r="K31" s="90"/>
    </row>
    <row r="32" spans="1:17" x14ac:dyDescent="0.2">
      <c r="A32" s="45">
        <v>2004</v>
      </c>
      <c r="B32" s="45">
        <v>56659</v>
      </c>
      <c r="C32" s="115">
        <v>1934.0126691041301</v>
      </c>
      <c r="D32" s="115">
        <v>3064.62856295341</v>
      </c>
      <c r="E32" s="11">
        <f t="shared" ref="E32:F34" si="3">LN(C32)</f>
        <v>7.5673522267178077</v>
      </c>
      <c r="F32" s="11">
        <f t="shared" si="3"/>
        <v>8.0276816543882532</v>
      </c>
      <c r="G32" s="11">
        <f>LN(C32/B32)</f>
        <v>-3.37745389737576</v>
      </c>
      <c r="I32">
        <f>C32/B32</f>
        <v>3.4134253500840643E-2</v>
      </c>
      <c r="K32" s="90"/>
    </row>
    <row r="33" spans="1:17" x14ac:dyDescent="0.2">
      <c r="A33" s="33">
        <v>2005</v>
      </c>
      <c r="B33" s="45">
        <v>36433</v>
      </c>
      <c r="C33" s="115">
        <v>1556.3670777513205</v>
      </c>
      <c r="D33" s="115">
        <v>15605.481536909188</v>
      </c>
      <c r="E33" s="11">
        <f t="shared" si="3"/>
        <v>7.3501095880669114</v>
      </c>
      <c r="F33" s="11">
        <f t="shared" si="3"/>
        <v>9.6553775120890357</v>
      </c>
      <c r="G33" s="11">
        <f>LN(C33/B33)</f>
        <v>-3.1531206482569232</v>
      </c>
      <c r="I33">
        <f>C33/B33</f>
        <v>4.2718608891700392E-2</v>
      </c>
    </row>
    <row r="34" spans="1:17" x14ac:dyDescent="0.2">
      <c r="A34" s="3">
        <v>2006</v>
      </c>
      <c r="B34" s="45">
        <v>29922</v>
      </c>
      <c r="C34" s="115">
        <v>2453.1597696878553</v>
      </c>
      <c r="D34" s="115">
        <v>14461.244097439354</v>
      </c>
      <c r="E34" s="11">
        <f>LN(C34)</f>
        <v>7.805132174501046</v>
      </c>
      <c r="F34" s="11">
        <f t="shared" si="3"/>
        <v>9.579227529179084</v>
      </c>
      <c r="G34" s="11">
        <f>LN(C34/B34)</f>
        <v>-2.5012171002731312</v>
      </c>
      <c r="I34">
        <f>C34/B34</f>
        <v>8.1985153722607285E-2</v>
      </c>
    </row>
    <row r="35" spans="1:17" x14ac:dyDescent="0.2">
      <c r="A35" s="45">
        <v>2007</v>
      </c>
      <c r="B35" s="45">
        <v>17594</v>
      </c>
      <c r="C35" s="115">
        <v>3281.817627527782</v>
      </c>
      <c r="D35" s="115">
        <v>4181.522334695208</v>
      </c>
      <c r="E35" s="11">
        <f>LN(C35)</f>
        <v>8.0961527026252362</v>
      </c>
      <c r="F35" s="11">
        <f>LN(D35)</f>
        <v>8.3384306541190956</v>
      </c>
      <c r="G35" s="11">
        <f>LN(C35/B35)</f>
        <v>-1.6791605111873842</v>
      </c>
      <c r="I35">
        <f>C35/B35</f>
        <v>0.18653050059837342</v>
      </c>
    </row>
    <row r="36" spans="1:17" x14ac:dyDescent="0.2">
      <c r="A36" s="45">
        <v>2008</v>
      </c>
      <c r="B36" s="45">
        <v>7284</v>
      </c>
      <c r="C36" s="115">
        <v>2197.3688308901815</v>
      </c>
      <c r="D36" s="115">
        <v>11682.391796439155</v>
      </c>
      <c r="E36" s="11">
        <f>LN(C36)</f>
        <v>7.695015937625441</v>
      </c>
      <c r="F36" s="11">
        <f>LN(D36)</f>
        <v>9.3658380125106451</v>
      </c>
      <c r="G36" s="11">
        <f>LN(C36/B36)</f>
        <v>-1.1984195032220579</v>
      </c>
      <c r="I36" s="90">
        <f t="shared" ref="I36:I39" si="4">C36/B36</f>
        <v>0.30167062477899254</v>
      </c>
    </row>
    <row r="37" spans="1:17" x14ac:dyDescent="0.2">
      <c r="A37" s="45">
        <v>2009</v>
      </c>
      <c r="B37" s="45">
        <v>11641</v>
      </c>
      <c r="C37" s="115">
        <v>3331.9862658498459</v>
      </c>
      <c r="D37" s="115">
        <v>7107.6941322480016</v>
      </c>
      <c r="E37" s="104">
        <f t="shared" ref="E37:E39" si="5">LN(C37)</f>
        <v>8.1113238813844344</v>
      </c>
      <c r="F37" s="11">
        <f>LN(D37)</f>
        <v>8.8689331568697654</v>
      </c>
      <c r="G37" s="104">
        <f t="shared" ref="G37:G39" si="6">LN(C37/B37)</f>
        <v>-1.2509647468638065</v>
      </c>
      <c r="I37" s="90">
        <f t="shared" si="4"/>
        <v>0.28622852554332495</v>
      </c>
    </row>
    <row r="38" spans="1:17" s="86" customFormat="1" x14ac:dyDescent="0.2">
      <c r="A38" s="45">
        <v>2010</v>
      </c>
      <c r="B38" s="45">
        <v>18223</v>
      </c>
      <c r="C38" s="115">
        <v>1787.0790331391763</v>
      </c>
      <c r="D38" s="115">
        <v>12763.307712485024</v>
      </c>
      <c r="E38" s="104">
        <f t="shared" si="5"/>
        <v>7.48833774089616</v>
      </c>
      <c r="F38" s="104">
        <f t="shared" ref="F38:F40" si="7">LN(D38)</f>
        <v>9.4543297484221362</v>
      </c>
      <c r="G38" s="104">
        <f t="shared" si="6"/>
        <v>-2.3221020705898954</v>
      </c>
      <c r="I38" s="90">
        <f t="shared" si="4"/>
        <v>9.8067224559028499E-2</v>
      </c>
      <c r="L38" s="86" t="s">
        <v>91</v>
      </c>
    </row>
    <row r="39" spans="1:17" s="86" customFormat="1" x14ac:dyDescent="0.2">
      <c r="A39" s="45">
        <v>2011</v>
      </c>
      <c r="B39" s="45">
        <v>18553</v>
      </c>
      <c r="C39" s="115">
        <v>1312.5431080401859</v>
      </c>
      <c r="D39" s="115">
        <v>8947.9026572615876</v>
      </c>
      <c r="E39" s="104">
        <f t="shared" si="5"/>
        <v>7.179721838147513</v>
      </c>
      <c r="F39" s="104">
        <f t="shared" si="7"/>
        <v>9.0991744438362279</v>
      </c>
      <c r="G39" s="104">
        <f t="shared" si="6"/>
        <v>-2.6486649418793644</v>
      </c>
      <c r="I39" s="90">
        <f t="shared" si="4"/>
        <v>7.0745599527849187E-2</v>
      </c>
    </row>
    <row r="40" spans="1:17" s="90" customFormat="1" x14ac:dyDescent="0.2">
      <c r="A40" s="45">
        <v>2012</v>
      </c>
      <c r="B40" s="45">
        <v>13952</v>
      </c>
      <c r="C40" s="33"/>
      <c r="D40" s="115">
        <v>9390.5935876749754</v>
      </c>
      <c r="F40" s="104">
        <f t="shared" si="7"/>
        <v>9.1474637850791964</v>
      </c>
      <c r="G40" s="104"/>
    </row>
    <row r="41" spans="1:17" x14ac:dyDescent="0.2">
      <c r="B41" s="93"/>
    </row>
    <row r="42" spans="1:17" x14ac:dyDescent="0.2">
      <c r="A42" s="12" t="s">
        <v>25</v>
      </c>
      <c r="B42" s="14">
        <v>2010</v>
      </c>
      <c r="C42" s="131">
        <f t="shared" ref="C42:C50" si="8">AVERAGE(C27:C31)</f>
        <v>4839.5145364555092</v>
      </c>
      <c r="D42" s="60">
        <f t="shared" ref="D42:D49" si="9">FORECAST(D32,$C$2:$C$38,$D$2:$D$38)</f>
        <v>5120.4836272022339</v>
      </c>
      <c r="E42" s="60">
        <f t="shared" ref="E42:E49" si="10">FORECAST(D32,$C$18:$C$38,$D$18:$D$38)</f>
        <v>2684.5968603659603</v>
      </c>
      <c r="F42" s="61">
        <f t="shared" ref="F42:F49" si="11">EXP(FORECAST(F32,$E$2:$E$38,$F$2:$F$38))</f>
        <v>2200.9814132853767</v>
      </c>
      <c r="G42" s="60">
        <f t="shared" ref="G42:G49" si="12">EXP(FORECAST(F32,$E$18:$E$38,$F$18:$F$38))</f>
        <v>1850.9195086221232</v>
      </c>
      <c r="H42" s="60">
        <f t="shared" ref="H42:H49" si="13">EXP(FORECAST(F32,$E$6:$E$38,$F$6:$F$38))</f>
        <v>2189.6249925385305</v>
      </c>
      <c r="I42" s="60">
        <f t="shared" ref="I42:I49" si="14">EXP(FORECAST(B32,$G$2:$G$38,$B$2:$B$38))*B32</f>
        <v>8902.128219536191</v>
      </c>
      <c r="J42" s="48">
        <f t="shared" ref="J42:J49" si="15">EXP(J53)*B32</f>
        <v>1632.366569707591</v>
      </c>
      <c r="K42" s="48">
        <f t="array" ref="K42">EXP(AVERAGE(LN(C27:C31)))*EXP(VAR(LN(C27:C31))/2)</f>
        <v>5374.3200215358247</v>
      </c>
      <c r="L42" s="48">
        <f t="array" ref="L42">EXP(AVERAGE(LN(C27:C31)))</f>
        <v>4064.0213001542525</v>
      </c>
      <c r="M42" s="48">
        <f>EXP(M53)</f>
        <v>1637.4574787554338</v>
      </c>
      <c r="N42" s="48">
        <v>4124.7470811000003</v>
      </c>
      <c r="O42" s="48">
        <v>2682.9165520000001</v>
      </c>
      <c r="P42" s="48">
        <f>EXP(P53)</f>
        <v>1828.4794521831705</v>
      </c>
      <c r="Q42" s="48">
        <f>EXP(Q53)</f>
        <v>1755.9055750523071</v>
      </c>
    </row>
    <row r="43" spans="1:17" x14ac:dyDescent="0.2">
      <c r="B43" s="14">
        <v>2011</v>
      </c>
      <c r="C43" s="131">
        <f t="shared" si="8"/>
        <v>4168.3118071458111</v>
      </c>
      <c r="D43" s="60">
        <f t="shared" si="9"/>
        <v>8811.3094196611928</v>
      </c>
      <c r="E43" s="60">
        <f t="shared" si="10"/>
        <v>4942.4488462124054</v>
      </c>
      <c r="F43" s="61">
        <f t="shared" si="11"/>
        <v>7284.5857835645738</v>
      </c>
      <c r="G43" s="60">
        <f t="shared" si="12"/>
        <v>4616.699626512549</v>
      </c>
      <c r="H43" s="60">
        <f t="shared" si="13"/>
        <v>6881.7360299180409</v>
      </c>
      <c r="I43" s="60">
        <f t="shared" si="14"/>
        <v>8111.2249283553729</v>
      </c>
      <c r="J43" s="48">
        <f t="shared" si="15"/>
        <v>2708.852077031504</v>
      </c>
      <c r="K43" s="48">
        <f t="array" ref="K43">EXP(AVERAGE(LN(C28:C32)))*EXP(VAR(LN(C28:C32))/2)</f>
        <v>4550.8452191529268</v>
      </c>
      <c r="L43" s="48">
        <f t="array" ref="L43">EXP(AVERAGE(LN(C28:C32)))</f>
        <v>3323.1984140273971</v>
      </c>
      <c r="M43" s="48">
        <f t="shared" ref="M43:M49" si="16">EXP(M54)</f>
        <v>2470.3126486192132</v>
      </c>
      <c r="N43" s="48">
        <v>2992.7656378000001</v>
      </c>
      <c r="O43" s="48">
        <v>4575.5594246999999</v>
      </c>
      <c r="P43" s="48">
        <f t="shared" ref="P43:Q46" si="17">EXP(P54)</f>
        <v>2980.0340332859773</v>
      </c>
      <c r="Q43" s="48">
        <f t="shared" si="17"/>
        <v>3705.7094356225653</v>
      </c>
    </row>
    <row r="44" spans="1:17" x14ac:dyDescent="0.2">
      <c r="B44" s="14">
        <v>2012</v>
      </c>
      <c r="C44" s="131">
        <f t="shared" si="8"/>
        <v>2777.7166772716691</v>
      </c>
      <c r="D44" s="60">
        <f t="shared" si="9"/>
        <v>8474.5555271577923</v>
      </c>
      <c r="E44" s="60">
        <f t="shared" si="10"/>
        <v>4736.4406280830535</v>
      </c>
      <c r="F44" s="61">
        <f t="shared" si="11"/>
        <v>6887.9045802584942</v>
      </c>
      <c r="G44" s="60">
        <f t="shared" si="12"/>
        <v>4423.4489675306568</v>
      </c>
      <c r="H44" s="60">
        <f t="shared" si="13"/>
        <v>6522.7547090860362</v>
      </c>
      <c r="I44" s="60">
        <f t="shared" si="14"/>
        <v>7452.6187394800745</v>
      </c>
      <c r="J44" s="48">
        <f t="shared" si="15"/>
        <v>2107.7351782938163</v>
      </c>
      <c r="K44" s="48">
        <f t="array" ref="K44">EXP(AVERAGE(LN(C29:C33)))*EXP(VAR(LN(C29:C33))/2)</f>
        <v>2900.3327578632197</v>
      </c>
      <c r="L44" s="48">
        <f t="array" ref="L44">EXP(AVERAGE(LN(C29:C33)))</f>
        <v>2365.9168420231463</v>
      </c>
      <c r="M44" s="48">
        <f t="shared" si="16"/>
        <v>2077.4573561569191</v>
      </c>
      <c r="N44" s="48">
        <v>3185.0914185000001</v>
      </c>
      <c r="O44" s="48">
        <v>3942.3850031000002</v>
      </c>
      <c r="P44" s="48">
        <f t="shared" si="17"/>
        <v>2882.6635803385589</v>
      </c>
      <c r="Q44" s="48">
        <f t="shared" si="17"/>
        <v>2560.1215069510536</v>
      </c>
    </row>
    <row r="45" spans="1:17" x14ac:dyDescent="0.2">
      <c r="B45" s="14">
        <v>2013</v>
      </c>
      <c r="C45" s="131">
        <f t="shared" si="8"/>
        <v>2315.3203548254387</v>
      </c>
      <c r="D45" s="60">
        <f t="shared" si="9"/>
        <v>5449.1901632522386</v>
      </c>
      <c r="E45" s="60">
        <f t="shared" si="10"/>
        <v>2885.6821314989411</v>
      </c>
      <c r="F45" s="61">
        <f t="shared" si="11"/>
        <v>2765.9923723482038</v>
      </c>
      <c r="G45" s="60">
        <f t="shared" si="12"/>
        <v>2203.7863566067467</v>
      </c>
      <c r="H45" s="60">
        <f t="shared" si="13"/>
        <v>2724.6855418051828</v>
      </c>
      <c r="I45" s="60">
        <f t="shared" si="14"/>
        <v>5419.2937405608736</v>
      </c>
      <c r="J45" s="48">
        <f t="shared" si="15"/>
        <v>2470.5676321647256</v>
      </c>
      <c r="K45" s="48">
        <f t="array" ref="K45">EXP(AVERAGE(LN(C30:C34)))*EXP(VAR(LN(C30:C34))/2)</f>
        <v>2362.9250682719517</v>
      </c>
      <c r="L45" s="48">
        <f t="array" ref="L45">EXP(AVERAGE(LN(C30:C34)))</f>
        <v>2071.7124906942472</v>
      </c>
      <c r="M45" s="48">
        <f>EXP(M56)</f>
        <v>2985.1342509261835</v>
      </c>
      <c r="N45" s="48">
        <v>3360.6280402000002</v>
      </c>
      <c r="O45" s="48">
        <v>1485.4182397</v>
      </c>
      <c r="P45" s="48">
        <f t="shared" si="17"/>
        <v>1318.4472534165711</v>
      </c>
      <c r="Q45" s="48">
        <f t="shared" si="17"/>
        <v>1580.7109607961911</v>
      </c>
    </row>
    <row r="46" spans="1:17" x14ac:dyDescent="0.2">
      <c r="B46" s="14">
        <v>2014</v>
      </c>
      <c r="C46" s="131">
        <f t="shared" si="8"/>
        <v>2075.8408855679527</v>
      </c>
      <c r="D46" s="60">
        <f t="shared" si="9"/>
        <v>7656.7276037091124</v>
      </c>
      <c r="E46" s="60">
        <f t="shared" si="10"/>
        <v>4236.1367652423614</v>
      </c>
      <c r="F46" s="61">
        <f t="shared" si="11"/>
        <v>5887.6678544915949</v>
      </c>
      <c r="G46" s="60">
        <f t="shared" si="12"/>
        <v>3923.936723834513</v>
      </c>
      <c r="H46" s="60">
        <f t="shared" si="13"/>
        <v>5613.4743419348915</v>
      </c>
      <c r="I46" s="60">
        <f t="shared" si="14"/>
        <v>2679.8200225745941</v>
      </c>
      <c r="J46" s="48">
        <f t="shared" si="15"/>
        <v>1988.8770080079528</v>
      </c>
      <c r="K46" s="48">
        <f t="array" ref="K46">EXP(AVERAGE(LN(C31:C35)))*EXP(VAR(LN(C31:C35))/2)</f>
        <v>2111.5132422951551</v>
      </c>
      <c r="L46" s="48">
        <f t="array" ref="L46">EXP(AVERAGE(LN(C31:C35)))</f>
        <v>1946.7581068733723</v>
      </c>
      <c r="M46" s="48">
        <f t="shared" si="16"/>
        <v>3774.0350005081596</v>
      </c>
      <c r="N46" s="48">
        <v>4061.7078833</v>
      </c>
      <c r="O46" s="48">
        <v>4105.1145757000004</v>
      </c>
      <c r="P46" s="48">
        <f t="shared" si="17"/>
        <v>3381.2813017462499</v>
      </c>
      <c r="Q46" s="48">
        <f t="shared" si="17"/>
        <v>3460.7132900542824</v>
      </c>
    </row>
    <row r="47" spans="1:17" x14ac:dyDescent="0.2">
      <c r="A47" s="1"/>
      <c r="B47" s="14">
        <v>2015</v>
      </c>
      <c r="C47" s="131">
        <f t="shared" si="8"/>
        <v>2284.545194992254</v>
      </c>
      <c r="D47" s="60">
        <f t="shared" si="9"/>
        <v>6310.3748343430107</v>
      </c>
      <c r="E47" s="60">
        <f t="shared" si="10"/>
        <v>3412.5093591008626</v>
      </c>
      <c r="F47" s="61">
        <f t="shared" si="11"/>
        <v>4085.6548683305432</v>
      </c>
      <c r="G47" s="60">
        <f t="shared" si="12"/>
        <v>2968.5368893047939</v>
      </c>
      <c r="H47" s="60">
        <f t="shared" si="13"/>
        <v>3957.3712883827234</v>
      </c>
      <c r="I47" s="60">
        <f t="shared" si="14"/>
        <v>3973.0060701990305</v>
      </c>
      <c r="J47" s="48">
        <f t="shared" si="15"/>
        <v>3347.2641792178561</v>
      </c>
      <c r="K47" s="48">
        <f t="array" ref="K47">EXP(AVERAGE(LN(C32:C36)))*EXP(VAR(LN(C32:C36))/2)</f>
        <v>2301.3517680688319</v>
      </c>
      <c r="L47" s="48">
        <f t="array" ref="L47">EXP(AVERAGE(LN(C32:C36)))</f>
        <v>2214.4349002906547</v>
      </c>
      <c r="M47" s="48">
        <f t="shared" si="16"/>
        <v>2682.4879971675832</v>
      </c>
      <c r="N47" s="62">
        <v>4016.6120882999999</v>
      </c>
      <c r="O47" s="62">
        <v>3735.4467162000001</v>
      </c>
      <c r="P47" s="48">
        <f t="shared" ref="P47:Q47" si="18">EXP(P58)</f>
        <v>3094.9901420733336</v>
      </c>
      <c r="Q47" s="48">
        <f t="shared" si="18"/>
        <v>2359.3230177906844</v>
      </c>
    </row>
    <row r="48" spans="1:17" s="86" customFormat="1" x14ac:dyDescent="0.2">
      <c r="A48" s="87"/>
      <c r="B48" s="103">
        <v>2016</v>
      </c>
      <c r="C48" s="131">
        <f t="shared" si="8"/>
        <v>2564.1399143413973</v>
      </c>
      <c r="D48" s="60">
        <f t="shared" si="9"/>
        <v>7974.8457054607743</v>
      </c>
      <c r="E48" s="60">
        <f t="shared" si="10"/>
        <v>4430.7445923690811</v>
      </c>
      <c r="F48" s="61">
        <f t="shared" si="11"/>
        <v>6283.5092357957992</v>
      </c>
      <c r="G48" s="60">
        <f t="shared" si="12"/>
        <v>4123.8452601577292</v>
      </c>
      <c r="H48" s="60">
        <f t="shared" si="13"/>
        <v>5974.0605458068367</v>
      </c>
      <c r="I48" s="60">
        <f t="shared" si="14"/>
        <v>5552.5271760484275</v>
      </c>
      <c r="J48" s="48">
        <f t="shared" si="15"/>
        <v>4824.4393565397322</v>
      </c>
      <c r="K48" s="48">
        <f t="array" ref="K48">EXP(AVERAGE(LN(C33:C37)))*EXP(VAR(LN(C33:C37))/2)</f>
        <v>2594.6925749766974</v>
      </c>
      <c r="L48" s="48">
        <f t="array" ref="L48">EXP(AVERAGE(LN(C33:C37)))</f>
        <v>2468.9465899239276</v>
      </c>
      <c r="M48" s="48">
        <f t="shared" si="16"/>
        <v>3874.996350575359</v>
      </c>
      <c r="N48" s="62"/>
      <c r="O48" s="62"/>
      <c r="P48" s="48">
        <f t="shared" ref="P48:Q48" si="19">EXP(P59)</f>
        <v>3237.4135404542699</v>
      </c>
      <c r="Q48" s="48">
        <f t="shared" si="19"/>
        <v>3679.3449036357606</v>
      </c>
    </row>
    <row r="49" spans="1:17" s="86" customFormat="1" x14ac:dyDescent="0.2">
      <c r="A49" s="87"/>
      <c r="B49" s="103">
        <v>2017</v>
      </c>
      <c r="C49" s="131">
        <f t="shared" si="8"/>
        <v>2610.282305418968</v>
      </c>
      <c r="D49" s="60">
        <f t="shared" si="9"/>
        <v>6851.9559454307546</v>
      </c>
      <c r="E49" s="60">
        <f t="shared" si="10"/>
        <v>3743.8200347943111</v>
      </c>
      <c r="F49" s="61">
        <f t="shared" si="11"/>
        <v>4839.3489942223068</v>
      </c>
      <c r="G49" s="60">
        <f t="shared" si="12"/>
        <v>3378.2446325815908</v>
      </c>
      <c r="H49" s="60">
        <f t="shared" si="13"/>
        <v>4653.2353105055054</v>
      </c>
      <c r="I49" s="60">
        <f t="shared" si="14"/>
        <v>5621.0224617751755</v>
      </c>
      <c r="J49" s="48">
        <f t="shared" si="15"/>
        <v>2413.8222839256882</v>
      </c>
      <c r="K49" s="48">
        <f t="array" ref="K49">EXP(AVERAGE(LN(C34:C38)))*EXP(VAR(LN(C34:C38))/2)</f>
        <v>2630.2488693573587</v>
      </c>
      <c r="L49" s="48">
        <f t="array" ref="L49">EXP(AVERAGE(LN(C34:C38)))</f>
        <v>2538.1544144145209</v>
      </c>
      <c r="M49" s="48">
        <f t="shared" si="16"/>
        <v>2394.6682918941365</v>
      </c>
      <c r="N49" s="62"/>
      <c r="O49" s="62"/>
      <c r="P49" s="48">
        <f t="shared" ref="P49:Q49" si="20">EXP(P60)</f>
        <v>2933.4368472183801</v>
      </c>
      <c r="Q49" s="48">
        <f t="shared" si="20"/>
        <v>2442.2377288649827</v>
      </c>
    </row>
    <row r="50" spans="1:17" s="90" customFormat="1" x14ac:dyDescent="0.2">
      <c r="A50" s="87"/>
      <c r="B50" s="103">
        <v>2018</v>
      </c>
      <c r="C50" s="131">
        <f t="shared" si="8"/>
        <v>2382.1589730894348</v>
      </c>
      <c r="D50" s="60">
        <f>FORECAST(D40,$C$2:$C$39,$D$2:$D$39)</f>
        <v>6744.6305278162299</v>
      </c>
      <c r="E50" s="60">
        <f>FORECAST(D40,$C$18:$C$39,$D$18:$D$39)</f>
        <v>3667.1707107601069</v>
      </c>
      <c r="F50" s="61">
        <f>EXP(FORECAST(F40,$E$2:$E$39,$F$2:$F$39))</f>
        <v>4786.0047718744572</v>
      </c>
      <c r="G50" s="60">
        <f>EXP(FORECAST(F40,$E$18:$E$39,$F$18:$F$39))</f>
        <v>3303.3206143833313</v>
      </c>
      <c r="H50" s="60">
        <f>EXP(FORECAST(F40,$E$6:$E$39,$F$6:$F$39))</f>
        <v>4593.5670020047992</v>
      </c>
      <c r="I50" s="60">
        <f>EXP(FORECAST(B40,$G$2:$G$39,$B$2:$B$39))*B40</f>
        <v>4257.8387321857817</v>
      </c>
      <c r="J50" s="48"/>
      <c r="K50" s="48">
        <f t="array" ref="K50">EXP(AVERAGE(LN(C35:C39)))*EXP(VAR(LN(C35:C39))/2)</f>
        <v>2426.465394790891</v>
      </c>
      <c r="L50" s="48">
        <f t="array" ref="L50">EXP(AVERAGE(LN(C35:C39)))</f>
        <v>2239.7295929648767</v>
      </c>
      <c r="M50" s="48"/>
      <c r="N50" s="62"/>
      <c r="O50" s="62"/>
      <c r="P50" s="48"/>
      <c r="Q50" s="48"/>
    </row>
    <row r="51" spans="1:17" x14ac:dyDescent="0.2">
      <c r="C51" s="3" t="s">
        <v>17</v>
      </c>
      <c r="D51" s="32" t="s">
        <v>26</v>
      </c>
      <c r="E51" t="s">
        <v>68</v>
      </c>
      <c r="F51" s="32" t="s">
        <v>27</v>
      </c>
      <c r="G51" s="32" t="s">
        <v>69</v>
      </c>
      <c r="H51" s="32" t="s">
        <v>70</v>
      </c>
      <c r="I51" s="32" t="s">
        <v>28</v>
      </c>
      <c r="J51" s="32" t="s">
        <v>41</v>
      </c>
      <c r="K51" s="32" t="s">
        <v>107</v>
      </c>
      <c r="L51" s="32" t="s">
        <v>108</v>
      </c>
      <c r="M51" s="34" t="s">
        <v>95</v>
      </c>
      <c r="N51" s="32" t="s">
        <v>74</v>
      </c>
      <c r="O51" s="32" t="s">
        <v>75</v>
      </c>
      <c r="P51" s="34" t="s">
        <v>112</v>
      </c>
      <c r="Q51" s="34" t="s">
        <v>98</v>
      </c>
    </row>
    <row r="53" spans="1:17" x14ac:dyDescent="0.2">
      <c r="D53" s="130"/>
      <c r="J53" s="120">
        <v>-3.5470199999999998</v>
      </c>
      <c r="M53" s="124">
        <v>7.4009</v>
      </c>
      <c r="P53" s="124">
        <v>7.5112399999999999</v>
      </c>
      <c r="Q53" s="126">
        <v>7.4707400000000002</v>
      </c>
    </row>
    <row r="54" spans="1:17" x14ac:dyDescent="0.2">
      <c r="C54" s="90">
        <f t="array" ref="C54">EXP(AVERAGE(LN(C28:C32)))*EXP(VAR(LN(C28:C32))/2)</f>
        <v>4550.8452191529268</v>
      </c>
      <c r="J54" s="120">
        <v>-2.5989499999999999</v>
      </c>
      <c r="M54" s="124">
        <v>7.8121</v>
      </c>
      <c r="P54" s="124">
        <v>7.9996900000000002</v>
      </c>
      <c r="Q54" s="126">
        <v>8.2176299999999998</v>
      </c>
    </row>
    <row r="55" spans="1:17" x14ac:dyDescent="0.2">
      <c r="C55" s="90">
        <f t="array" ref="C55">EXP(AVERAGE(LN(C29:C33)))*EXP(VAR(LN(C29:C33))/2)</f>
        <v>2900.3327578632197</v>
      </c>
      <c r="J55" s="120">
        <v>-2.6529799999999999</v>
      </c>
      <c r="M55" s="124">
        <v>7.6388999999999996</v>
      </c>
      <c r="P55" s="124">
        <v>7.9664700000000002</v>
      </c>
      <c r="Q55" s="126">
        <v>7.84781</v>
      </c>
    </row>
    <row r="56" spans="1:17" x14ac:dyDescent="0.2">
      <c r="C56" s="90">
        <f t="array" ref="C56">EXP(AVERAGE(LN(C30:C34)))*EXP(VAR(LN(C30:C34))/2)</f>
        <v>2362.9250682719517</v>
      </c>
      <c r="J56" s="120">
        <v>-1.9631099999999999</v>
      </c>
      <c r="M56" s="124">
        <v>8.0014000000000003</v>
      </c>
      <c r="P56" s="124">
        <v>7.1842100000000002</v>
      </c>
      <c r="Q56" s="126">
        <v>7.3656300000000003</v>
      </c>
    </row>
    <row r="57" spans="1:17" x14ac:dyDescent="0.2">
      <c r="C57" s="90">
        <f t="array" ref="C57">EXP(AVERAGE(LN(C31:C35)))*EXP(VAR(LN(C31:C35))/2)</f>
        <v>2111.5132422951551</v>
      </c>
      <c r="J57" s="120">
        <v>-1.2981100000000001</v>
      </c>
      <c r="M57" s="124">
        <v>8.2359000000000009</v>
      </c>
      <c r="P57" s="124">
        <v>8.1260100000000008</v>
      </c>
      <c r="Q57" s="126">
        <v>8.1492299999999993</v>
      </c>
    </row>
    <row r="58" spans="1:17" x14ac:dyDescent="0.2">
      <c r="C58" s="90">
        <f t="array" ref="C58">EXP(AVERAGE(LN(C32:C36)))*EXP(VAR(LN(C32:C36))/2)</f>
        <v>2301.3517680688319</v>
      </c>
      <c r="J58" s="120">
        <v>-1.2463900000000001</v>
      </c>
      <c r="M58" s="124">
        <v>7.8944999999999999</v>
      </c>
      <c r="P58" s="124">
        <v>8.0375399999999999</v>
      </c>
      <c r="Q58" s="126">
        <v>7.7661300000000004</v>
      </c>
    </row>
    <row r="59" spans="1:17" x14ac:dyDescent="0.2">
      <c r="C59" s="90">
        <f t="array" ref="C59">EXP(AVERAGE(LN(C33:C37)))*EXP(VAR(LN(C33:C37))/2)</f>
        <v>2594.6925749766974</v>
      </c>
      <c r="J59" s="120">
        <v>-1.3289899999999999</v>
      </c>
      <c r="M59" s="124">
        <v>8.2622999999999998</v>
      </c>
      <c r="P59" s="124">
        <v>8.0825300000000002</v>
      </c>
      <c r="Q59" s="126">
        <v>8.2104900000000001</v>
      </c>
    </row>
    <row r="60" spans="1:17" ht="13.5" thickBot="1" x14ac:dyDescent="0.25">
      <c r="C60" s="90">
        <f t="array" ref="C60">EXP(AVERAGE(LN(C34:C38)))*EXP(VAR(LN(C34:C38))/2)</f>
        <v>2630.2488693573587</v>
      </c>
      <c r="J60" s="121">
        <v>-2.0394199999999998</v>
      </c>
      <c r="M60" s="125">
        <v>7.7809999999999997</v>
      </c>
      <c r="P60" s="125">
        <v>7.98393</v>
      </c>
      <c r="Q60" s="127">
        <v>7.8006700000000002</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H66"/>
  <sheetViews>
    <sheetView zoomScaleNormal="100" workbookViewId="0">
      <selection activeCell="A8" sqref="A8:XFD10"/>
    </sheetView>
  </sheetViews>
  <sheetFormatPr defaultRowHeight="12.75" x14ac:dyDescent="0.2"/>
  <cols>
    <col min="1" max="1" width="28.42578125" customWidth="1"/>
    <col min="2" max="2" width="10" style="91" customWidth="1"/>
    <col min="3" max="10" width="8.85546875" style="91"/>
    <col min="11" max="11" width="13.28515625" customWidth="1"/>
    <col min="16" max="19" width="9.140625" style="90"/>
  </cols>
  <sheetData>
    <row r="1" spans="1:30" ht="15.75" x14ac:dyDescent="0.25">
      <c r="A1" s="15" t="s">
        <v>113</v>
      </c>
      <c r="L1" s="1"/>
      <c r="M1" s="1"/>
      <c r="N1" s="1"/>
      <c r="O1" s="1"/>
      <c r="P1" s="87"/>
      <c r="Q1" s="87"/>
      <c r="R1" s="87"/>
      <c r="S1" s="87"/>
      <c r="T1" s="1"/>
      <c r="U1" s="1"/>
      <c r="V1" s="7"/>
      <c r="W1" s="7"/>
      <c r="X1" s="7"/>
    </row>
    <row r="2" spans="1:30" ht="15.75" x14ac:dyDescent="0.25">
      <c r="A2" s="15"/>
      <c r="L2" s="1"/>
      <c r="M2" s="1"/>
      <c r="N2" s="1"/>
      <c r="O2" s="1"/>
      <c r="P2" s="87"/>
      <c r="Q2" s="87"/>
      <c r="R2" s="87"/>
      <c r="S2" s="87"/>
      <c r="T2" s="1"/>
      <c r="U2" s="1"/>
      <c r="V2" s="7"/>
      <c r="W2" s="7"/>
      <c r="X2" s="7"/>
    </row>
    <row r="3" spans="1:30" x14ac:dyDescent="0.2">
      <c r="A3" s="2" t="s">
        <v>29</v>
      </c>
      <c r="B3" s="171" t="s">
        <v>30</v>
      </c>
      <c r="C3" s="172"/>
      <c r="D3" s="172"/>
      <c r="E3" s="172"/>
      <c r="F3" s="172"/>
      <c r="G3" s="95"/>
      <c r="H3" s="95"/>
      <c r="J3" s="69" t="s">
        <v>50</v>
      </c>
      <c r="K3" s="5"/>
      <c r="L3" s="174" t="s">
        <v>100</v>
      </c>
      <c r="M3" s="174"/>
      <c r="N3" s="174"/>
      <c r="O3" s="16"/>
      <c r="P3" s="16"/>
      <c r="Q3" s="16"/>
      <c r="R3" s="16"/>
      <c r="S3" s="16"/>
      <c r="T3" s="16"/>
      <c r="U3" s="16"/>
      <c r="V3" s="17"/>
      <c r="W3" s="168" t="s">
        <v>8</v>
      </c>
      <c r="X3" s="169"/>
      <c r="Y3" s="169"/>
      <c r="Z3" s="169"/>
      <c r="AA3" s="169"/>
    </row>
    <row r="4" spans="1:30" x14ac:dyDescent="0.2">
      <c r="A4" s="92" t="s">
        <v>31</v>
      </c>
      <c r="B4" s="83">
        <v>2010</v>
      </c>
      <c r="C4" s="85">
        <v>2011</v>
      </c>
      <c r="D4" s="83">
        <v>2012</v>
      </c>
      <c r="E4" s="85">
        <v>2013</v>
      </c>
      <c r="F4" s="83">
        <v>2014</v>
      </c>
      <c r="G4" s="85">
        <v>2015</v>
      </c>
      <c r="H4" s="85">
        <v>2016</v>
      </c>
      <c r="I4" s="85">
        <v>2017</v>
      </c>
      <c r="J4" s="85">
        <v>2018</v>
      </c>
      <c r="K4" s="18"/>
      <c r="L4" s="19" t="s">
        <v>32</v>
      </c>
      <c r="M4" s="19" t="s">
        <v>33</v>
      </c>
      <c r="N4" s="20" t="s">
        <v>34</v>
      </c>
      <c r="O4" s="20" t="s">
        <v>35</v>
      </c>
      <c r="P4" s="20" t="s">
        <v>103</v>
      </c>
      <c r="Q4" s="20" t="s">
        <v>104</v>
      </c>
      <c r="R4" s="20" t="s">
        <v>105</v>
      </c>
      <c r="S4" s="20" t="s">
        <v>106</v>
      </c>
      <c r="T4" s="20"/>
      <c r="U4" s="20"/>
      <c r="V4" s="7"/>
      <c r="W4" s="57">
        <v>2010</v>
      </c>
      <c r="X4" s="57">
        <v>2011</v>
      </c>
      <c r="Y4" s="58">
        <v>2012</v>
      </c>
      <c r="Z4" s="58">
        <v>2013</v>
      </c>
      <c r="AA4" s="58">
        <v>2014</v>
      </c>
      <c r="AB4" s="58">
        <v>2015</v>
      </c>
      <c r="AC4" s="58">
        <v>2016</v>
      </c>
      <c r="AD4" s="58">
        <v>2017</v>
      </c>
    </row>
    <row r="5" spans="1:30" x14ac:dyDescent="0.2">
      <c r="A5" s="98" t="s">
        <v>40</v>
      </c>
      <c r="B5" s="46">
        <f>'1.2 forecast'!C47</f>
        <v>6794.8667654025803</v>
      </c>
      <c r="C5" s="46">
        <f>'1.2 forecast'!C48</f>
        <v>5121.0454882135919</v>
      </c>
      <c r="D5" s="46">
        <f>'1.2 forecast'!C49</f>
        <v>4578.0873017846698</v>
      </c>
      <c r="E5" s="46">
        <f>'1.2 forecast'!C50</f>
        <v>5904.8239192943702</v>
      </c>
      <c r="F5" s="46">
        <f>'1.2 forecast'!C51</f>
        <v>6457.8588192599036</v>
      </c>
      <c r="G5" s="46">
        <f>'1.2 forecast'!C52</f>
        <v>6166.4676171485062</v>
      </c>
      <c r="H5" s="46">
        <f>'1.2 forecast'!C53</f>
        <v>6675.078408451026</v>
      </c>
      <c r="I5" s="64">
        <f>'1.2 forecast'!C54</f>
        <v>7673.1107208686926</v>
      </c>
      <c r="J5" s="71">
        <f>'1.2 forecast'!C55</f>
        <v>6252.4909008048326</v>
      </c>
      <c r="L5" s="51">
        <f>AVERAGE(ABS(B5-$W$5),ABS(C5-$X$5),ABS(D5-$Y$5),ABS(E5-$Z$5),ABS(F5-$AA$5),ABS(G5-$AB$5),ABS(H5-$AC$5))</f>
        <v>2124.7924908994687</v>
      </c>
      <c r="M5" s="52">
        <f>AVERAGE(ABS(($W$5-B5)/$W$5),ABS(($X$5-C5)/$X$5),ABS(($Y$5-D5)/$Y$5),ABS(($Z$5-E5)/$Z$5),ABS(($AA$5-F5)/$AA$5),ABS(($AB$5-$G$5)/$AB$5),ABS(($AC$5-H5)/$AC$5))</f>
        <v>0.29853336787926482</v>
      </c>
      <c r="N5" s="53">
        <f>AVERAGE((1-B5/$W$5),(1-C5/$X$5),(1-D5/$Y$5),(1-E5/$Z$5),(1-F5/$AA$5),(1-G5/$AB$5),(1-H5/$AC$5))</f>
        <v>5.9720669348437574E-2</v>
      </c>
      <c r="O5" s="53">
        <f>AVERAGE(ABS(($AA$5-F5)/$AA$5),ABS(($AB$5-G5)/$AB$5),ABS(($AC$5-H5)/$AC$5))</f>
        <v>0.20757394610682153</v>
      </c>
      <c r="P5" s="129">
        <f t="array" ref="P5">AVERAGE(ABS(E5:I5-Z$5:AD$5))</f>
        <v>2714.6519723219176</v>
      </c>
      <c r="Q5" s="129">
        <f t="array" ref="Q5">AVERAGE(ABS(G5:I5-AB$5:AD$5))</f>
        <v>3786.0114882387757</v>
      </c>
      <c r="R5" s="165">
        <f t="array" ref="R5">AVERAGE(D5:H5-Y$5:AC$5)</f>
        <v>-1716.6475076809977</v>
      </c>
      <c r="S5" s="165">
        <f t="array" ref="S5">AVERAGE(F5:H5-AA$5:AC$5)</f>
        <v>-1993.0624801018755</v>
      </c>
      <c r="T5" s="21"/>
      <c r="U5" s="21"/>
      <c r="V5" s="22" t="s">
        <v>93</v>
      </c>
      <c r="W5" s="28">
        <f>'1.2 forecast'!C34</f>
        <v>4668.3064426651417</v>
      </c>
      <c r="X5" s="28">
        <f>'1.2 forecast'!C35</f>
        <v>6030.9224262863663</v>
      </c>
      <c r="Y5" s="28">
        <f>'1.2 forecast'!C36</f>
        <v>8809.07371842457</v>
      </c>
      <c r="Z5" s="28">
        <f>'1.2 forecast'!C37</f>
        <v>4277.8876007538311</v>
      </c>
      <c r="AA5" s="28">
        <f>'1.2 forecast'!C38</f>
        <v>7046.1478976126245</v>
      </c>
      <c r="AB5" s="28">
        <f>'1.2 forecast'!C39</f>
        <v>7211.3603991777436</v>
      </c>
      <c r="AC5" s="28">
        <f>'1.2 forecast'!C40</f>
        <v>11021.083988374694</v>
      </c>
      <c r="AD5" s="26">
        <f>'1.2 forecast'!C41</f>
        <v>1705.9746181052706</v>
      </c>
    </row>
    <row r="6" spans="1:30" x14ac:dyDescent="0.2">
      <c r="A6" s="98" t="s">
        <v>58</v>
      </c>
      <c r="B6" s="46">
        <f>'1.2 forecast'!K47</f>
        <v>4105.0779058950484</v>
      </c>
      <c r="C6" s="46">
        <f>'1.2 forecast'!K48</f>
        <v>9145.708208676886</v>
      </c>
      <c r="D6" s="46">
        <f>'1.2 forecast'!K49</f>
        <v>4622.1257624746859</v>
      </c>
      <c r="E6" s="46">
        <f>'1.2 forecast'!K50</f>
        <v>7301.9009693733551</v>
      </c>
      <c r="F6" s="46">
        <f>'1.2 forecast'!K51</f>
        <v>7028.2287699937797</v>
      </c>
      <c r="G6" s="46">
        <f>'1.2 forecast'!K52</f>
        <v>5044.8338568218032</v>
      </c>
      <c r="H6" s="46">
        <f>'1.2 forecast'!K53</f>
        <v>7576.6770605081792</v>
      </c>
      <c r="I6" s="64">
        <f>'1.2 forecast'!K54</f>
        <v>6266.5422109629544</v>
      </c>
      <c r="J6" s="46"/>
      <c r="K6" s="27"/>
      <c r="L6" s="51">
        <f t="shared" ref="L6:L12" si="0">AVERAGE(ABS(B6-$W$5),ABS(C6-$X$5),ABS(D6-$Y$5),ABS(E6-$Z$5),ABS(F6-$AA$5),ABS(G6-$AB$5),ABS(H6-$AC$5))</f>
        <v>2359.6897487959031</v>
      </c>
      <c r="M6" s="52">
        <f t="shared" ref="M6:M12" si="1">AVERAGE(ABS(($W$5-B6)/$W$5),ABS(($X$5-C6)/$X$5),ABS(($Y$5-D6)/$Y$5),ABS(($Z$5-E6)/$Z$5),ABS(($AA$5-F6)/$AA$5),ABS(($AB$5-$G$5)/$AB$5),ABS(($AC$5-H6)/$AC$5))</f>
        <v>0.3256113620300205</v>
      </c>
      <c r="N6" s="53">
        <f t="shared" ref="N6:N12" si="2">AVERAGE((1-B6/$W$5),(1-C6/$X$5),(1-D6/$Y$5),(1-E6/$Z$5),(1-F6/$AA$5),(1-G6/$AB$5),(1-H6/$AC$5))</f>
        <v>-1.7014257638365044E-3</v>
      </c>
      <c r="O6" s="53">
        <f t="shared" ref="O6:O12" si="3">AVERAGE(ABS(($AA$5-F6)/$AA$5),ABS(($AB$5-G6)/$AB$5),ABS(($AC$5-H6)/$AC$5))</f>
        <v>0.20516813732593731</v>
      </c>
      <c r="P6" s="165">
        <f t="array" ref="P6">AVERAGE(ABS(E6:I6-Z$5:AD$5))</f>
        <v>2642.6867118637015</v>
      </c>
      <c r="Q6" s="165">
        <f t="array" ref="Q6">AVERAGE(ABS(G6:I6-AB$5:AD$5))</f>
        <v>3390.5003543600465</v>
      </c>
      <c r="R6" s="165">
        <f t="array" ref="R6">AVERAGE(D6:H6-Y$5:AC$5)</f>
        <v>-1358.357437034332</v>
      </c>
      <c r="S6" s="165">
        <f t="array" ref="S6">AVERAGE(F6:H6-AA$5:AC$5)</f>
        <v>-1876.2841992804333</v>
      </c>
      <c r="T6" s="21"/>
      <c r="U6" s="21"/>
      <c r="V6" s="7" t="s">
        <v>37</v>
      </c>
      <c r="W6" s="31">
        <f>'1.2 forecast'!B34</f>
        <v>29922</v>
      </c>
      <c r="X6" s="31">
        <f>'1.2 forecast'!B35</f>
        <v>17594</v>
      </c>
      <c r="Y6" s="28">
        <f>'1.2 forecast'!B36</f>
        <v>7284</v>
      </c>
      <c r="Z6" s="28">
        <f>'1.2 forecast'!B37</f>
        <v>11641</v>
      </c>
      <c r="AA6" s="28">
        <f>'1.2 forecast'!B38</f>
        <v>18223</v>
      </c>
      <c r="AB6" s="94">
        <f>'1.2 forecast'!B39</f>
        <v>18553</v>
      </c>
      <c r="AC6" s="94">
        <f>'1.2 forecast'!B40</f>
        <v>13952</v>
      </c>
      <c r="AD6" s="26">
        <f>'1.2 forecast'!B41</f>
        <v>18378</v>
      </c>
    </row>
    <row r="7" spans="1:30" x14ac:dyDescent="0.2">
      <c r="A7" s="98" t="s">
        <v>53</v>
      </c>
      <c r="B7" s="46">
        <f>'1.2 forecast'!J47</f>
        <v>3802.0664479507309</v>
      </c>
      <c r="C7" s="46">
        <f>'1.2 forecast'!J48</f>
        <v>7107.6006178571524</v>
      </c>
      <c r="D7" s="46">
        <f>'1.2 forecast'!J49</f>
        <v>5719.7478429397524</v>
      </c>
      <c r="E7" s="46">
        <f>'1.2 forecast'!J50</f>
        <v>6275.9490776656385</v>
      </c>
      <c r="F7" s="46">
        <f>'1.2 forecast'!J51</f>
        <v>7199.2346446514111</v>
      </c>
      <c r="G7" s="46">
        <f>'1.2 forecast'!J52</f>
        <v>5548.8168287248627</v>
      </c>
      <c r="H7" s="46">
        <f>'1.2 forecast'!J53</f>
        <v>6658.5032430751489</v>
      </c>
      <c r="I7" s="64">
        <f>'1.2 forecast'!J54</f>
        <v>6699.7132100984354</v>
      </c>
      <c r="J7" s="64"/>
      <c r="K7" s="27"/>
      <c r="L7" s="51">
        <f t="shared" si="0"/>
        <v>1886.9309430675762</v>
      </c>
      <c r="M7" s="52">
        <f t="shared" si="1"/>
        <v>0.24918723192620393</v>
      </c>
      <c r="N7" s="53">
        <f t="shared" si="2"/>
        <v>7.0760071663275928E-2</v>
      </c>
      <c r="O7" s="53">
        <f t="shared" si="3"/>
        <v>0.21603696817562312</v>
      </c>
      <c r="P7" s="165">
        <f t="array" ref="P7">AVERAGE(ABS(E7:I7-Z$5:AD$5))</f>
        <v>2634.002226339237</v>
      </c>
      <c r="Q7" s="165">
        <f t="array" ref="Q7">AVERAGE(ABS(G7:I7-AB$5:AD$5))</f>
        <v>3672.9543025818639</v>
      </c>
      <c r="R7" s="165">
        <f t="array" ref="R7">AVERAGE(D7:H7-Y$5:AC$5)</f>
        <v>-1392.66039345733</v>
      </c>
      <c r="S7" s="165">
        <f t="array" ref="S7">AVERAGE(F7:H7-AA$5:AC$5)</f>
        <v>-1957.3458562378798</v>
      </c>
      <c r="U7" s="21"/>
      <c r="V7" s="7"/>
      <c r="W7" s="29"/>
      <c r="X7" s="30"/>
      <c r="Y7" s="31"/>
      <c r="Z7" s="31"/>
      <c r="AA7" s="31"/>
      <c r="AB7" s="50"/>
    </row>
    <row r="8" spans="1:30" x14ac:dyDescent="0.2">
      <c r="A8" s="81" t="s">
        <v>36</v>
      </c>
      <c r="B8" s="46">
        <f>'1.2 forecast'!D47</f>
        <v>7282.2212957267557</v>
      </c>
      <c r="C8" s="46">
        <f>'1.2 forecast'!D48</f>
        <v>7606.0854639852932</v>
      </c>
      <c r="D8" s="46">
        <f>'1.2 forecast'!D49</f>
        <v>8122.0120914588497</v>
      </c>
      <c r="E8" s="46">
        <f>'1.2 forecast'!D50</f>
        <v>8365.2369474529896</v>
      </c>
      <c r="F8" s="46">
        <f>'1.2 forecast'!D51</f>
        <v>8553.3976257638915</v>
      </c>
      <c r="G8" s="46">
        <f>'1.2 forecast'!D52</f>
        <v>9791.6458617700227</v>
      </c>
      <c r="H8" s="46">
        <f>'1.2 forecast'!D53</f>
        <v>11972.011046888529</v>
      </c>
      <c r="I8" s="64">
        <f>'1.2 forecast'!D54</f>
        <v>13804.466039351388</v>
      </c>
      <c r="J8" s="71">
        <f>'1.2 forecast'!D55</f>
        <v>7568.2887254312773</v>
      </c>
      <c r="K8" s="27"/>
      <c r="L8" s="51">
        <f t="shared" si="0"/>
        <v>2000.2787305261143</v>
      </c>
      <c r="M8" s="52">
        <f t="shared" si="1"/>
        <v>0.32852179350841831</v>
      </c>
      <c r="N8" s="53">
        <f t="shared" si="2"/>
        <v>-0.33665372405979671</v>
      </c>
      <c r="O8" s="53">
        <f t="shared" si="3"/>
        <v>0.2193340405099202</v>
      </c>
      <c r="P8" s="129">
        <f t="array" ref="P8">AVERAGE(ABS(E8:I8-Z$5:AD$5))</f>
        <v>4244.8606034405311</v>
      </c>
      <c r="Q8" s="129">
        <f t="array" ref="Q8">AVERAGE(ABS(G8:I8-AB$5:AD$5))</f>
        <v>5209.90131411741</v>
      </c>
      <c r="R8" s="165">
        <f t="array" ref="R8">AVERAGE(D8:H8-Y$5:AC$5)</f>
        <v>1687.7499937981636</v>
      </c>
      <c r="S8" s="165">
        <f t="array" ref="S8">AVERAGE(F8:H8-AA$5:AC$5)</f>
        <v>1679.4874164191269</v>
      </c>
      <c r="T8" s="21"/>
      <c r="U8" s="21"/>
      <c r="V8" s="7"/>
      <c r="W8" s="7"/>
      <c r="X8" s="7"/>
    </row>
    <row r="9" spans="1:30" x14ac:dyDescent="0.2">
      <c r="A9" s="81" t="s">
        <v>38</v>
      </c>
      <c r="B9" s="46">
        <f>'1.2 forecast'!F47</f>
        <v>4666.5663103966172</v>
      </c>
      <c r="C9" s="46">
        <f>'1.2 forecast'!F48</f>
        <v>8048.4864792752951</v>
      </c>
      <c r="D9" s="46">
        <f>'1.2 forecast'!F49</f>
        <v>8877.3146430535689</v>
      </c>
      <c r="E9" s="46">
        <f>'1.2 forecast'!F50</f>
        <v>9112.6507098945458</v>
      </c>
      <c r="F9" s="46">
        <f>'1.2 forecast'!F51</f>
        <v>9264.0592029345116</v>
      </c>
      <c r="G9" s="46">
        <f>'1.2 forecast'!F52</f>
        <v>9935.3943557224229</v>
      </c>
      <c r="H9" s="46">
        <f>'1.2 forecast'!F53</f>
        <v>10595.507708816116</v>
      </c>
      <c r="I9" s="64">
        <f>'1.2 forecast'!F54</f>
        <v>10961.169345251727</v>
      </c>
      <c r="J9" s="71">
        <f>'1.2 forecast'!F55</f>
        <v>7939.5069054406058</v>
      </c>
      <c r="K9" s="138"/>
      <c r="L9" s="51">
        <f t="shared" si="0"/>
        <v>1755.6899657789015</v>
      </c>
      <c r="M9" s="52">
        <f t="shared" si="1"/>
        <v>0.28158725436197518</v>
      </c>
      <c r="N9" s="53">
        <f t="shared" si="2"/>
        <v>-0.30371177896169294</v>
      </c>
      <c r="O9" s="53">
        <f t="shared" si="3"/>
        <v>0.2437087039484197</v>
      </c>
      <c r="P9" s="129">
        <f t="array" ref="P9">AVERAGE(ABS(E9:I9-Z$5:AD$5))</f>
        <v>3891.4958755424623</v>
      </c>
      <c r="Q9" s="129">
        <f t="array" ref="Q9">AVERAGE(ABS(G9:I9-AB$5:AD$5))</f>
        <v>4134.9349877499044</v>
      </c>
      <c r="R9" s="165">
        <f t="array" ref="R9">AVERAGE(D9:H9-Y$5:AC$5)</f>
        <v>1883.8746032155407</v>
      </c>
      <c r="S9" s="165">
        <f t="array" ref="S9">AVERAGE(F9:H9-AA$5:AC$5)</f>
        <v>1505.4563274359962</v>
      </c>
      <c r="T9" s="21"/>
      <c r="U9" s="21"/>
      <c r="V9" s="7"/>
      <c r="W9" s="7"/>
      <c r="X9" s="7"/>
    </row>
    <row r="10" spans="1:30" x14ac:dyDescent="0.2">
      <c r="A10" s="81" t="s">
        <v>39</v>
      </c>
      <c r="B10" s="46">
        <f>'1.2 forecast'!G47</f>
        <v>7611.5490986473733</v>
      </c>
      <c r="C10" s="46">
        <f>'1.2 forecast'!G48</f>
        <v>7561.2775959763076</v>
      </c>
      <c r="D10" s="46">
        <f>'1.2 forecast'!G49</f>
        <v>4714.2564136382998</v>
      </c>
      <c r="E10" s="46">
        <f>'1.2 forecast'!G50</f>
        <v>6444.6144172542172</v>
      </c>
      <c r="F10" s="46">
        <f>'1.2 forecast'!G51</f>
        <v>7624.832171354572</v>
      </c>
      <c r="G10" s="46">
        <f>'1.2 forecast'!G52</f>
        <v>7654.6990352654666</v>
      </c>
      <c r="H10" s="46">
        <f>'1.2 forecast'!G53</f>
        <v>7000.8306765289626</v>
      </c>
      <c r="I10" s="64">
        <f>'1.2 forecast'!G54</f>
        <v>7639.1525423346848</v>
      </c>
      <c r="J10" s="71">
        <f>'1.2 forecast'!G55</f>
        <v>6915.9870761265638</v>
      </c>
      <c r="K10" s="27"/>
      <c r="L10" s="51">
        <f t="shared" si="0"/>
        <v>2253.9168812334615</v>
      </c>
      <c r="M10" s="52">
        <f t="shared" si="1"/>
        <v>0.34962309699203026</v>
      </c>
      <c r="N10" s="53">
        <f t="shared" si="2"/>
        <v>-0.10067223233492024</v>
      </c>
      <c r="O10" s="53">
        <f t="shared" si="3"/>
        <v>0.16946131747954465</v>
      </c>
      <c r="P10" s="129">
        <f t="array" ref="P10">AVERAGE(ABS(E10:I10-Z$5:AD$5))</f>
        <v>2628.4361924810405</v>
      </c>
      <c r="Q10" s="129">
        <f t="array" ref="Q10">AVERAGE(ABS(G10:I10-AB$5:AD$5))</f>
        <v>3465.5899573876231</v>
      </c>
      <c r="R10" s="165">
        <f t="array" ref="R10">AVERAGE(D10:H10-Y$5:AC$5)</f>
        <v>-985.26417806038899</v>
      </c>
      <c r="S10" s="165">
        <f t="array" ref="S10">AVERAGE(F10:H10-AA$5:AC$5)</f>
        <v>-999.4101340053536</v>
      </c>
      <c r="U10" s="21"/>
      <c r="V10" s="24"/>
      <c r="W10" s="24"/>
      <c r="X10" s="25"/>
      <c r="Y10" s="26"/>
    </row>
    <row r="11" spans="1:30" x14ac:dyDescent="0.2">
      <c r="A11" s="98" t="s">
        <v>57</v>
      </c>
      <c r="B11" s="46">
        <f>'1.2 forecast'!H47</f>
        <v>10129.530374777807</v>
      </c>
      <c r="C11" s="46">
        <f>'1.2 forecast'!H48</f>
        <v>9983.2031505040723</v>
      </c>
      <c r="D11" s="46">
        <f>'1.2 forecast'!H49</f>
        <v>10653.920375877828</v>
      </c>
      <c r="E11" s="46">
        <f>'1.2 forecast'!H50</f>
        <v>4519.9465197723111</v>
      </c>
      <c r="F11" s="46">
        <f>'1.2 forecast'!H51</f>
        <v>3848.8459467213556</v>
      </c>
      <c r="G11" s="46">
        <f>'1.2 forecast'!H52</f>
        <v>7293.3613661762911</v>
      </c>
      <c r="H11" s="46">
        <f>'1.2 forecast'!H53</f>
        <v>8449.0288100748239</v>
      </c>
      <c r="I11" s="64">
        <f>'1.2 forecast'!H54</f>
        <v>6330.0166543186206</v>
      </c>
      <c r="J11" s="46"/>
      <c r="K11" s="27"/>
      <c r="L11" s="51">
        <f t="shared" si="0"/>
        <v>2478.8240469988277</v>
      </c>
      <c r="M11" s="52">
        <f t="shared" si="1"/>
        <v>0.417604844024968</v>
      </c>
      <c r="N11" s="53">
        <f t="shared" si="2"/>
        <v>-0.20220370923167477</v>
      </c>
      <c r="O11" s="53">
        <f t="shared" si="3"/>
        <v>0.23283763522666348</v>
      </c>
      <c r="P11" s="165">
        <f t="array" ref="P11">AVERAGE(ABS(E11:I11-Z$5:AD$5))</f>
        <v>2143.491810284303</v>
      </c>
      <c r="Q11" s="165">
        <f t="array" ref="Q11">AVERAGE(ABS(G11:I11-AB$5:AD$5))</f>
        <v>2426.0327271705892</v>
      </c>
      <c r="R11" s="165">
        <f t="array" ref="R11">AVERAGE(D11:H11-Y$5:AC$5)</f>
        <v>-720.09011714417079</v>
      </c>
      <c r="S11" s="165">
        <f t="array" ref="S11">AVERAGE(F11:H11-AA$5:AC$5)</f>
        <v>-1895.7853873975303</v>
      </c>
      <c r="T11" s="21"/>
      <c r="U11" s="21"/>
      <c r="V11" s="24"/>
      <c r="W11" s="24"/>
      <c r="X11" s="25"/>
      <c r="Y11" s="26"/>
    </row>
    <row r="12" spans="1:30" x14ac:dyDescent="0.2">
      <c r="A12" s="99" t="s">
        <v>42</v>
      </c>
      <c r="B12" s="46">
        <f>'1.2 forecast'!I47</f>
        <v>9313.965657310313</v>
      </c>
      <c r="C12" s="46">
        <f>'1.2 forecast'!I48</f>
        <v>10773.441614574323</v>
      </c>
      <c r="D12" s="46">
        <f>'1.2 forecast'!I49</f>
        <v>10326.546759374743</v>
      </c>
      <c r="E12" s="46">
        <f>'1.2 forecast'!I50</f>
        <v>4378.4735621942509</v>
      </c>
      <c r="F12" s="64">
        <f>'1.2 forecast'!I51</f>
        <v>4195.7132498382416</v>
      </c>
      <c r="G12" s="64">
        <f>'1.2 forecast'!I52</f>
        <v>6995.9018842195683</v>
      </c>
      <c r="H12" s="64">
        <f>'1.2 forecast'!I53</f>
        <v>8631.182356030502</v>
      </c>
      <c r="I12" s="64">
        <f>'1.2 forecast'!I54</f>
        <v>6140.9095549087469</v>
      </c>
      <c r="J12" s="64"/>
      <c r="K12" s="23"/>
      <c r="L12" s="51">
        <f t="shared" si="0"/>
        <v>2351.7188857714959</v>
      </c>
      <c r="M12" s="52">
        <f t="shared" si="1"/>
        <v>0.39193898432009799</v>
      </c>
      <c r="N12" s="53">
        <f t="shared" si="2"/>
        <v>-0.18943250706744566</v>
      </c>
      <c r="O12" s="53">
        <f t="shared" si="3"/>
        <v>0.2170879359659911</v>
      </c>
      <c r="P12" s="165">
        <f t="array" ref="P12">AVERAGE(ABS(E12:I12-Z$5:AD$5))</f>
        <v>1998.2631386641292</v>
      </c>
      <c r="Q12" s="165">
        <f t="array" ref="Q12">AVERAGE(ABS(G12:I12-AB$5:AD$5))</f>
        <v>2346.7650280352814</v>
      </c>
      <c r="R12" s="165">
        <f t="array" ref="R12">AVERAGE(D12:H12-Y$5:AC$5)</f>
        <v>-767.54715853723133</v>
      </c>
      <c r="S12" s="165">
        <f t="array" ref="S12">AVERAGE(F12:H12-AA$5:AC$5)</f>
        <v>-1818.5982650255835</v>
      </c>
      <c r="T12" s="21"/>
    </row>
    <row r="13" spans="1:30" s="90" customFormat="1" x14ac:dyDescent="0.2">
      <c r="A13" s="132" t="s">
        <v>110</v>
      </c>
      <c r="B13" s="46">
        <f t="array" ref="B13:I14">TRANSPOSE('1.2 forecast'!L47:M54)</f>
        <v>5020.7846366249933</v>
      </c>
      <c r="C13" s="46">
        <v>4088.51109671944</v>
      </c>
      <c r="D13" s="46">
        <v>3795.6213553185412</v>
      </c>
      <c r="E13" s="46">
        <v>5020.6677189384682</v>
      </c>
      <c r="F13" s="64">
        <v>6180.9615196473242</v>
      </c>
      <c r="G13" s="64">
        <v>5952.9316146913834</v>
      </c>
      <c r="H13" s="64">
        <v>6493.8531338878893</v>
      </c>
      <c r="I13" s="64">
        <v>7326.0617724732938</v>
      </c>
      <c r="J13" s="135">
        <f>'1.2 forecast'!L55</f>
        <v>5275.6872304755689</v>
      </c>
      <c r="K13" s="23"/>
      <c r="L13" s="51">
        <f>AVERAGE(ABS(B13-$W$5),ABS(C13-$X$5),ABS(D13-$Y$5),ABS(E13-$Z$5),ABS(F13-$AA$5),ABS(G13-$AB$5),ABS(H13-$AC$5))</f>
        <v>2100.2811459651298</v>
      </c>
      <c r="M13" s="52">
        <f t="shared" ref="M13:M14" si="4">AVERAGE(ABS(($W$5-B13)/$W$5),ABS(($X$5-C13)/$X$5),ABS(($Y$5-D13)/$Y$5),ABS(($Z$5-E13)/$Z$5),ABS(($AA$5-F13)/$AA$5),ABS(($AB$5-$G$5)/$AB$5),ABS(($AC$5-H13)/$AC$5))</f>
        <v>0.25982842771626513</v>
      </c>
      <c r="N13" s="53">
        <f t="shared" ref="N13:N14" si="5">AVERAGE((1-B13/$W$5),(1-C13/$X$5),(1-D13/$Y$5),(1-E13/$Z$5),(1-F13/$AA$5),(1-G13/$AB$5),(1-H13/$AC$5))</f>
        <v>0.19287658902055377</v>
      </c>
      <c r="O13" s="53">
        <f t="shared" ref="O13:O14" si="6">AVERAGE(ABS(($AA$5-F13)/$AA$5),ABS(($AB$5-G13)/$AB$5),ABS(($AC$5-H13)/$AC$5))</f>
        <v>0.23602469575236762</v>
      </c>
      <c r="P13" s="136">
        <f t="array" ref="P13">AVERAGE(ABS(E13:I13-Z$5:AD$5))</f>
        <v>2602.7426578982254</v>
      </c>
      <c r="Q13" s="129">
        <f t="array" ref="Q13">AVERAGE(ABS(G13:I13-AB$5:AD$5))</f>
        <v>3801.9155977803962</v>
      </c>
      <c r="R13" s="165">
        <f t="array" ref="R13">AVERAGE(D13:H13-Y$5:AC$5)</f>
        <v>-2184.3036523719716</v>
      </c>
      <c r="S13" s="165">
        <f t="array" ref="S13">AVERAGE(F13:H13-AA$5:AC$5)</f>
        <v>-2216.9486723128216</v>
      </c>
      <c r="T13" s="21"/>
    </row>
    <row r="14" spans="1:30" s="90" customFormat="1" x14ac:dyDescent="0.2">
      <c r="A14" s="132" t="s">
        <v>109</v>
      </c>
      <c r="B14" s="46">
        <v>6301.371519059202</v>
      </c>
      <c r="C14" s="46">
        <v>4785.5348690574101</v>
      </c>
      <c r="D14" s="46">
        <v>4318.2313839906892</v>
      </c>
      <c r="E14" s="46">
        <v>5714.7378914370183</v>
      </c>
      <c r="F14" s="64">
        <v>6354.1253591510276</v>
      </c>
      <c r="G14" s="64">
        <v>6084.7581268070207</v>
      </c>
      <c r="H14" s="64">
        <v>6612.7577742809926</v>
      </c>
      <c r="I14" s="64">
        <v>7554.8084631939628</v>
      </c>
      <c r="J14" s="71" t="e">
        <f>'1.2 forecast'!M55</f>
        <v>#VALUE!</v>
      </c>
      <c r="K14" s="23"/>
      <c r="L14" s="51">
        <f t="shared" ref="L14" si="7">AVERAGE(ABS(B14-$W$5),ABS(C14-$X$5),ABS(D14-$Y$5),ABS(E14-$Z$5),ABS(F14-$AA$5),ABS(G14-$AB$5),ABS(H14-$AC$5))</f>
        <v>2147.5851833808724</v>
      </c>
      <c r="M14" s="52">
        <f t="shared" si="4"/>
        <v>0.29215632273857445</v>
      </c>
      <c r="N14" s="53">
        <f t="shared" si="5"/>
        <v>9.7861258935886236E-2</v>
      </c>
      <c r="O14" s="53">
        <f t="shared" si="6"/>
        <v>0.21814306150945892</v>
      </c>
      <c r="P14" s="129">
        <f t="array" ref="P14">AVERAGE(ABS(E14:I14-Z$5:AD$5))</f>
        <v>2702.5270321395801</v>
      </c>
      <c r="Q14" s="129">
        <f t="array" ref="Q14">AVERAGE(ABS(G14:I14-AB$5:AD$5))</f>
        <v>3794.5874438510386</v>
      </c>
      <c r="R14" s="165">
        <f t="array" ref="R14">AVERAGE(D14:H14-Y$5:AC$5)</f>
        <v>-1856.1886137353431</v>
      </c>
      <c r="S14" s="165">
        <f t="array" ref="S14">AVERAGE(F14:H14-AA$5:AC$5)</f>
        <v>-2075.6503416420069</v>
      </c>
      <c r="T14" s="21"/>
    </row>
    <row r="15" spans="1:30" x14ac:dyDescent="0.2">
      <c r="I15" s="9"/>
    </row>
    <row r="16" spans="1:30" x14ac:dyDescent="0.2">
      <c r="A16" s="2" t="s">
        <v>45</v>
      </c>
      <c r="B16" s="171" t="s">
        <v>30</v>
      </c>
      <c r="C16" s="171"/>
      <c r="D16" s="171"/>
      <c r="E16" s="171"/>
      <c r="F16" s="171"/>
      <c r="G16" s="69"/>
      <c r="H16" s="69"/>
      <c r="J16" s="69" t="s">
        <v>50</v>
      </c>
      <c r="K16" s="35"/>
      <c r="L16" s="173" t="s">
        <v>100</v>
      </c>
      <c r="M16" s="173"/>
      <c r="N16" s="173"/>
      <c r="O16" s="16"/>
      <c r="P16" s="16"/>
      <c r="Q16" s="16"/>
      <c r="R16" s="16"/>
      <c r="S16" s="16"/>
      <c r="W16" s="168" t="s">
        <v>8</v>
      </c>
      <c r="X16" s="169"/>
      <c r="Y16" s="169"/>
      <c r="Z16" s="169"/>
      <c r="AA16" s="169"/>
    </row>
    <row r="17" spans="1:30" x14ac:dyDescent="0.2">
      <c r="A17" s="3" t="s">
        <v>31</v>
      </c>
      <c r="B17" s="85">
        <v>2010</v>
      </c>
      <c r="C17" s="83">
        <v>2011</v>
      </c>
      <c r="D17" s="85">
        <v>2012</v>
      </c>
      <c r="E17" s="83">
        <v>2013</v>
      </c>
      <c r="F17" s="85">
        <v>2014</v>
      </c>
      <c r="G17" s="85">
        <v>2015</v>
      </c>
      <c r="H17" s="85">
        <v>2016</v>
      </c>
      <c r="I17" s="85">
        <v>2017</v>
      </c>
      <c r="J17" s="85">
        <v>2018</v>
      </c>
      <c r="K17" s="36"/>
      <c r="L17" s="19" t="s">
        <v>32</v>
      </c>
      <c r="M17" s="19" t="s">
        <v>33</v>
      </c>
      <c r="N17" s="20" t="s">
        <v>34</v>
      </c>
      <c r="O17" s="20" t="s">
        <v>35</v>
      </c>
      <c r="P17" s="20" t="s">
        <v>103</v>
      </c>
      <c r="Q17" s="20" t="s">
        <v>104</v>
      </c>
      <c r="R17" s="20" t="s">
        <v>105</v>
      </c>
      <c r="S17" s="20" t="s">
        <v>106</v>
      </c>
      <c r="V17" s="20" t="s">
        <v>13</v>
      </c>
      <c r="W17" s="57">
        <v>2010</v>
      </c>
      <c r="X17" s="57">
        <v>2011</v>
      </c>
      <c r="Y17" s="58">
        <v>2012</v>
      </c>
      <c r="Z17" s="58">
        <v>2013</v>
      </c>
      <c r="AA17" s="58">
        <v>2014</v>
      </c>
      <c r="AB17" s="58">
        <v>2015</v>
      </c>
      <c r="AC17" s="58">
        <v>2016</v>
      </c>
      <c r="AD17" s="58">
        <v>2017</v>
      </c>
    </row>
    <row r="18" spans="1:30" x14ac:dyDescent="0.2">
      <c r="A18" s="101" t="s">
        <v>40</v>
      </c>
      <c r="B18" s="84">
        <f>'1.3 forecast'!C45</f>
        <v>14165.21962227012</v>
      </c>
      <c r="C18" s="46">
        <f>'1.3 forecast'!C46</f>
        <v>12124.965929785487</v>
      </c>
      <c r="D18" s="84">
        <f>'1.3 forecast'!C47</f>
        <v>10778.301427799606</v>
      </c>
      <c r="E18" s="46">
        <f>'1.3 forecast'!C48</f>
        <v>8196.1349033619663</v>
      </c>
      <c r="F18" s="84">
        <f>'1.3 forecast'!C49</f>
        <v>9799.0536656872628</v>
      </c>
      <c r="G18" s="84">
        <f>'1.3 forecast'!C50</f>
        <v>10607.66677954618</v>
      </c>
      <c r="H18" s="51">
        <f>'1.3 forecast'!C51</f>
        <v>10039.232014661349</v>
      </c>
      <c r="I18" s="64">
        <f>'1.3 forecast'!C52</f>
        <v>8936.5637266257945</v>
      </c>
      <c r="J18" s="135">
        <f>'1.3 forecast'!C53</f>
        <v>9978.3779772217476</v>
      </c>
      <c r="K18" s="36"/>
      <c r="L18" s="51">
        <f>AVERAGE(ABS(B18-$W$18),ABS(C18-$X$18),ABS(D18-$Y$18),ABS(E18-$Z$18),ABS(F18-$AA$18),ABS(G18-$AB$18),ABS(H18-$AC$18))</f>
        <v>2828.2722703217701</v>
      </c>
      <c r="M18" s="52">
        <f>AVERAGE(ABS(($W$18-B18)/$W$18),ABS(($X$18-C18)/$X$18),ABS(($Y$18-D18)/$Y$18),ABS(($Z$18-E18)/$Z$18),ABS(($AA$18-F18)/$AA$18),ABS(($AB$18-G18)/$AB$18),ABS(($AC$18-H18)/$AC$18))</f>
        <v>0.39991162024203808</v>
      </c>
      <c r="N18" s="53">
        <f>AVERAGE((1-B18/$W$18),(1-C18/$X$18),(1-D18/$Y$18),(1-E18/$Z$18),(1-F18/$AA$18),(1-G18/$AB$18),(1-H18/$AC$18))</f>
        <v>-0.19386594167911503</v>
      </c>
      <c r="O18" s="53">
        <f>AVERAGE(ABS(($AA$18-F18)/$AA$18),ABS(($AB$18-G18)/$AB$18),ABS(($AC$18-H18)/$AC$18))</f>
        <v>0.22317093354080356</v>
      </c>
      <c r="P18" s="136">
        <f t="array" ref="P18">AVERAGE(ABS(E18:I18-Z$18:AD$18))</f>
        <v>1975.7233155808474</v>
      </c>
      <c r="Q18" s="129">
        <f t="array" ref="Q18">AVERAGE(ABS(G18:I18-AB$18:AD$18))</f>
        <v>1233.6667171292622</v>
      </c>
      <c r="R18" s="165">
        <f t="array" ref="R18">AVERAGE(D18:H18-Y$18:AC$18)</f>
        <v>947.5140315854776</v>
      </c>
      <c r="S18" s="165">
        <f t="array" ref="S18">AVERAGE(F18:H18-AA$18:AC$18)</f>
        <v>542.34931930005951</v>
      </c>
      <c r="T18" s="3"/>
      <c r="V18" s="22" t="s">
        <v>92</v>
      </c>
      <c r="W18" s="41">
        <f>'1.3 forecast'!C33</f>
        <v>15605.481536909188</v>
      </c>
      <c r="X18" s="41">
        <f>'1.3 forecast'!C34</f>
        <v>14461.244097439354</v>
      </c>
      <c r="Y18" s="41">
        <f>'1.3 forecast'!C35</f>
        <v>4181.522334695208</v>
      </c>
      <c r="Z18" s="41">
        <f>'1.3 forecast'!C36</f>
        <v>11682.391796439155</v>
      </c>
      <c r="AA18" s="41">
        <f>'1.3 forecast'!C37</f>
        <v>7107.6941322480016</v>
      </c>
      <c r="AB18" s="41">
        <f>'1.3 forecast'!C38</f>
        <v>12763.307712485024</v>
      </c>
      <c r="AC18" s="41">
        <f>'1.3 forecast'!C39</f>
        <v>8947.9026572615876</v>
      </c>
      <c r="AD18" s="26">
        <f>'1.3 forecast'!C40</f>
        <v>9390.5935876749754</v>
      </c>
    </row>
    <row r="19" spans="1:30" x14ac:dyDescent="0.2">
      <c r="A19" s="80" t="s">
        <v>55</v>
      </c>
      <c r="B19" s="46">
        <f>'1.3 forecast'!L45</f>
        <v>8963.3560948974973</v>
      </c>
      <c r="C19" s="46">
        <f>'1.3 forecast'!L46</f>
        <v>18805.412381163638</v>
      </c>
      <c r="D19" s="46">
        <f>'1.3 forecast'!L47</f>
        <v>11865.614992296791</v>
      </c>
      <c r="E19" s="46">
        <f>'1.3 forecast'!L48</f>
        <v>7644.945580307316</v>
      </c>
      <c r="F19" s="46">
        <f>'1.3 forecast'!L49</f>
        <v>17507.768925499666</v>
      </c>
      <c r="G19" s="46">
        <f>'1.3 forecast'!L50</f>
        <v>8274.2205296841603</v>
      </c>
      <c r="H19" s="64">
        <f>'1.3 forecast'!L51</f>
        <v>17811.507212159209</v>
      </c>
      <c r="I19" s="64">
        <f>'1.3 forecast'!L52</f>
        <v>9468.2559174970993</v>
      </c>
      <c r="J19" s="46"/>
      <c r="K19" s="37"/>
      <c r="L19" s="51">
        <f t="shared" ref="L19:L30" si="8">AVERAGE(ABS(B19-$W$18),ABS(C19-$X$18),ABS(D19-$Y$18),ABS(E19-$Z$18),ABS(F19-$AA$18),ABS(G19-$AB$18),ABS(H19-$AC$18))</f>
        <v>6637.2284472027923</v>
      </c>
      <c r="M19" s="52">
        <f>AVERAGE(ABS(($W$18-B19)/$W$18),ABS(($X$18-C19)/$X$18),ABS(($Y$18-D19)/$Y$18),ABS(($Z$18-E19)/$Z$18),ABS(($AA$18-F19)/$AA$18),ABS(($AB$18-G19)/$AB$18),ABS(($AC$18-H19)/$AC$18))</f>
        <v>0.81639580689581004</v>
      </c>
      <c r="N19" s="53">
        <f t="shared" ref="N19:N30" si="9">AVERAGE((1-B19/$W$18),(1-C19/$X$18),(1-D19/$Y$18),(1-E19/$Z$18),(1-F19/$AA$18),(1-G19/$AB$18),(1-H19/$AC$18))</f>
        <v>-0.49555384269871133</v>
      </c>
      <c r="O19" s="53">
        <f t="shared" ref="O19:O30" si="10">AVERAGE(ABS(($AA$18-F19)/$AA$18),ABS(($AB$18-G19)/$AB$18),ABS(($AC$18-H19)/$AC$18))</f>
        <v>0.93517026217169652</v>
      </c>
      <c r="P19" s="165">
        <f t="array" ref="P19">AVERAGE(ABS(E19:I19-Z$18:AD$18))</f>
        <v>5573.5750153808222</v>
      </c>
      <c r="Q19" s="165">
        <f t="array" ref="Q19">AVERAGE(ABS(G19:I19-AB$18:AD$18))</f>
        <v>4476.7846891735362</v>
      </c>
      <c r="R19" s="165">
        <f t="array" ref="R19">AVERAGE(D19:H19-Y$18:AC$18)</f>
        <v>3684.247721363633</v>
      </c>
      <c r="S19" s="165">
        <f t="array" ref="S19">AVERAGE(F19:H19-AA$18:AC$18)</f>
        <v>4924.8640551161407</v>
      </c>
      <c r="V19" s="7" t="s">
        <v>37</v>
      </c>
      <c r="W19" s="42">
        <f>'1.3 forecast'!B33</f>
        <v>36433</v>
      </c>
      <c r="X19" s="13">
        <f>'1.3 forecast'!B34</f>
        <v>29922</v>
      </c>
      <c r="Y19" s="13">
        <f>'1.3 forecast'!B35</f>
        <v>17594</v>
      </c>
      <c r="Z19" s="13">
        <f>'1.3 forecast'!B36</f>
        <v>7284</v>
      </c>
      <c r="AA19" s="13">
        <f>'1.3 forecast'!B37</f>
        <v>11641</v>
      </c>
      <c r="AB19" s="96">
        <f>'1.3 forecast'!B38</f>
        <v>18223</v>
      </c>
      <c r="AC19" s="96">
        <f>'1.3 forecast'!B39</f>
        <v>18553</v>
      </c>
      <c r="AD19" s="26">
        <f>'1.3 forecast'!B40</f>
        <v>13952</v>
      </c>
    </row>
    <row r="20" spans="1:30" x14ac:dyDescent="0.2">
      <c r="A20" s="133" t="str">
        <f>'1.3 forecast'!O54</f>
        <v>5-yr average (ln)</v>
      </c>
      <c r="B20" s="82">
        <f>'1.3 forecast'!O45</f>
        <v>16976.459164199412</v>
      </c>
      <c r="C20" s="82">
        <f>'1.3 forecast'!O46</f>
        <v>13992.955820869291</v>
      </c>
      <c r="D20" s="82">
        <f>'1.3 forecast'!O47</f>
        <v>12137.010628835929</v>
      </c>
      <c r="E20" s="82">
        <f>'1.3 forecast'!O48</f>
        <v>8717.9995813548539</v>
      </c>
      <c r="F20" s="82">
        <f>'1.3 forecast'!O49</f>
        <v>10705.634146371382</v>
      </c>
      <c r="G20" s="82">
        <f>'1.3 forecast'!O50</f>
        <v>11097.352523383246</v>
      </c>
      <c r="H20" s="70">
        <f>'1.3 forecast'!O51</f>
        <v>10440.775678989039</v>
      </c>
      <c r="I20" s="70">
        <f>'1.3 forecast'!O52</f>
        <v>9187.1171797169845</v>
      </c>
      <c r="J20" s="137">
        <f>'1.3 forecast'!O53</f>
        <v>10035.5012884323</v>
      </c>
      <c r="K20" s="87"/>
      <c r="L20" s="51">
        <f t="shared" si="8"/>
        <v>2787.9878054339883</v>
      </c>
      <c r="M20" s="52">
        <f t="shared" ref="M20:M30" si="11">AVERAGE(ABS(($W$18-B20)/$W$18),ABS(($X$18-C20)/$X$18),ABS(($Y$18-D20)/$Y$18),ABS(($Z$18-E20)/$Z$18),ABS(($AA$18-F20)/$AA$18),ABS(($AB$18-G20)/$AB$18),ABS(($AC$18-H20)/$AC$18))</f>
        <v>0.44001261992671831</v>
      </c>
      <c r="N20" s="53">
        <f t="shared" si="9"/>
        <v>-0.32096749068524233</v>
      </c>
      <c r="O20" s="53">
        <f t="shared" si="10"/>
        <v>0.26785700656379247</v>
      </c>
      <c r="P20" s="129">
        <f t="array" ref="P20">AVERAGE(ABS(E20:I20-Z$18:AD$18))</f>
        <v>1984.9273695989802</v>
      </c>
      <c r="Q20" s="129">
        <f t="array" ref="Q20">AVERAGE(ABS(G20:I20-AB$18:AD$18))</f>
        <v>1120.7682062624069</v>
      </c>
      <c r="R20" s="165">
        <f t="array" ref="R20">AVERAGE(D20:H20-Y$18:AC$18)</f>
        <v>1683.1907851610947</v>
      </c>
      <c r="S20" s="165">
        <f t="array" ref="S20">AVERAGE(F20:H20-AA$18:AC$18)</f>
        <v>1141.6192822496844</v>
      </c>
    </row>
    <row r="21" spans="1:30" x14ac:dyDescent="0.2">
      <c r="A21" s="81" t="s">
        <v>46</v>
      </c>
      <c r="B21" s="46">
        <f>'1.3 forecast'!D45</f>
        <v>18504.753313351852</v>
      </c>
      <c r="C21" s="46">
        <f>'1.3 forecast'!D46</f>
        <v>12364.592833743896</v>
      </c>
      <c r="D21" s="46">
        <f>'1.3 forecast'!D47</f>
        <v>14546.371894248341</v>
      </c>
      <c r="E21" s="46">
        <f>'1.3 forecast'!D48</f>
        <v>18994.662820641439</v>
      </c>
      <c r="F21" s="46">
        <f>'1.3 forecast'!D49</f>
        <v>11739.466118405675</v>
      </c>
      <c r="G21" s="46">
        <f>'1.3 forecast'!D50</f>
        <v>16171.919885505506</v>
      </c>
      <c r="H21" s="64">
        <f>'1.3 forecast'!D51</f>
        <v>16436.453092792857</v>
      </c>
      <c r="I21" s="64">
        <f>'1.3 forecast'!D52</f>
        <v>22536.466048115923</v>
      </c>
      <c r="J21" s="71">
        <f>'1.3 forecast'!D53</f>
        <v>7791.949386837432</v>
      </c>
      <c r="K21" s="37"/>
      <c r="L21" s="51">
        <f t="shared" si="8"/>
        <v>5457.4254598004236</v>
      </c>
      <c r="M21" s="52">
        <f t="shared" si="11"/>
        <v>0.74157764490730393</v>
      </c>
      <c r="N21" s="53">
        <f t="shared" si="9"/>
        <v>-0.70015360046393726</v>
      </c>
      <c r="O21" s="53">
        <f t="shared" si="10"/>
        <v>0.58520837225319244</v>
      </c>
      <c r="P21" s="129">
        <f t="array" ref="P21">AVERAGE(ABS(E21:I21-Z$18:AD$18))</f>
        <v>7197.41561587053</v>
      </c>
      <c r="Q21" s="129">
        <f t="array" ref="Q21">AVERAGE(ABS(G21:I21-AB$18:AD$18))</f>
        <v>8014.345022997567</v>
      </c>
      <c r="R21" s="165">
        <f t="array" ref="R21">AVERAGE(D21:H21-Y$18:AC$18)</f>
        <v>6641.2110356929679</v>
      </c>
      <c r="S21" s="165">
        <f t="array" ref="S21">AVERAGE(F21:H21-AA$18:AC$18)</f>
        <v>5176.3115315698078</v>
      </c>
    </row>
    <row r="22" spans="1:30" x14ac:dyDescent="0.2">
      <c r="A22" s="98" t="s">
        <v>61</v>
      </c>
      <c r="B22" s="46">
        <f>'1.3 forecast'!E45</f>
        <v>18093.39504861473</v>
      </c>
      <c r="C22" s="46">
        <f>'1.3 forecast'!E46</f>
        <v>9452.7109302446243</v>
      </c>
      <c r="D22" s="46">
        <f>'1.3 forecast'!E47</f>
        <v>12522.999360083335</v>
      </c>
      <c r="E22" s="46">
        <f>'1.3 forecast'!E48</f>
        <v>18782.815677462197</v>
      </c>
      <c r="F22" s="46">
        <f>'1.3 forecast'!E49</f>
        <v>8573.00713436978</v>
      </c>
      <c r="G22" s="46">
        <f>'1.3 forecast'!E50</f>
        <v>14810.536755620758</v>
      </c>
      <c r="H22" s="64">
        <f>'1.3 forecast'!E51</f>
        <v>15182.79866808714</v>
      </c>
      <c r="I22" s="64">
        <f>'1.3 forecast'!E52</f>
        <v>23766.985553749328</v>
      </c>
      <c r="J22" s="71">
        <f>'1.3 forecast'!E53</f>
        <v>3113.9265604950319</v>
      </c>
      <c r="K22" s="37"/>
      <c r="L22" s="51">
        <f t="shared" si="8"/>
        <v>4669.3979487706429</v>
      </c>
      <c r="M22" s="52">
        <f t="shared" si="11"/>
        <v>0.59596515547233964</v>
      </c>
      <c r="N22" s="53">
        <f t="shared" si="9"/>
        <v>-0.49701035831247831</v>
      </c>
      <c r="O22" s="53">
        <f t="shared" si="10"/>
        <v>0.35445266152937999</v>
      </c>
      <c r="P22" s="129">
        <f t="array" ref="P22">AVERAGE(ABS(E22:I22-Z$18:AD$18))</f>
        <v>6244.8507806360922</v>
      </c>
      <c r="Q22" s="129">
        <f t="array" ref="Q22">AVERAGE(ABS(G22:I22-AB$18:AD$18))</f>
        <v>7552.839006678546</v>
      </c>
      <c r="R22" s="165">
        <f t="array" ref="R22">AVERAGE(D22:H22-Y$18:AC$18)</f>
        <v>5037.867792498846</v>
      </c>
      <c r="S22" s="165">
        <f t="array" ref="S22">AVERAGE(F22:H22-AA$18:AC$18)</f>
        <v>3249.146018694355</v>
      </c>
    </row>
    <row r="23" spans="1:30" x14ac:dyDescent="0.2">
      <c r="A23" s="98" t="s">
        <v>47</v>
      </c>
      <c r="B23" s="46">
        <f>'1.3 forecast'!F45</f>
        <v>17580.357991566161</v>
      </c>
      <c r="C23" s="46">
        <f>'1.3 forecast'!F46</f>
        <v>10424.084008052881</v>
      </c>
      <c r="D23" s="46">
        <f>'1.3 forecast'!F47</f>
        <v>13031.220068322042</v>
      </c>
      <c r="E23" s="46">
        <f>'1.3 forecast'!F48</f>
        <v>18130.497900500737</v>
      </c>
      <c r="F23" s="46">
        <f>'1.3 forecast'!F49</f>
        <v>9659.9918730682457</v>
      </c>
      <c r="G23" s="46">
        <f>'1.3 forecast'!F50</f>
        <v>14923.812702131203</v>
      </c>
      <c r="H23" s="64">
        <f>'1.3 forecast'!F51</f>
        <v>15228.36209363898</v>
      </c>
      <c r="I23" s="64">
        <f>'1.3 forecast'!F52</f>
        <v>22040.159900786766</v>
      </c>
      <c r="J23" s="71">
        <f>'1.3 forecast'!F53</f>
        <v>4466.3926350769061</v>
      </c>
      <c r="K23" s="37"/>
      <c r="L23" s="51">
        <f t="shared" si="8"/>
        <v>4614.7289355108105</v>
      </c>
      <c r="M23" s="52">
        <f t="shared" si="11"/>
        <v>0.61490139020277534</v>
      </c>
      <c r="N23" s="53">
        <f t="shared" si="9"/>
        <v>-0.53513824510397134</v>
      </c>
      <c r="O23" s="53">
        <f t="shared" si="10"/>
        <v>0.41008530068156474</v>
      </c>
      <c r="P23" s="129">
        <f t="array" ref="P23">AVERAGE(ABS(E23:I23-Z$18:AD$18))</f>
        <v>6018.1869168034373</v>
      </c>
      <c r="Q23" s="129">
        <f t="array" ref="Q23">AVERAGE(ABS(G23:I23-AB$18:AD$18))</f>
        <v>7030.1769130451212</v>
      </c>
      <c r="R23" s="165">
        <f t="array" ref="R23">AVERAGE(D23:H23-Y$18:AC$18)</f>
        <v>5258.2132009064462</v>
      </c>
      <c r="S23" s="165">
        <f t="array" ref="S23">AVERAGE(F23:H23-AA$18:AC$18)</f>
        <v>3664.4207222812715</v>
      </c>
    </row>
    <row r="24" spans="1:30" x14ac:dyDescent="0.2">
      <c r="A24" s="98" t="s">
        <v>62</v>
      </c>
      <c r="B24" s="46">
        <f>'1.3 forecast'!G45</f>
        <v>16767.383450107627</v>
      </c>
      <c r="C24" s="46">
        <f>'1.3 forecast'!G46</f>
        <v>8982.5767417962743</v>
      </c>
      <c r="D24" s="46">
        <f>'1.3 forecast'!G47</f>
        <v>11726.605599472116</v>
      </c>
      <c r="E24" s="46">
        <f>'1.3 forecast'!G48</f>
        <v>17395.851637392261</v>
      </c>
      <c r="F24" s="46">
        <f>'1.3 forecast'!G49</f>
        <v>8202.0105192527044</v>
      </c>
      <c r="G24" s="46">
        <f>'1.3 forecast'!G50</f>
        <v>13788.042045605102</v>
      </c>
      <c r="H24" s="64">
        <f>'1.3 forecast'!G51</f>
        <v>14124.709791501255</v>
      </c>
      <c r="I24" s="64">
        <f>'1.3 forecast'!G52</f>
        <v>21964.295114127555</v>
      </c>
      <c r="J24" s="71">
        <f>'1.3 forecast'!G53</f>
        <v>3287.8225582604919</v>
      </c>
      <c r="K24" s="37"/>
      <c r="L24" s="51">
        <f t="shared" si="8"/>
        <v>3884.9957469908541</v>
      </c>
      <c r="M24" s="52">
        <f t="shared" si="11"/>
        <v>0.50850837343890232</v>
      </c>
      <c r="N24" s="53">
        <f t="shared" si="9"/>
        <v>-0.40026502178557472</v>
      </c>
      <c r="O24" s="53">
        <f t="shared" si="10"/>
        <v>0.27093317525844413</v>
      </c>
      <c r="P24" s="129">
        <f t="array" ref="P24">AVERAGE(ABS(E24:I24-Z$18:AD$18))</f>
        <v>5116.6038443540265</v>
      </c>
      <c r="Q24" s="129">
        <f t="array" ref="Q24">AVERAGE(ABS(G24:I24-AB$18:AD$18))</f>
        <v>6258.4143312707747</v>
      </c>
      <c r="R24" s="165">
        <f t="array" ref="R24">AVERAGE(D24:H24-Y$18:AC$18)</f>
        <v>4110.8801920188926</v>
      </c>
      <c r="S24" s="165">
        <f t="array" ref="S24">AVERAGE(F24:H24-AA$18:AC$18)</f>
        <v>2431.9526181214824</v>
      </c>
    </row>
    <row r="25" spans="1:30" x14ac:dyDescent="0.2">
      <c r="A25" s="80" t="s">
        <v>48</v>
      </c>
      <c r="B25" s="46">
        <f>'1.3 forecast'!$M45</f>
        <v>14469.525107811531</v>
      </c>
      <c r="C25" s="46">
        <f>'1.3 forecast'!$M46</f>
        <v>10355.778996293706</v>
      </c>
      <c r="D25" s="46">
        <f>'1.3 forecast'!$M47</f>
        <v>15090.187845082184</v>
      </c>
      <c r="E25" s="46">
        <f>'1.3 forecast'!$M48</f>
        <v>10498.629459925505</v>
      </c>
      <c r="F25" s="46">
        <f>'1.3 forecast'!$M49</f>
        <v>8410.1955098200888</v>
      </c>
      <c r="G25" s="46">
        <f>'1.3 forecast'!$M50</f>
        <v>12755.27256991656</v>
      </c>
      <c r="H25" s="64">
        <f>'1.3 forecast'!$M51</f>
        <v>14292.64002233423</v>
      </c>
      <c r="I25" s="64">
        <f>'1.3 forecast'!$M52</f>
        <v>17446.598844346867</v>
      </c>
      <c r="J25" s="46"/>
      <c r="K25" s="37"/>
      <c r="L25" s="51">
        <f t="shared" si="8"/>
        <v>3427.017608908161</v>
      </c>
      <c r="M25" s="52">
        <f t="shared" si="11"/>
        <v>0.54971327334748066</v>
      </c>
      <c r="N25" s="53">
        <f t="shared" si="9"/>
        <v>-0.41867190750999</v>
      </c>
      <c r="O25" s="53">
        <f t="shared" si="10"/>
        <v>0.26039973200006583</v>
      </c>
      <c r="P25" s="165">
        <f t="array" ref="P25">AVERAGE(ABS(E25:I25-Z$18:AD$18))</f>
        <v>3179.0082956797469</v>
      </c>
      <c r="Q25" s="165">
        <f t="array" ref="Q25">AVERAGE(ABS(G25:I25-AB$18:AD$18))</f>
        <v>4469.5925881043322</v>
      </c>
      <c r="R25" s="165">
        <f t="array" ref="R25">AVERAGE(D25:H25-Y$18:AC$18)</f>
        <v>3272.8213547899186</v>
      </c>
      <c r="S25" s="165">
        <f t="array" ref="S25">AVERAGE(F25:H25-AA$18:AC$18)</f>
        <v>2213.0678666920885</v>
      </c>
    </row>
    <row r="26" spans="1:30" x14ac:dyDescent="0.2">
      <c r="A26" s="80" t="s">
        <v>99</v>
      </c>
      <c r="B26" s="46">
        <f>'1.3 forecast'!$N45</f>
        <v>14524.613905646931</v>
      </c>
      <c r="C26" s="46">
        <f>'1.3 forecast'!$N46</f>
        <v>9356.2514205788393</v>
      </c>
      <c r="D26" s="46">
        <f>'1.3 forecast'!$N47</f>
        <v>13717.120456660596</v>
      </c>
      <c r="E26" s="46">
        <f>'1.3 forecast'!$N48</f>
        <v>12384.487990861753</v>
      </c>
      <c r="F26" s="46">
        <f>'1.3 forecast'!$N49</f>
        <v>7085.4594620933385</v>
      </c>
      <c r="G26" s="46">
        <f>'1.3 forecast'!$N50</f>
        <v>11228.382460468398</v>
      </c>
      <c r="H26" s="64">
        <f>'1.3 forecast'!$N51</f>
        <v>12507.703331548031</v>
      </c>
      <c r="I26" s="64">
        <f>'1.3 forecast'!$N52</f>
        <v>17053.316842347271</v>
      </c>
      <c r="J26" s="46"/>
      <c r="K26" s="37"/>
      <c r="L26" s="51">
        <f t="shared" si="8"/>
        <v>3077.2164601383556</v>
      </c>
      <c r="M26" s="52">
        <f t="shared" si="11"/>
        <v>0.46914444558414975</v>
      </c>
      <c r="N26" s="53">
        <f t="shared" si="9"/>
        <v>-0.31324071007487014</v>
      </c>
      <c r="O26" s="53">
        <f t="shared" si="10"/>
        <v>0.17374178258139072</v>
      </c>
      <c r="P26" s="165">
        <f t="array" ref="P26">AVERAGE(ABS(E26:I26-Z$18:AD$18))</f>
        <v>2696.3560091105255</v>
      </c>
      <c r="Q26" s="165">
        <f t="array" ref="Q26">AVERAGE(ABS(G26:I26-AB$18:AD$18))</f>
        <v>4252.4830603251221</v>
      </c>
      <c r="R26" s="165">
        <f t="array" ref="R26">AVERAGE(D26:H26-Y$18:AC$18)</f>
        <v>2448.0670137006282</v>
      </c>
      <c r="S26" s="165">
        <f t="array" ref="S26">AVERAGE(F26:H26-AA$18:AC$18)</f>
        <v>667.546917371718</v>
      </c>
    </row>
    <row r="27" spans="1:30" x14ac:dyDescent="0.2">
      <c r="A27" s="98" t="s">
        <v>49</v>
      </c>
      <c r="B27" s="46">
        <f>'1.3 forecast'!$H45</f>
        <v>16228.145199612831</v>
      </c>
      <c r="C27" s="46">
        <f>'1.3 forecast'!H46</f>
        <v>8748.8900955131649</v>
      </c>
      <c r="D27" s="46">
        <f>'1.3 forecast'!H47</f>
        <v>11390.70195709884</v>
      </c>
      <c r="E27" s="46">
        <f>'1.3 forecast'!H48</f>
        <v>16830.121516380408</v>
      </c>
      <c r="F27" s="64">
        <f>'1.3 forecast'!$H49</f>
        <v>7995.9976394674777</v>
      </c>
      <c r="G27" s="64">
        <f>'1.3 forecast'!$H50</f>
        <v>13371.11611899025</v>
      </c>
      <c r="H27" s="64">
        <f>'1.3 forecast'!$H51</f>
        <v>13694.253553977456</v>
      </c>
      <c r="I27" s="64">
        <f>'1.3 forecast'!$H52</f>
        <v>21199.81112040305</v>
      </c>
      <c r="J27" s="71">
        <f>'1.3 forecast'!H53</f>
        <v>3189.382471153237</v>
      </c>
      <c r="K27" s="23"/>
      <c r="L27" s="51">
        <f t="shared" si="8"/>
        <v>3562.0556882021838</v>
      </c>
      <c r="M27" s="52">
        <f t="shared" si="11"/>
        <v>0.47180713653707052</v>
      </c>
      <c r="N27" s="53">
        <f t="shared" si="9"/>
        <v>-0.35894678147975717</v>
      </c>
      <c r="O27" s="53">
        <f t="shared" si="10"/>
        <v>0.23434737231596806</v>
      </c>
      <c r="P27" s="129">
        <f t="array" ref="P27">AVERAGE(ABS(E27:I27-Z$18:AD$18))</f>
        <v>4639.8820126219798</v>
      </c>
      <c r="Q27" s="129">
        <f t="array" ref="Q27">AVERAGE(ABS(G27:I27-AB$18:AD$18))</f>
        <v>5721.1256119830568</v>
      </c>
      <c r="R27" s="165">
        <f t="array" ref="R27">AVERAGE(D27:H27-Y$18:AC$18)</f>
        <v>3719.8744305570917</v>
      </c>
      <c r="S27" s="165">
        <f t="array" ref="S27">AVERAGE(F27:H27-AA$18:AC$18)</f>
        <v>2080.8209368135235</v>
      </c>
      <c r="Z27">
        <f>2200/3</f>
        <v>733.33333333333337</v>
      </c>
    </row>
    <row r="28" spans="1:30" x14ac:dyDescent="0.2">
      <c r="A28" s="81" t="s">
        <v>39</v>
      </c>
      <c r="B28" s="46">
        <f>'1.3 forecast'!I45</f>
        <v>15463.577630482512</v>
      </c>
      <c r="C28" s="46">
        <f>'1.3 forecast'!I46</f>
        <v>15877.526275951946</v>
      </c>
      <c r="D28" s="46">
        <f>'1.3 forecast'!I47</f>
        <v>14248.674854600662</v>
      </c>
      <c r="E28" s="64">
        <f>'1.3 forecast'!I48</f>
        <v>8401.1874486630131</v>
      </c>
      <c r="F28" s="64">
        <f>'1.3 forecast'!$I49</f>
        <v>11562.887533863675</v>
      </c>
      <c r="G28" s="64">
        <f>'1.3 forecast'!$I50</f>
        <v>14443.126383213616</v>
      </c>
      <c r="H28" s="64">
        <f>'1.3 forecast'!$I51</f>
        <v>14539.194358753519</v>
      </c>
      <c r="I28" s="64">
        <f>'1.3 forecast'!$I52</f>
        <v>12802.406551087362</v>
      </c>
      <c r="J28" s="71">
        <f>'1.3 forecast'!I53</f>
        <v>14278.730892502273</v>
      </c>
      <c r="K28" s="40"/>
      <c r="L28" s="51">
        <f t="shared" si="8"/>
        <v>3804.6923894938654</v>
      </c>
      <c r="M28" s="52">
        <f t="shared" si="11"/>
        <v>0.59696109217489801</v>
      </c>
      <c r="N28" s="53">
        <f t="shared" si="9"/>
        <v>-0.51411517113961269</v>
      </c>
      <c r="O28" s="53">
        <f t="shared" si="10"/>
        <v>0.46109921319854164</v>
      </c>
      <c r="P28" s="129">
        <f t="array" ref="P28">AVERAGE(ABS(E28:I28-Z$18:AD$18))</f>
        <v>3683.8642170049452</v>
      </c>
      <c r="Q28" s="129">
        <f t="array" ref="Q28">AVERAGE(ABS(G28:I28-AB$18:AD$18))</f>
        <v>3560.9744452109699</v>
      </c>
      <c r="R28" s="165">
        <f t="array" ref="R28">AVERAGE(D28:H28-Y$18:AC$18)</f>
        <v>3702.4503891931017</v>
      </c>
      <c r="S28" s="165">
        <f t="array" ref="S28">AVERAGE(F28:H28-AA$18:AC$18)</f>
        <v>3908.7679246120656</v>
      </c>
    </row>
    <row r="29" spans="1:30" x14ac:dyDescent="0.2">
      <c r="A29" s="80" t="s">
        <v>57</v>
      </c>
      <c r="B29" s="46">
        <f>'1.3 forecast'!K45</f>
        <v>10885.53623720983</v>
      </c>
      <c r="C29" s="46">
        <f>'1.3 forecast'!K46</f>
        <v>18921.786740985975</v>
      </c>
      <c r="D29" s="46">
        <f>'1.3 forecast'!K47</f>
        <v>11998.455519910765</v>
      </c>
      <c r="E29" s="64">
        <f>'1.3 forecast'!K48</f>
        <v>4656.9939359618184</v>
      </c>
      <c r="F29" s="64">
        <f>'1.3 forecast'!$K49</f>
        <v>17207.809978279194</v>
      </c>
      <c r="G29" s="64">
        <f>'1.3 forecast'!$K50</f>
        <v>8993.7917387449306</v>
      </c>
      <c r="H29" s="64">
        <f>'1.3 forecast'!$K51</f>
        <v>16861.30751791894</v>
      </c>
      <c r="I29" s="64">
        <f>'1.3 forecast'!$K52</f>
        <v>9019.4455855299111</v>
      </c>
      <c r="J29" s="64"/>
      <c r="K29" s="40"/>
      <c r="L29" s="51">
        <f t="shared" si="8"/>
        <v>6543.693667052501</v>
      </c>
      <c r="M29" s="52">
        <f t="shared" si="11"/>
        <v>0.81177226800651903</v>
      </c>
      <c r="N29" s="53">
        <f t="shared" si="9"/>
        <v>-0.46915490539153609</v>
      </c>
      <c r="O29" s="53">
        <f t="shared" si="10"/>
        <v>0.8669127396223858</v>
      </c>
      <c r="P29" s="165">
        <f t="array" ref="P29">AVERAGE(ABS(E29:I29-Z$18:AD$18))</f>
        <v>5835.9165086102075</v>
      </c>
      <c r="Q29" s="165">
        <f t="array" ref="Q29">AVERAGE(ABS(G29:I29-AB$18:AD$18))</f>
        <v>4018.0229455141703</v>
      </c>
      <c r="R29" s="165">
        <f t="array" ref="R29">AVERAGE(D29:H29-Y$18:AC$18)</f>
        <v>3007.1080115373343</v>
      </c>
      <c r="S29" s="165">
        <f t="array" ref="S29">AVERAGE(F29:H29-AA$18:AC$18)</f>
        <v>4748.0015776494838</v>
      </c>
      <c r="Z29">
        <f>2200-Z27</f>
        <v>1466.6666666666665</v>
      </c>
    </row>
    <row r="30" spans="1:30" x14ac:dyDescent="0.2">
      <c r="A30" s="79" t="s">
        <v>42</v>
      </c>
      <c r="B30" s="46">
        <f>'1.3 forecast'!J45</f>
        <v>7898.9904276770194</v>
      </c>
      <c r="C30" s="46">
        <f>'1.3 forecast'!J46</f>
        <v>16141.82929747472</v>
      </c>
      <c r="D30" s="46">
        <f>'1.3 forecast'!J47</f>
        <v>13878.597909776265</v>
      </c>
      <c r="E30" s="64">
        <f>'1.3 forecast'!J48</f>
        <v>4648.1540480363528</v>
      </c>
      <c r="F30" s="64">
        <f>'1.3 forecast'!$J49</f>
        <v>13884.919863055688</v>
      </c>
      <c r="G30" s="64">
        <f>'1.3 forecast'!$J50</f>
        <v>11429.234840801175</v>
      </c>
      <c r="H30" s="64">
        <f>'1.3 forecast'!$J51</f>
        <v>14029.06853615482</v>
      </c>
      <c r="I30" s="64">
        <f>'1.3 forecast'!$J52</f>
        <v>10348.202852205954</v>
      </c>
      <c r="J30" s="64"/>
      <c r="L30" s="51">
        <f t="shared" si="8"/>
        <v>5615.836302019452</v>
      </c>
      <c r="M30" s="52">
        <f t="shared" si="11"/>
        <v>0.73672701678041563</v>
      </c>
      <c r="N30" s="53">
        <f t="shared" si="9"/>
        <v>-0.39373288276991442</v>
      </c>
      <c r="O30" s="53">
        <f t="shared" si="10"/>
        <v>0.5419635712716615</v>
      </c>
      <c r="P30" s="165">
        <f t="array" ref="P30">AVERAGE(ABS(E30:I30-Z$18:AD$18))</f>
        <v>4236.8622988637098</v>
      </c>
      <c r="Q30" s="165">
        <f t="array" ref="Q30">AVERAGE(ABS(G30:I30-AB$18:AD$18))</f>
        <v>2457.6160050360199</v>
      </c>
      <c r="R30" s="165">
        <f t="array" ref="R30">AVERAGE(D30:H30-Y$18:AC$18)</f>
        <v>2637.4313129390648</v>
      </c>
      <c r="S30" s="165">
        <f t="array" ref="S30">AVERAGE(F30:H30-AA$18:AC$18)</f>
        <v>3508.1062460056896</v>
      </c>
      <c r="AC30">
        <f>3000-733</f>
        <v>2267</v>
      </c>
    </row>
    <row r="31" spans="1:30" s="90" customFormat="1" x14ac:dyDescent="0.2">
      <c r="A31" s="133" t="s">
        <v>111</v>
      </c>
      <c r="B31" s="46">
        <f t="array" ref="B31:I31">TRANSPOSE('1.3 forecast'!P45:P52)</f>
        <v>10099.702986258921</v>
      </c>
      <c r="C31" s="46">
        <v>9133.0823609209037</v>
      </c>
      <c r="D31" s="46">
        <v>8460.8422407889848</v>
      </c>
      <c r="E31" s="64">
        <v>6384.4001756594998</v>
      </c>
      <c r="F31" s="64">
        <v>8049.0638558960036</v>
      </c>
      <c r="G31" s="64">
        <v>9523.9158591343294</v>
      </c>
      <c r="H31" s="64">
        <v>9148.5604700971708</v>
      </c>
      <c r="I31" s="64">
        <v>8311.0497464584023</v>
      </c>
      <c r="J31" s="71">
        <f>'1.3 forecast'!P53</f>
        <v>9770.7433719562123</v>
      </c>
      <c r="L31" s="51">
        <f t="shared" ref="L31" si="12">AVERAGE(ABS(B31-$W$18),ABS(C31-$X$18),ABS(D31-$Y$18),ABS(E31-$Z$18),ABS(F31-$AA$18),ABS(G31-$AB$18),ABS(H31-$AC$18))</f>
        <v>3541.8101719823471</v>
      </c>
      <c r="M31" s="52">
        <f t="shared" ref="M31" si="13">AVERAGE(ABS(($W$18-B31)/$W$18),ABS(($X$18-C31)/$X$18),ABS(($Y$18-D31)/$Y$18),ABS(($Z$18-E31)/$Z$18),ABS(($AA$18-F31)/$AA$18),ABS(($AB$18-G31)/$AB$18),ABS(($AC$18-H31)/$AC$18))</f>
        <v>0.37240271810189524</v>
      </c>
      <c r="N31" s="53">
        <f t="shared" ref="N31" si="14">AVERAGE((1-B31/$W$18),(1-C31/$X$18),(1-D31/$Y$18),(1-E31/$Z$18),(1-F31/$AA$18),(1-G31/$AB$18),(1-H31/$AC$18))</f>
        <v>3.5757886351007025E-2</v>
      </c>
      <c r="O31" s="53">
        <f t="shared" ref="O31" si="15">AVERAGE(ABS(($AA$18-F31)/$AA$18),ABS(($AB$18-G31)/$AB$18),ABS(($AC$18-H31)/$AC$18))</f>
        <v>0.13622464100285539</v>
      </c>
      <c r="P31" s="129">
        <f t="array" ref="P31">AVERAGE(ABS(E31:I31-Z$18:AD$18))</f>
        <v>2151.7909703661016</v>
      </c>
      <c r="Q31" s="129">
        <f t="array" ref="Q31">AVERAGE(ABS(G31:I31-AB$18:AD$18))</f>
        <v>1506.5311691342838</v>
      </c>
      <c r="R31" s="165">
        <f t="array" ref="R31">AVERAGE(D31:H31-Y$18:AC$18)</f>
        <v>-623.2072063105976</v>
      </c>
      <c r="S31" s="165">
        <f t="array" ref="S31">AVERAGE(F31:H31-AA$18:AC$18)</f>
        <v>-699.12143895570318</v>
      </c>
    </row>
    <row r="32" spans="1:30" x14ac:dyDescent="0.2">
      <c r="A32" s="9"/>
      <c r="B32" s="97"/>
      <c r="C32" s="97"/>
      <c r="D32" s="97"/>
      <c r="E32" s="102"/>
      <c r="F32" s="102"/>
      <c r="G32" s="102"/>
      <c r="H32" s="102"/>
      <c r="I32" s="97"/>
      <c r="J32" s="97"/>
      <c r="L32" s="51"/>
      <c r="M32" s="52"/>
      <c r="N32" s="53"/>
      <c r="O32" s="53"/>
      <c r="P32" s="53"/>
      <c r="Q32" s="53"/>
      <c r="R32" s="53"/>
      <c r="S32" s="53"/>
    </row>
    <row r="33" spans="1:33" x14ac:dyDescent="0.2">
      <c r="A33" s="2" t="s">
        <v>64</v>
      </c>
      <c r="B33" s="171" t="s">
        <v>30</v>
      </c>
      <c r="C33" s="171"/>
      <c r="D33" s="171"/>
      <c r="E33" s="171"/>
      <c r="F33" s="171"/>
      <c r="G33" s="69"/>
      <c r="H33" s="69"/>
      <c r="J33" s="69" t="s">
        <v>50</v>
      </c>
      <c r="L33" s="173" t="s">
        <v>100</v>
      </c>
      <c r="M33" s="173"/>
      <c r="N33" s="173"/>
      <c r="O33" s="16"/>
      <c r="P33" s="16"/>
      <c r="Q33" s="16"/>
      <c r="R33" s="16"/>
      <c r="S33" s="16"/>
      <c r="W33" s="168" t="s">
        <v>8</v>
      </c>
      <c r="X33" s="169"/>
      <c r="Y33" s="169"/>
      <c r="Z33" s="169"/>
      <c r="AA33" s="169"/>
    </row>
    <row r="34" spans="1:33" x14ac:dyDescent="0.2">
      <c r="A34" s="3" t="s">
        <v>31</v>
      </c>
      <c r="B34" s="85">
        <v>2010</v>
      </c>
      <c r="C34" s="83">
        <v>2011</v>
      </c>
      <c r="D34" s="85">
        <v>2012</v>
      </c>
      <c r="E34" s="83">
        <v>2013</v>
      </c>
      <c r="F34" s="85">
        <v>2014</v>
      </c>
      <c r="G34" s="85">
        <v>2015</v>
      </c>
      <c r="H34" s="85">
        <v>2016</v>
      </c>
      <c r="I34" s="85">
        <v>2017</v>
      </c>
      <c r="J34" s="85">
        <v>2018</v>
      </c>
      <c r="L34" s="19" t="s">
        <v>32</v>
      </c>
      <c r="M34" s="19" t="s">
        <v>33</v>
      </c>
      <c r="N34" s="20" t="s">
        <v>34</v>
      </c>
      <c r="O34" s="20" t="s">
        <v>35</v>
      </c>
      <c r="P34" s="20" t="s">
        <v>103</v>
      </c>
      <c r="Q34" s="20" t="s">
        <v>104</v>
      </c>
      <c r="R34" s="20" t="s">
        <v>105</v>
      </c>
      <c r="S34" s="20" t="s">
        <v>106</v>
      </c>
      <c r="V34" s="20"/>
      <c r="W34" s="57">
        <v>2010</v>
      </c>
      <c r="X34" s="57">
        <v>2011</v>
      </c>
      <c r="Y34" s="58">
        <v>2012</v>
      </c>
      <c r="Z34" s="58">
        <v>2013</v>
      </c>
      <c r="AA34" s="58">
        <v>2014</v>
      </c>
      <c r="AB34" s="58">
        <v>2015</v>
      </c>
      <c r="AC34" s="58">
        <v>2016</v>
      </c>
      <c r="AD34" s="58">
        <v>2017</v>
      </c>
    </row>
    <row r="35" spans="1:33" x14ac:dyDescent="0.2">
      <c r="A35" s="101" t="s">
        <v>40</v>
      </c>
      <c r="B35" s="46">
        <f>'1.4 forecast'!C$42</f>
        <v>4839.5145364555092</v>
      </c>
      <c r="C35" s="46">
        <f>'1.4 forecast'!C$43</f>
        <v>4168.3118071458111</v>
      </c>
      <c r="D35" s="46">
        <f>'1.4 forecast'!C$44</f>
        <v>2777.7166772716691</v>
      </c>
      <c r="E35" s="46">
        <f>'1.4 forecast'!C$45</f>
        <v>2315.3203548254387</v>
      </c>
      <c r="F35" s="46">
        <f>'1.4 forecast'!$C46</f>
        <v>2075.8408855679527</v>
      </c>
      <c r="G35" s="46">
        <f>'1.4 forecast'!$C47</f>
        <v>2284.545194992254</v>
      </c>
      <c r="H35" s="46">
        <f>'1.4 forecast'!$C48</f>
        <v>2564.1399143413973</v>
      </c>
      <c r="I35" s="64">
        <f>'1.4 forecast'!$C49</f>
        <v>2610.282305418968</v>
      </c>
      <c r="J35" s="71">
        <f>'1.4 forecast'!C50</f>
        <v>2382.1589730894348</v>
      </c>
      <c r="L35" s="51">
        <f>AVERAGE(ABS(B35-$W$35),ABS(C35-$X$35),ABS(D35-$Y$35),ABS(E35-$Z$35),ABS(F35-$AA$35),ABS(G35-$AB$35),ABS(H35-$AC$35))</f>
        <v>1250.6472392020098</v>
      </c>
      <c r="M35" s="52">
        <f>AVERAGE(ABS(($W$35-B35)/$W$35),ABS(($X$35-C35)/$X$35),ABS(($Y$35-D35)/$Y$35),ABS(($Z$35-E35)/$Z$35),ABS(($AA$35-F35)/$AA$35),ABS(($AB$35-G35)/$AB$35),ABS(($AC$35-H35)/$AC$35))</f>
        <v>0.63026273598891713</v>
      </c>
      <c r="N35" s="53">
        <f>AVERAGE((1-B35/$W$35),(1-C35/$X$35),(1-D35/$Y$35),(1-E35/$Z$35),(1-F35/$AA$35),(1-G35/$AB$35),(1-H35/$AC$35))</f>
        <v>-0.44050099756652078</v>
      </c>
      <c r="O35" s="53">
        <f>AVERAGE(ABS(($AA$35-F35)/$AA$35),ABS(($AB$35-G35)/$AB$35),ABS(($AC$35-H35)/$AC$35))</f>
        <v>0.2681624193126082</v>
      </c>
      <c r="P35" s="129">
        <f t="array" ref="P35">AVERAGE(ABS(E35:I35-Z$35:AD$35))</f>
        <v>842.05327349263348</v>
      </c>
      <c r="Q35" s="129">
        <f t="array" ref="Q35">AVERAGE(ABS(G35:I35-AB$35:AD$35))</f>
        <v>1040.747049812865</v>
      </c>
      <c r="R35" s="165">
        <f t="array" ref="R35">AVERAGE(D35:H35-Y$35:AC$35)</f>
        <v>-206.76970001922581</v>
      </c>
      <c r="S35" s="165">
        <f t="array" ref="S35">AVERAGE(F35:H35-AA$35:AC$35)</f>
        <v>-130.63604499253324</v>
      </c>
      <c r="V35" s="22" t="s">
        <v>94</v>
      </c>
      <c r="W35" s="13">
        <f>'1.4 forecast'!C32</f>
        <v>1934.0126691041301</v>
      </c>
      <c r="X35" s="41">
        <f>'1.4 forecast'!C33</f>
        <v>1556.3670777513205</v>
      </c>
      <c r="Y35" s="41">
        <f>'1.4 forecast'!C34</f>
        <v>2453.1597696878553</v>
      </c>
      <c r="Z35" s="41">
        <f>'1.4 forecast'!C35</f>
        <v>3281.817627527782</v>
      </c>
      <c r="AA35" s="41">
        <f>'1.4 forecast'!C36</f>
        <v>2197.3688308901815</v>
      </c>
      <c r="AB35" s="41">
        <f>'1.4 forecast'!C37</f>
        <v>3331.9862658498459</v>
      </c>
      <c r="AC35" s="41">
        <f>'1.4 forecast'!C38</f>
        <v>1787.0790331391763</v>
      </c>
      <c r="AD35" s="26">
        <f>'1.4 forecast'!C39</f>
        <v>1312.5431080401859</v>
      </c>
    </row>
    <row r="36" spans="1:33" x14ac:dyDescent="0.2">
      <c r="A36" s="132" t="s">
        <v>110</v>
      </c>
      <c r="B36" s="46">
        <f>'1.4 forecast'!L$42</f>
        <v>4064.0213001542525</v>
      </c>
      <c r="C36" s="46">
        <f>'1.4 forecast'!L$43</f>
        <v>3323.1984140273971</v>
      </c>
      <c r="D36" s="46">
        <f>'1.4 forecast'!L$44</f>
        <v>2365.9168420231463</v>
      </c>
      <c r="E36" s="46">
        <f>'1.4 forecast'!L$45</f>
        <v>2071.7124906942472</v>
      </c>
      <c r="F36" s="46">
        <f>'1.4 forecast'!$L46</f>
        <v>1946.7581068733723</v>
      </c>
      <c r="G36" s="46">
        <f>'1.4 forecast'!$L47</f>
        <v>2214.4349002906547</v>
      </c>
      <c r="H36" s="64">
        <f>'1.4 forecast'!$L48</f>
        <v>2468.9465899239276</v>
      </c>
      <c r="I36" s="64">
        <f>'1.4 forecast'!$L49</f>
        <v>2538.1544144145209</v>
      </c>
      <c r="J36" s="71">
        <f>'1.4 forecast'!L50</f>
        <v>2239.7295929648767</v>
      </c>
      <c r="L36" s="51">
        <f t="shared" ref="L36:L49" si="16">AVERAGE(ABS(B36-$W$35),ABS(C36-$X$35),ABS(D36-$Y$35),ABS(E36-$Z$35),ABS(F36-$AA$35),ABS(G36-$AB$35),ABS(H36-$AC$35))</f>
        <v>1034.8882397407422</v>
      </c>
      <c r="M36" s="52">
        <f t="shared" ref="M36:M50" si="17">AVERAGE(ABS(($W$35-B36)/$W$35),ABS(($X$35-C36)/$X$35),ABS(($Y$35-D36)/$Y$35),ABS(($Z$35-E36)/$Z$35),ABS(($AA$35-F36)/$AA$35),ABS(($AB$35-G36)/$AB$35),ABS(($AC$35-H36)/$AC$35))</f>
        <v>0.49598124482903483</v>
      </c>
      <c r="N36" s="53">
        <f t="shared" ref="N36:N50" si="18">AVERAGE((1-B36/$W$35),(1-C36/$X$35),(1-D36/$Y$35),(1-E36/$Z$35),(1-F36/$AA$35),(1-G36/$AB$35),(1-H36/$AC$35))</f>
        <v>-0.25205411014781698</v>
      </c>
      <c r="O36" s="53">
        <f t="shared" ref="O36:O50" si="19">AVERAGE(ABS(($AA$35-F36)/$AA$35),ABS(($AB$35-G36)/$AB$35),ABS(($AC$35-H36)/$AC$35))</f>
        <v>0.27700184860028487</v>
      </c>
      <c r="P36" s="129">
        <f t="array" ref="P36">AVERAGE(ABS(E36:I36-Z$35:AD$35))</f>
        <v>897.14921791372433</v>
      </c>
      <c r="Q36" s="129">
        <f t="array" ref="Q36">AVERAGE(ABS(G36:I36-AB$35:AD$35))</f>
        <v>1008.3434095727592</v>
      </c>
      <c r="R36" s="165">
        <f t="array" ref="R36">AVERAGE(D36:H36-Y$35:AC$35)</f>
        <v>-396.72851945789864</v>
      </c>
      <c r="S36" s="165">
        <f t="array" ref="S36">AVERAGE(F36:H36-AA$35:AC$35)</f>
        <v>-228.76484426374972</v>
      </c>
      <c r="V36" s="7" t="s">
        <v>37</v>
      </c>
      <c r="W36" s="13">
        <f>'1.4 forecast'!B32</f>
        <v>56659</v>
      </c>
      <c r="X36" s="42">
        <f>'1.4 forecast'!B33</f>
        <v>36433</v>
      </c>
      <c r="Y36" s="13">
        <f>'1.4 forecast'!B34</f>
        <v>29922</v>
      </c>
      <c r="Z36" s="13">
        <f>'1.4 forecast'!B35</f>
        <v>17594</v>
      </c>
      <c r="AA36" s="13">
        <f>'1.4 forecast'!B36</f>
        <v>7284</v>
      </c>
      <c r="AB36" s="96">
        <f>'1.4 forecast'!B37</f>
        <v>11641</v>
      </c>
      <c r="AC36" s="96">
        <f>'1.4 forecast'!B38</f>
        <v>18223</v>
      </c>
      <c r="AD36" s="26">
        <f>'1.4 forecast'!B39</f>
        <v>18553</v>
      </c>
    </row>
    <row r="37" spans="1:33" x14ac:dyDescent="0.2">
      <c r="A37" s="132" t="s">
        <v>109</v>
      </c>
      <c r="B37" s="46">
        <f>'1.4 forecast'!K$42</f>
        <v>5374.3200215358247</v>
      </c>
      <c r="C37" s="46">
        <f>'1.4 forecast'!K$43</f>
        <v>4550.8452191529268</v>
      </c>
      <c r="D37" s="46">
        <f>'1.4 forecast'!K$44</f>
        <v>2900.3327578632197</v>
      </c>
      <c r="E37" s="46">
        <f>'1.4 forecast'!K$45</f>
        <v>2362.9250682719517</v>
      </c>
      <c r="F37" s="46">
        <f>'1.4 forecast'!$K46</f>
        <v>2111.5132422951551</v>
      </c>
      <c r="G37" s="46">
        <f>'1.4 forecast'!$K47</f>
        <v>2301.3517680688319</v>
      </c>
      <c r="H37" s="64">
        <f>'1.4 forecast'!$K48</f>
        <v>2594.6925749766974</v>
      </c>
      <c r="I37" s="64">
        <f>'1.4 forecast'!$K48</f>
        <v>2594.6925749766974</v>
      </c>
      <c r="J37" s="135">
        <f>'1.4 forecast'!K50</f>
        <v>2426.465394790891</v>
      </c>
      <c r="L37" s="51">
        <f t="shared" si="16"/>
        <v>1389.2792384968652</v>
      </c>
      <c r="M37" s="52">
        <f t="shared" si="17"/>
        <v>0.70934960532418223</v>
      </c>
      <c r="N37" s="53">
        <f t="shared" si="18"/>
        <v>-0.52981178904504489</v>
      </c>
      <c r="O37" s="53">
        <f t="shared" si="19"/>
        <v>0.26676851603626156</v>
      </c>
      <c r="P37" s="129">
        <f t="array" ref="P37">AVERAGE(ABS(E37:I37-Z$35:AD$35))</f>
        <v>825.02913088118078</v>
      </c>
      <c r="Q37" s="129">
        <f t="array" ref="Q37">AVERAGE(ABS(G37:I37-AB$35:AD$35))</f>
        <v>1040.1325021850155</v>
      </c>
      <c r="R37" s="165">
        <f t="array" ref="R37">AVERAGE(D37:H37-Y$35:AC$35)</f>
        <v>-156.11922312379701</v>
      </c>
      <c r="S37" s="165">
        <f t="array" ref="S37">AVERAGE(F37:H37-AA$35:AC$35)</f>
        <v>-102.95884817950643</v>
      </c>
      <c r="V37" s="7"/>
      <c r="W37" s="13"/>
      <c r="X37" s="42"/>
      <c r="Y37" s="13"/>
      <c r="Z37" s="13"/>
      <c r="AA37" s="13"/>
    </row>
    <row r="38" spans="1:33" x14ac:dyDescent="0.2">
      <c r="A38" s="134" t="s">
        <v>67</v>
      </c>
      <c r="B38" s="46">
        <f>'1.4 forecast'!N$42</f>
        <v>4124.7470811000003</v>
      </c>
      <c r="C38" s="46">
        <f>'1.4 forecast'!N$43</f>
        <v>2992.7656378000001</v>
      </c>
      <c r="D38" s="46">
        <f>'1.4 forecast'!N$44</f>
        <v>3185.0914185000001</v>
      </c>
      <c r="E38" s="46">
        <f>'1.4 forecast'!N$45</f>
        <v>3360.6280402000002</v>
      </c>
      <c r="F38" s="46">
        <f>'1.4 forecast'!$N46</f>
        <v>4061.7078833</v>
      </c>
      <c r="G38" s="46">
        <f>'1.4 forecast'!$N47</f>
        <v>4016.6120882999999</v>
      </c>
      <c r="H38" s="64">
        <f>'1.4 forecast'!$N48</f>
        <v>0</v>
      </c>
      <c r="I38" s="64">
        <f>'1.4 forecast'!$N49</f>
        <v>0</v>
      </c>
      <c r="J38" s="46"/>
      <c r="L38" s="51">
        <f t="shared" si="16"/>
        <v>1253.4169916468659</v>
      </c>
      <c r="M38" s="52">
        <f t="shared" si="17"/>
        <v>0.63313535407486909</v>
      </c>
      <c r="N38" s="53">
        <f t="shared" si="18"/>
        <v>-0.34742106836058334</v>
      </c>
      <c r="O38" s="53">
        <f t="shared" si="19"/>
        <v>0.68463744928078485</v>
      </c>
      <c r="P38" s="165">
        <f t="array" ref="P38">AVERAGE(ABS(E38:I38-Z$35:AD$35))</f>
        <v>1145.4794857423108</v>
      </c>
      <c r="Q38" s="165">
        <f t="array" ref="Q38">AVERAGE(ABS(G38:I38-AB$35:AD$35))</f>
        <v>1261.4159878765054</v>
      </c>
      <c r="R38" s="165">
        <f t="array" ref="R38">AVERAGE(D38:H38-Y$35:AC$35)</f>
        <v>314.52558064103187</v>
      </c>
      <c r="S38" s="165">
        <f t="array" ref="S38">AVERAGE(F38:H38-AA$35:AC$35)</f>
        <v>253.9619472402654</v>
      </c>
      <c r="V38" s="7"/>
      <c r="W38" s="13"/>
      <c r="X38" s="42"/>
      <c r="Y38" s="13"/>
      <c r="Z38" s="13"/>
      <c r="AA38" s="13"/>
    </row>
    <row r="39" spans="1:33" x14ac:dyDescent="0.2">
      <c r="A39" s="80" t="s">
        <v>53</v>
      </c>
      <c r="B39" s="46">
        <f>'1.4 forecast'!M$42</f>
        <v>1637.4574787554338</v>
      </c>
      <c r="C39" s="46">
        <f>'1.4 forecast'!M$43</f>
        <v>2470.3126486192132</v>
      </c>
      <c r="D39" s="46">
        <f>'1.4 forecast'!M$44</f>
        <v>2077.4573561569191</v>
      </c>
      <c r="E39" s="46">
        <f>'1.4 forecast'!M$45</f>
        <v>2985.1342509261835</v>
      </c>
      <c r="F39" s="46">
        <f>'1.4 forecast'!$M46</f>
        <v>3774.0350005081596</v>
      </c>
      <c r="G39" s="46">
        <f>'1.4 forecast'!$M47</f>
        <v>2682.4879971675832</v>
      </c>
      <c r="H39" s="64">
        <f>'1.4 forecast'!$M48</f>
        <v>3874.996350575359</v>
      </c>
      <c r="I39" s="64">
        <f>'1.4 forecast'!$M49</f>
        <v>2394.6682918941365</v>
      </c>
      <c r="J39" s="46"/>
      <c r="L39" s="51">
        <f t="shared" si="16"/>
        <v>885.28118672650658</v>
      </c>
      <c r="M39" s="52">
        <f t="shared" si="17"/>
        <v>0.43784471528368796</v>
      </c>
      <c r="N39" s="53">
        <f t="shared" si="18"/>
        <v>-0.26875398702397313</v>
      </c>
      <c r="O39" s="53">
        <f t="shared" si="19"/>
        <v>0.69359787615043711</v>
      </c>
      <c r="P39" s="165">
        <f t="array" ref="P39">AVERAGE(ABS(E39:I39-Z$35:AD$35))</f>
        <v>1138.5780632383944</v>
      </c>
      <c r="Q39" s="165">
        <f t="array" ref="Q39">AVERAGE(ABS(G39:I39-AB$35:AD$35))</f>
        <v>1273.1802566574654</v>
      </c>
      <c r="R39" s="165">
        <f t="array" ref="R39">AVERAGE(D39:H39-Y$35:AC$35)</f>
        <v>468.53988564787267</v>
      </c>
      <c r="S39" s="165">
        <f t="array" ref="S39">AVERAGE(F39:H39-AA$35:AC$35)</f>
        <v>1005.028406123966</v>
      </c>
    </row>
    <row r="40" spans="1:33" x14ac:dyDescent="0.2">
      <c r="A40" s="81" t="s">
        <v>46</v>
      </c>
      <c r="B40" s="46">
        <f>'1.4 forecast'!D42</f>
        <v>5120.4836272022339</v>
      </c>
      <c r="C40" s="46">
        <f>'1.4 forecast'!D43</f>
        <v>8811.3094196611928</v>
      </c>
      <c r="D40" s="46">
        <f>'1.4 forecast'!D44</f>
        <v>8474.5555271577923</v>
      </c>
      <c r="E40" s="46">
        <f>'1.4 forecast'!D45</f>
        <v>5449.1901632522386</v>
      </c>
      <c r="F40" s="46">
        <f>'1.4 forecast'!$D46</f>
        <v>7656.7276037091124</v>
      </c>
      <c r="G40" s="46">
        <f>'1.4 forecast'!$D47</f>
        <v>6310.3748343430107</v>
      </c>
      <c r="H40" s="64">
        <f>'1.4 forecast'!$D48</f>
        <v>7974.8457054607743</v>
      </c>
      <c r="I40" s="64">
        <f>'1.4 forecast'!$D49</f>
        <v>6851.9559454307546</v>
      </c>
      <c r="J40" s="71">
        <f>'1.4 forecast'!D50</f>
        <v>6744.6305278162299</v>
      </c>
      <c r="L40" s="51">
        <f t="shared" si="16"/>
        <v>4750.8136581194367</v>
      </c>
      <c r="M40" s="52">
        <f t="shared" si="17"/>
        <v>2.3235570921511837</v>
      </c>
      <c r="N40" s="53">
        <f t="shared" si="18"/>
        <v>-2.3235570921511837</v>
      </c>
      <c r="O40" s="53">
        <f t="shared" si="19"/>
        <v>2.2802930111186761</v>
      </c>
      <c r="P40" s="129">
        <f t="array" ref="P40">AVERAGE(ABS(E40:I40-Z$35:AD$35))</f>
        <v>4466.4598773497437</v>
      </c>
      <c r="Q40" s="129">
        <f t="array" ref="Q40">AVERAGE(ABS(G40:I40-AB$35:AD$35))</f>
        <v>4901.8560260684435</v>
      </c>
      <c r="R40" s="165">
        <f t="array" ref="R40">AVERAGE(D40:H40-Y$35:AC$35)</f>
        <v>4562.8564613656181</v>
      </c>
      <c r="S40" s="165">
        <f t="array" ref="S40">AVERAGE(F40:H40-AA$35:AC$35)</f>
        <v>4875.1713378778977</v>
      </c>
    </row>
    <row r="41" spans="1:33" x14ac:dyDescent="0.2">
      <c r="A41" s="98" t="s">
        <v>71</v>
      </c>
      <c r="B41" s="46">
        <f>'1.4 forecast'!E$42</f>
        <v>2684.5968603659603</v>
      </c>
      <c r="C41" s="46">
        <f>'1.4 forecast'!E$43</f>
        <v>4942.4488462124054</v>
      </c>
      <c r="D41" s="46">
        <f>'1.4 forecast'!E$44</f>
        <v>4736.4406280830535</v>
      </c>
      <c r="E41" s="46">
        <f>'1.4 forecast'!E$45</f>
        <v>2885.6821314989411</v>
      </c>
      <c r="F41" s="46">
        <f>'1.4 forecast'!$E46</f>
        <v>4236.1367652423614</v>
      </c>
      <c r="G41" s="46">
        <f>'1.4 forecast'!$E47</f>
        <v>3412.5093591008626</v>
      </c>
      <c r="H41" s="64">
        <f>'1.4 forecast'!$E48</f>
        <v>4430.7445923690811</v>
      </c>
      <c r="I41" s="64">
        <f>'1.4 forecast'!$E49</f>
        <v>3743.8200347943111</v>
      </c>
      <c r="J41" s="71">
        <f>'1.4 forecast'!E50</f>
        <v>3667.1707107601069</v>
      </c>
      <c r="L41" s="51">
        <f t="shared" si="16"/>
        <v>1654.1484144257224</v>
      </c>
      <c r="M41" s="52">
        <f t="shared" si="17"/>
        <v>0.86378528024289059</v>
      </c>
      <c r="N41" s="53">
        <f t="shared" si="18"/>
        <v>-0.82929781532570834</v>
      </c>
      <c r="O41" s="53">
        <f t="shared" si="19"/>
        <v>0.8104370609151651</v>
      </c>
      <c r="P41" s="129">
        <f t="array" ref="P41">AVERAGE(ABS(E41:I41-Z$35:AD$35))</f>
        <v>1518.0738019232135</v>
      </c>
      <c r="Q41" s="129">
        <f t="array" ref="Q41">AVERAGE(ABS(G41:I41-AB$35:AD$35))</f>
        <v>1718.4885264116822</v>
      </c>
      <c r="R41" s="165">
        <f t="array" ref="R41">AVERAGE(D41:H41-Y$35:AC$35)</f>
        <v>1330.0203898398918</v>
      </c>
      <c r="S41" s="165">
        <f t="array" ref="S41">AVERAGE(F41:H41-AA$35:AC$35)</f>
        <v>1587.6521956110337</v>
      </c>
    </row>
    <row r="42" spans="1:33" x14ac:dyDescent="0.2">
      <c r="A42" s="98" t="s">
        <v>47</v>
      </c>
      <c r="B42" s="46">
        <f>'1.4 forecast'!F$42</f>
        <v>2200.9814132853767</v>
      </c>
      <c r="C42" s="46">
        <f>'1.4 forecast'!F$43</f>
        <v>7284.5857835645738</v>
      </c>
      <c r="D42" s="46">
        <f>'1.4 forecast'!F$44</f>
        <v>6887.9045802584942</v>
      </c>
      <c r="E42" s="46">
        <f>'1.4 forecast'!F$45</f>
        <v>2765.9923723482038</v>
      </c>
      <c r="F42" s="46">
        <f>'1.4 forecast'!$F46</f>
        <v>5887.6678544915949</v>
      </c>
      <c r="G42" s="46">
        <f>'1.4 forecast'!$F47</f>
        <v>4085.6548683305432</v>
      </c>
      <c r="H42" s="64">
        <f>'1.4 forecast'!$F48</f>
        <v>6283.5092357957992</v>
      </c>
      <c r="I42" s="64">
        <f>'1.4 forecast'!$F49</f>
        <v>4839.3489942223068</v>
      </c>
      <c r="J42" s="71">
        <f>'1.4 forecast'!F50</f>
        <v>4786.0047718744572</v>
      </c>
      <c r="L42" s="51">
        <f t="shared" si="16"/>
        <v>2840.8793349262073</v>
      </c>
      <c r="M42" s="52">
        <f t="shared" si="17"/>
        <v>1.4578824724554846</v>
      </c>
      <c r="N42" s="53">
        <f t="shared" si="18"/>
        <v>-1.41297484471261</v>
      </c>
      <c r="O42" s="53">
        <f t="shared" si="19"/>
        <v>1.4738957251186029</v>
      </c>
      <c r="P42" s="129">
        <f t="array" ref="P42">AVERAGE(ABS(E42:I42-Z$35:AD$35))</f>
        <v>2596.6057940200863</v>
      </c>
      <c r="Q42" s="129">
        <f t="array" ref="Q42">AVERAGE(ABS(G42:I42-AB$35:AD$35))</f>
        <v>2925.6348971064804</v>
      </c>
      <c r="R42" s="165">
        <f t="array" ref="R42">AVERAGE(D42:H42-Y$35:AC$35)</f>
        <v>2571.863476825959</v>
      </c>
      <c r="S42" s="165">
        <f t="array" ref="S42">AVERAGE(F42:H42-AA$35:AC$35)</f>
        <v>2980.1326095795775</v>
      </c>
    </row>
    <row r="43" spans="1:33" x14ac:dyDescent="0.2">
      <c r="A43" s="98" t="s">
        <v>72</v>
      </c>
      <c r="B43" s="46">
        <f>'1.4 forecast'!G$42</f>
        <v>1850.9195086221232</v>
      </c>
      <c r="C43" s="46">
        <f>'1.4 forecast'!G$43</f>
        <v>4616.699626512549</v>
      </c>
      <c r="D43" s="46">
        <f>'1.4 forecast'!G$44</f>
        <v>4423.4489675306568</v>
      </c>
      <c r="E43" s="46">
        <f>'1.4 forecast'!G$45</f>
        <v>2203.7863566067467</v>
      </c>
      <c r="F43" s="46">
        <f>'1.4 forecast'!$G46</f>
        <v>3923.936723834513</v>
      </c>
      <c r="G43" s="46">
        <f>'1.4 forecast'!$G47</f>
        <v>2968.5368893047939</v>
      </c>
      <c r="H43" s="64">
        <f>'1.4 forecast'!$G48</f>
        <v>4123.8452601577292</v>
      </c>
      <c r="I43" s="64">
        <f>'1.4 forecast'!$G49</f>
        <v>3378.2446325815908</v>
      </c>
      <c r="J43" s="71">
        <f>'1.4 forecast'!G50</f>
        <v>3303.3206143833313</v>
      </c>
      <c r="L43" s="51">
        <f t="shared" si="16"/>
        <v>1516.9328106450012</v>
      </c>
      <c r="M43" s="52">
        <f t="shared" si="17"/>
        <v>0.76333668300616986</v>
      </c>
      <c r="N43" s="53">
        <f t="shared" si="18"/>
        <v>-0.62604266687962895</v>
      </c>
      <c r="O43" s="53">
        <f t="shared" si="19"/>
        <v>0.73413732337102056</v>
      </c>
      <c r="P43" s="129">
        <f t="array" ref="P43">AVERAGE(ABS(E43:I43-Z$35:AD$35))</f>
        <v>1514.1032583940755</v>
      </c>
      <c r="Q43" s="129">
        <f t="array" ref="Q43">AVERAGE(ABS(G43:I43-AB$35:AD$35))</f>
        <v>1588.6390427016697</v>
      </c>
      <c r="R43" s="165">
        <f t="array" ref="R43">AVERAGE(D43:H43-Y$35:AC$35)</f>
        <v>918.42853406791983</v>
      </c>
      <c r="S43" s="165">
        <f t="array" ref="S43">AVERAGE(F43:H43-AA$35:AC$35)</f>
        <v>1233.2949144726108</v>
      </c>
    </row>
    <row r="44" spans="1:33" x14ac:dyDescent="0.2">
      <c r="A44" s="134" t="s">
        <v>75</v>
      </c>
      <c r="B44" s="46">
        <f>'1.4 forecast'!O$42</f>
        <v>2682.9165520000001</v>
      </c>
      <c r="C44" s="46">
        <f>'1.4 forecast'!O$43</f>
        <v>4575.5594246999999</v>
      </c>
      <c r="D44" s="46">
        <f>'1.4 forecast'!O$44</f>
        <v>3942.3850031000002</v>
      </c>
      <c r="E44" s="46">
        <f>'1.4 forecast'!O$45</f>
        <v>1485.4182397</v>
      </c>
      <c r="F44" s="46">
        <f>'1.4 forecast'!$O46</f>
        <v>4105.1145757000004</v>
      </c>
      <c r="G44" s="46">
        <f>'1.4 forecast'!$O47</f>
        <v>3735.4467162000001</v>
      </c>
      <c r="H44" s="64">
        <f>'1.4 forecast'!$O48</f>
        <v>0</v>
      </c>
      <c r="I44" s="64">
        <f>'1.4 forecast'!$O49</f>
        <v>0</v>
      </c>
      <c r="J44" s="46"/>
      <c r="L44" s="51">
        <f t="shared" si="16"/>
        <v>1593.1437256262323</v>
      </c>
      <c r="M44" s="52">
        <f t="shared" si="17"/>
        <v>0.78155020473224179</v>
      </c>
      <c r="N44" s="53">
        <f t="shared" si="18"/>
        <v>-0.33944180264609802</v>
      </c>
      <c r="O44" s="53">
        <f t="shared" si="19"/>
        <v>0.66309419173600104</v>
      </c>
      <c r="P44" s="165">
        <f t="array" ref="P44">AVERAGE(ABS(E44:I44-Z$35:AD$35))</f>
        <v>1441.4455448334234</v>
      </c>
      <c r="Q44" s="165">
        <f t="array" ref="Q44">AVERAGE(ABS(G44:I44-AB$35:AD$35))</f>
        <v>1167.6941971765054</v>
      </c>
      <c r="R44" s="165">
        <f t="array" ref="R44">AVERAGE(D44:H44-Y$35:AC$35)</f>
        <v>43.390601521031932</v>
      </c>
      <c r="S44" s="165">
        <f t="array" ref="S44">AVERAGE(F44:H44-AA$35:AC$35)</f>
        <v>174.70905400693223</v>
      </c>
      <c r="AG44">
        <f>1-24638/18755</f>
        <v>-0.3136763529725406</v>
      </c>
    </row>
    <row r="45" spans="1:33" x14ac:dyDescent="0.2">
      <c r="A45" s="80" t="s">
        <v>76</v>
      </c>
      <c r="B45" s="46">
        <f>'1.4 forecast'!P$42</f>
        <v>1828.4794521831705</v>
      </c>
      <c r="C45" s="46">
        <f>'1.4 forecast'!P$43</f>
        <v>2980.0340332859773</v>
      </c>
      <c r="D45" s="46">
        <f>'1.4 forecast'!P$44</f>
        <v>2882.6635803385589</v>
      </c>
      <c r="E45" s="46">
        <f>'1.4 forecast'!P$45</f>
        <v>1318.4472534165711</v>
      </c>
      <c r="F45" s="46">
        <f>'1.4 forecast'!$P46</f>
        <v>3381.2813017462499</v>
      </c>
      <c r="G45" s="46">
        <f>'1.4 forecast'!$P47</f>
        <v>3094.9901420733336</v>
      </c>
      <c r="H45" s="64">
        <f>'1.4 forecast'!$P48</f>
        <v>3237.4135404542699</v>
      </c>
      <c r="I45" s="64">
        <f>'1.4 forecast'!$P49</f>
        <v>2933.4368472183801</v>
      </c>
      <c r="J45" s="46"/>
      <c r="L45" s="51">
        <f t="shared" si="16"/>
        <v>970.4739227378866</v>
      </c>
      <c r="M45" s="52">
        <f t="shared" si="17"/>
        <v>0.45201774000138933</v>
      </c>
      <c r="N45" s="53">
        <f t="shared" si="18"/>
        <v>-0.2451744383212778</v>
      </c>
      <c r="O45" s="53">
        <f t="shared" si="19"/>
        <v>0.47382702381113334</v>
      </c>
      <c r="P45" s="165">
        <f t="array" ref="P45">AVERAGE(ABS(E45:I45-Z$35:AD$35))</f>
        <v>1291.1014430474158</v>
      </c>
      <c r="Q45" s="165">
        <f t="array" ref="Q45">AVERAGE(ABS(G45:I45-AB$35:AD$35))</f>
        <v>1102.7414567566</v>
      </c>
      <c r="R45" s="165">
        <f t="array" ref="R45">AVERAGE(D45:H45-Y$35:AC$35)</f>
        <v>172.6768581868285</v>
      </c>
      <c r="S45" s="165">
        <f t="array" ref="S45">AVERAGE(F45:H45-AA$35:AC$35)</f>
        <v>799.08361813154988</v>
      </c>
      <c r="AG45" s="90">
        <f>(24638-18755)/18755</f>
        <v>0.31367635297254065</v>
      </c>
    </row>
    <row r="46" spans="1:33" x14ac:dyDescent="0.2">
      <c r="A46" s="134" t="s">
        <v>48</v>
      </c>
      <c r="B46" s="64" t="e">
        <f>'1.4 forecast'!#REF!</f>
        <v>#REF!</v>
      </c>
      <c r="C46" s="64" t="e">
        <f>'1.4 forecast'!#REF!</f>
        <v>#REF!</v>
      </c>
      <c r="D46" s="64" t="e">
        <f>'1.4 forecast'!#REF!</f>
        <v>#REF!</v>
      </c>
      <c r="E46" s="64" t="e">
        <f>'1.4 forecast'!#REF!</f>
        <v>#REF!</v>
      </c>
      <c r="F46" s="64" t="e">
        <f>'1.4 forecast'!#REF!</f>
        <v>#REF!</v>
      </c>
      <c r="G46" s="64" t="e">
        <f>'1.4 forecast'!#REF!</f>
        <v>#REF!</v>
      </c>
      <c r="H46" s="64" t="e">
        <f>'1.4 forecast'!#REF!</f>
        <v>#REF!</v>
      </c>
      <c r="I46" s="64" t="e">
        <f>'1.4 forecast'!#REF!</f>
        <v>#REF!</v>
      </c>
      <c r="J46" s="64"/>
      <c r="K46" s="1"/>
      <c r="L46" s="51" t="e">
        <f t="shared" si="16"/>
        <v>#REF!</v>
      </c>
      <c r="M46" s="52" t="e">
        <f t="shared" si="17"/>
        <v>#REF!</v>
      </c>
      <c r="N46" s="53" t="e">
        <f t="shared" si="18"/>
        <v>#REF!</v>
      </c>
      <c r="O46" s="53" t="e">
        <f t="shared" si="19"/>
        <v>#REF!</v>
      </c>
      <c r="P46" s="165" t="e">
        <f t="array" ref="P46">AVERAGE(ABS(E46:I46-Z$35:AD$35))</f>
        <v>#REF!</v>
      </c>
      <c r="Q46" s="165" t="e">
        <f t="array" ref="Q46">AVERAGE(ABS(G46:I46-AB$35:AD$35))</f>
        <v>#REF!</v>
      </c>
      <c r="R46" s="165" t="e">
        <f t="array" ref="R46">AVERAGE(D46:H46-Y$35:AC$35)</f>
        <v>#REF!</v>
      </c>
      <c r="S46" s="165" t="e">
        <f t="array" ref="S46">AVERAGE(F46:H46-AA$35:AC$35)</f>
        <v>#REF!</v>
      </c>
      <c r="T46" s="3"/>
      <c r="AG46">
        <f>17813-2415</f>
        <v>15398</v>
      </c>
    </row>
    <row r="47" spans="1:33" x14ac:dyDescent="0.2">
      <c r="A47" s="78" t="s">
        <v>99</v>
      </c>
      <c r="B47" s="64">
        <f>'1.4 forecast'!Q$42</f>
        <v>1755.9055750523071</v>
      </c>
      <c r="C47" s="64">
        <f>'1.4 forecast'!Q$43</f>
        <v>3705.7094356225653</v>
      </c>
      <c r="D47" s="64">
        <f>'1.4 forecast'!Q$44</f>
        <v>2560.1215069510536</v>
      </c>
      <c r="E47" s="64">
        <f>'1.4 forecast'!Q$45</f>
        <v>1580.7109607961911</v>
      </c>
      <c r="F47" s="64">
        <f>'1.4 forecast'!$Q46</f>
        <v>3460.7132900542824</v>
      </c>
      <c r="G47" s="64">
        <f>'1.4 forecast'!$Q47</f>
        <v>2359.3230177906844</v>
      </c>
      <c r="H47" s="64">
        <f>'1.4 forecast'!$Q48</f>
        <v>3679.3449036357606</v>
      </c>
      <c r="I47" s="64">
        <f>'1.4 forecast'!$Q49</f>
        <v>2442.2377288649827</v>
      </c>
      <c r="J47" s="64"/>
      <c r="K47" s="1"/>
      <c r="L47" s="51">
        <f t="shared" si="16"/>
        <v>1180.5416333768148</v>
      </c>
      <c r="M47" s="52">
        <f t="shared" si="17"/>
        <v>0.5658211102728129</v>
      </c>
      <c r="N47" s="53">
        <f t="shared" si="18"/>
        <v>-0.3080063151871088</v>
      </c>
      <c r="O47" s="53">
        <f t="shared" si="19"/>
        <v>0.64190389487918065</v>
      </c>
      <c r="P47" s="165">
        <f t="array" ref="P47">AVERAGE(ABS(E47:I47-Z$35:AD$35))</f>
        <v>1391.8149730552468</v>
      </c>
      <c r="Q47" s="165">
        <f t="array" ref="Q47">AVERAGE(ABS(G47:I47-AB$35:AD$35))</f>
        <v>1331.5412464601809</v>
      </c>
      <c r="R47" s="165">
        <f t="array" ref="R47">AVERAGE(D47:H47-Y$35:AC$35)</f>
        <v>117.76043042662623</v>
      </c>
      <c r="S47" s="165">
        <f t="array" ref="S47">AVERAGE(F47:H47-AA$35:AC$35)</f>
        <v>727.64902720050793</v>
      </c>
      <c r="T47" s="3"/>
      <c r="AG47">
        <f>17813+2415</f>
        <v>20228</v>
      </c>
    </row>
    <row r="48" spans="1:33" x14ac:dyDescent="0.2">
      <c r="A48" s="98" t="s">
        <v>73</v>
      </c>
      <c r="B48" s="46">
        <f>'1.4 forecast'!H$42</f>
        <v>2189.6249925385305</v>
      </c>
      <c r="C48" s="46">
        <f>'1.4 forecast'!H$43</f>
        <v>6881.7360299180409</v>
      </c>
      <c r="D48" s="46">
        <f>'1.4 forecast'!H$44</f>
        <v>6522.7547090860362</v>
      </c>
      <c r="E48" s="46">
        <f>'1.4 forecast'!H$45</f>
        <v>2724.6855418051828</v>
      </c>
      <c r="F48" s="46">
        <f>'1.4 forecast'!$H46</f>
        <v>5613.4743419348915</v>
      </c>
      <c r="G48" s="46">
        <f>'1.4 forecast'!$H47</f>
        <v>3957.3712883827234</v>
      </c>
      <c r="H48" s="64">
        <f>'1.4 forecast'!$H48</f>
        <v>5974.0605458068367</v>
      </c>
      <c r="I48" s="64">
        <f>'1.4 forecast'!$H49</f>
        <v>4653.2353105055054</v>
      </c>
      <c r="J48" s="71">
        <f>'1.4 forecast'!H50</f>
        <v>4593.5670020047992</v>
      </c>
      <c r="L48" s="51">
        <f t="shared" si="16"/>
        <v>2633.7400495667357</v>
      </c>
      <c r="M48" s="52">
        <f t="shared" si="17"/>
        <v>1.3525373023768943</v>
      </c>
      <c r="N48" s="53">
        <f t="shared" si="18"/>
        <v>-1.3040335114942014</v>
      </c>
      <c r="O48" s="53">
        <f t="shared" si="19"/>
        <v>1.3617483203952263</v>
      </c>
      <c r="P48" s="129">
        <f t="array" ref="P48">AVERAGE(ABS(E48:I48-Z$35:AD$35))</f>
        <v>2425.2592668866337</v>
      </c>
      <c r="Q48" s="129">
        <f t="array" ref="Q48">AVERAGE(ABS(G48:I48-AB$35:AD$35))</f>
        <v>2717.6862458886189</v>
      </c>
      <c r="R48" s="165">
        <f t="array" ref="R48">AVERAGE(D48:H48-Y$35:AC$35)</f>
        <v>2348.1869799841656</v>
      </c>
      <c r="S48" s="165">
        <f t="array" ref="S48">AVERAGE(F48:H48-AA$35:AC$35)</f>
        <v>2742.8240154150826</v>
      </c>
    </row>
    <row r="49" spans="1:34" x14ac:dyDescent="0.2">
      <c r="A49" s="77" t="s">
        <v>39</v>
      </c>
      <c r="B49" s="46">
        <f>'1.4 forecast'!I$42</f>
        <v>8902.128219536191</v>
      </c>
      <c r="C49" s="46">
        <f>'1.4 forecast'!I$43</f>
        <v>8111.2249283553729</v>
      </c>
      <c r="D49" s="46">
        <f>'1.4 forecast'!I$44</f>
        <v>7452.6187394800745</v>
      </c>
      <c r="E49" s="46">
        <f>'1.4 forecast'!I$45</f>
        <v>5419.2937405608736</v>
      </c>
      <c r="F49" s="46">
        <f>'1.4 forecast'!$I46</f>
        <v>2679.8200225745941</v>
      </c>
      <c r="G49" s="46">
        <f>'1.4 forecast'!$I47</f>
        <v>3973.0060701990305</v>
      </c>
      <c r="H49" s="64">
        <f>'1.4 forecast'!$I48</f>
        <v>5552.5271760484275</v>
      </c>
      <c r="I49" s="64">
        <f>'1.4 forecast'!$I49</f>
        <v>5621.0224617751755</v>
      </c>
      <c r="J49" s="71">
        <f>'1.4 forecast'!I50</f>
        <v>4257.8387321857817</v>
      </c>
      <c r="L49" s="51">
        <f t="shared" si="16"/>
        <v>3649.8325175434679</v>
      </c>
      <c r="M49" s="52">
        <f t="shared" si="17"/>
        <v>1.8604043375790869</v>
      </c>
      <c r="N49" s="53">
        <f t="shared" si="18"/>
        <v>-1.8604043375790873</v>
      </c>
      <c r="O49" s="53">
        <f t="shared" si="19"/>
        <v>0.83966096961466308</v>
      </c>
      <c r="P49" s="129">
        <f t="array" ref="P49">AVERAGE(ABS(E49:I49-Z$35:AD$35))</f>
        <v>2266.9749211421863</v>
      </c>
      <c r="Q49" s="129">
        <f t="array" ref="Q49">AVERAGE(ABS(G49:I49-AB$35:AD$35))</f>
        <v>2904.9824336644756</v>
      </c>
      <c r="R49" s="165">
        <f t="array" ref="R49">AVERAGE(D49:H49-Y$35:AC$35)</f>
        <v>2405.1708443536322</v>
      </c>
      <c r="S49" s="165">
        <f t="array" ref="S49">AVERAGE(F49:H49-AA$35:AC$35)</f>
        <v>1629.6397129809495</v>
      </c>
    </row>
    <row r="50" spans="1:34" x14ac:dyDescent="0.2">
      <c r="A50" s="79" t="s">
        <v>42</v>
      </c>
      <c r="B50" s="46">
        <f>'1.4 forecast'!J$42</f>
        <v>1632.366569707591</v>
      </c>
      <c r="C50" s="46">
        <f>'1.4 forecast'!J$43</f>
        <v>2708.852077031504</v>
      </c>
      <c r="D50" s="46">
        <f>'1.4 forecast'!J$44</f>
        <v>2107.7351782938163</v>
      </c>
      <c r="E50" s="46">
        <f>'1.4 forecast'!J$45</f>
        <v>2470.5676321647256</v>
      </c>
      <c r="F50" s="46">
        <f>'1.4 forecast'!$J46</f>
        <v>1988.8770080079528</v>
      </c>
      <c r="G50" s="46">
        <f>'1.4 forecast'!$J47</f>
        <v>3347.2641792178561</v>
      </c>
      <c r="H50" s="64">
        <f>'1.4 forecast'!$J48</f>
        <v>4824.4393565397322</v>
      </c>
      <c r="I50" s="64">
        <f>'1.4 forecast'!$J49</f>
        <v>2413.8222839256882</v>
      </c>
      <c r="J50" s="64"/>
      <c r="L50" s="51">
        <f>AVERAGE(ABS(B50-$W$35),ABS(C50-$X$35),ABS(D50-$Y$35),ABS(E50-$Z$35),ABS(F50-$AA$35),ABS(G50-$AB$35),ABS(H50-$AC$35))</f>
        <v>838.84796358351616</v>
      </c>
      <c r="M50" s="52">
        <f t="shared" si="17"/>
        <v>0.44050854959983293</v>
      </c>
      <c r="N50" s="53">
        <f t="shared" si="18"/>
        <v>-0.25797858145614871</v>
      </c>
      <c r="O50" s="53">
        <f t="shared" si="19"/>
        <v>0.59969684844328797</v>
      </c>
      <c r="P50" s="165">
        <f t="array" ref="P50">AVERAGE(ABS(E50:I50-Z$35:AD$35))</f>
        <v>1034.7318461798707</v>
      </c>
      <c r="Q50" s="165">
        <f t="array" ref="Q50">AVERAGE(ABS(G50:I50-AB$35:AD$35))</f>
        <v>1384.639137551356</v>
      </c>
      <c r="R50" s="165">
        <f t="array" ref="R50">AVERAGE(D50:H50-Y$35:AC$35)</f>
        <v>337.4943654258484</v>
      </c>
      <c r="S50" s="165">
        <f t="array" ref="S50">AVERAGE(F50:H50-AA$35:AC$35)</f>
        <v>948.04880462877918</v>
      </c>
      <c r="T50" s="3"/>
      <c r="AH50">
        <f>24638/22631</f>
        <v>1.0886836640007069</v>
      </c>
    </row>
    <row r="51" spans="1:34" x14ac:dyDescent="0.2">
      <c r="B51" s="95"/>
      <c r="C51" s="95"/>
      <c r="D51" s="95"/>
      <c r="E51" s="95"/>
      <c r="F51" s="95"/>
      <c r="G51" s="95"/>
      <c r="H51" s="95"/>
      <c r="I51" s="9"/>
    </row>
    <row r="52" spans="1:34" x14ac:dyDescent="0.2">
      <c r="B52" s="170" t="s">
        <v>77</v>
      </c>
      <c r="C52" s="170"/>
      <c r="D52" s="170"/>
      <c r="E52" s="170"/>
      <c r="F52" s="170"/>
      <c r="G52" s="76"/>
      <c r="H52" s="76"/>
      <c r="I52" s="140"/>
      <c r="J52" s="139"/>
      <c r="K52" s="4"/>
      <c r="L52" s="38"/>
      <c r="M52" s="39"/>
      <c r="N52" s="21"/>
      <c r="O52" s="21"/>
      <c r="P52" s="21"/>
      <c r="Q52" s="21"/>
      <c r="R52" s="21"/>
      <c r="S52" s="21"/>
      <c r="U52" s="59"/>
    </row>
    <row r="53" spans="1:34" x14ac:dyDescent="0.2">
      <c r="B53" s="85">
        <v>2010</v>
      </c>
      <c r="C53" s="83">
        <v>2011</v>
      </c>
      <c r="D53" s="85">
        <v>2012</v>
      </c>
      <c r="E53" s="83">
        <v>2013</v>
      </c>
      <c r="F53" s="85">
        <v>2014</v>
      </c>
      <c r="G53" s="85">
        <v>2015</v>
      </c>
      <c r="H53" s="85">
        <v>2016</v>
      </c>
      <c r="I53" s="85">
        <v>2017</v>
      </c>
      <c r="J53" s="85">
        <v>2018</v>
      </c>
      <c r="K53" s="4" t="s">
        <v>115</v>
      </c>
      <c r="L53" s="19"/>
      <c r="M53" s="1"/>
      <c r="N53" s="20"/>
      <c r="O53" s="20" t="s">
        <v>35</v>
      </c>
      <c r="P53" s="20"/>
      <c r="Q53" s="20"/>
      <c r="R53" s="20"/>
      <c r="S53" s="20"/>
      <c r="T53" s="20" t="s">
        <v>80</v>
      </c>
    </row>
    <row r="54" spans="1:34" x14ac:dyDescent="0.2">
      <c r="A54" s="54" t="s">
        <v>78</v>
      </c>
      <c r="B54" s="75">
        <f>B12+B31+B37</f>
        <v>24787.988665105055</v>
      </c>
      <c r="C54" s="75">
        <f>C12+C31+C37</f>
        <v>24457.369194648156</v>
      </c>
      <c r="D54" s="75">
        <f t="shared" ref="D54:H54" si="20">D12+D31+D37</f>
        <v>21687.721758026946</v>
      </c>
      <c r="E54" s="75">
        <f t="shared" si="20"/>
        <v>13125.798806125704</v>
      </c>
      <c r="F54" s="75">
        <f t="shared" si="20"/>
        <v>14356.290348029401</v>
      </c>
      <c r="G54" s="75">
        <f t="shared" si="20"/>
        <v>18821.16951142273</v>
      </c>
      <c r="H54" s="75">
        <f t="shared" si="20"/>
        <v>20374.435401104369</v>
      </c>
      <c r="I54" s="75">
        <f>I12+I31+I37</f>
        <v>17046.651876343847</v>
      </c>
      <c r="J54" s="75">
        <f>J13+J18+J37</f>
        <v>17680.530602488208</v>
      </c>
      <c r="K54" s="96">
        <f>J18+J37</f>
        <v>12404.843372012638</v>
      </c>
      <c r="L54" s="38"/>
      <c r="M54" s="39"/>
      <c r="N54" s="21"/>
      <c r="O54" s="8">
        <f>AVERAGE(ABS(1-D54/$D$56),ABS(1-E54/$E$56),ABS(1-F54/$F$56))</f>
        <v>0.28138943854322779</v>
      </c>
      <c r="P54" s="8"/>
      <c r="Q54" s="8"/>
      <c r="R54" s="8"/>
      <c r="S54" s="8"/>
      <c r="T54" s="8">
        <f>AVERAGE(ABS(1-B54/$B$56),ABS(1-C54/$C$56),ABS(1-D54/$D$56),ABS(1-E54/$E$56),ABS(1-F54/$F$56))</f>
        <v>0.21392073729619199</v>
      </c>
    </row>
    <row r="55" spans="1:34" x14ac:dyDescent="0.2">
      <c r="A55" s="54"/>
      <c r="B55" s="75"/>
      <c r="C55" s="75"/>
      <c r="D55" s="75"/>
      <c r="E55" s="75"/>
      <c r="F55" s="75"/>
      <c r="G55" s="75"/>
      <c r="H55" s="75"/>
      <c r="I55" s="75"/>
      <c r="J55" s="75"/>
      <c r="L55" s="38"/>
      <c r="M55" s="39"/>
      <c r="N55" s="21"/>
      <c r="O55" s="8"/>
      <c r="P55" s="8"/>
      <c r="Q55" s="8"/>
      <c r="R55" s="8"/>
      <c r="S55" s="8"/>
      <c r="T55" s="8"/>
    </row>
    <row r="56" spans="1:34" x14ac:dyDescent="0.2">
      <c r="A56" s="55" t="s">
        <v>79</v>
      </c>
      <c r="B56" s="97">
        <f>W5+W18+W35</f>
        <v>22207.800648678458</v>
      </c>
      <c r="C56" s="97">
        <f t="shared" ref="C56:G56" si="21">X5+X18+X35</f>
        <v>22048.53360147704</v>
      </c>
      <c r="D56" s="97">
        <f t="shared" si="21"/>
        <v>15443.755822807634</v>
      </c>
      <c r="E56" s="97">
        <f t="shared" si="21"/>
        <v>19242.097024720766</v>
      </c>
      <c r="F56" s="97">
        <f t="shared" si="21"/>
        <v>16351.210860750807</v>
      </c>
      <c r="G56" s="97">
        <f t="shared" si="21"/>
        <v>23306.654377512612</v>
      </c>
      <c r="H56" s="97">
        <f>AC5+AC18+AC35</f>
        <v>21756.065678775456</v>
      </c>
      <c r="L56" s="1"/>
      <c r="M56" s="1"/>
      <c r="N56" s="1"/>
      <c r="O56" s="1"/>
      <c r="P56" s="87"/>
      <c r="Q56" s="87"/>
      <c r="R56" s="87"/>
      <c r="S56" s="87"/>
    </row>
    <row r="57" spans="1:34" x14ac:dyDescent="0.2">
      <c r="A57" s="56" t="s">
        <v>81</v>
      </c>
      <c r="B57" s="74">
        <f>1-B54/B56</f>
        <v>-0.11618386067330522</v>
      </c>
      <c r="C57" s="74">
        <f>1-C54/C56</f>
        <v>-0.10925151017797141</v>
      </c>
      <c r="D57" s="74">
        <f>1-D54/D56</f>
        <v>-0.40430359084013134</v>
      </c>
      <c r="E57" s="74">
        <f>1-E54/E56</f>
        <v>0.31786027327153132</v>
      </c>
      <c r="F57" s="74">
        <f>1-F54/F56</f>
        <v>0.12200445151802075</v>
      </c>
      <c r="G57" s="74">
        <f t="shared" ref="G57" si="22">1-G54/G56</f>
        <v>0.19245511575516794</v>
      </c>
      <c r="H57" s="74">
        <f>1-H54/H56</f>
        <v>6.3505520624483225E-2</v>
      </c>
    </row>
    <row r="58" spans="1:34" x14ac:dyDescent="0.2">
      <c r="A58" t="s">
        <v>83</v>
      </c>
      <c r="B58" s="100">
        <f>B56-B54</f>
        <v>-2580.1880164265967</v>
      </c>
      <c r="C58" s="100">
        <f>C56-C54</f>
        <v>-2408.8355931711158</v>
      </c>
      <c r="D58" s="100">
        <f>D56-D54</f>
        <v>-6243.9659352193121</v>
      </c>
      <c r="E58" s="100">
        <f>E56-E54</f>
        <v>6116.2982185950623</v>
      </c>
      <c r="F58" s="100">
        <f>F56-F54</f>
        <v>1994.9205127214063</v>
      </c>
      <c r="G58" s="100">
        <f t="shared" ref="G58" si="23">G56-G54</f>
        <v>4485.4848660898824</v>
      </c>
      <c r="H58" s="100">
        <f>H56-H54</f>
        <v>1381.6302776710872</v>
      </c>
    </row>
    <row r="60" spans="1:34" x14ac:dyDescent="0.2">
      <c r="A60" s="54" t="s">
        <v>96</v>
      </c>
    </row>
    <row r="61" spans="1:34" x14ac:dyDescent="0.2">
      <c r="A61" t="s">
        <v>82</v>
      </c>
      <c r="B61" s="91">
        <f>SUMSQ(B58:H58)/(7)</f>
        <v>16409179.739169035</v>
      </c>
    </row>
    <row r="62" spans="1:34" x14ac:dyDescent="0.2">
      <c r="A62" t="s">
        <v>84</v>
      </c>
      <c r="B62" s="73">
        <f>SQRT(B61)</f>
        <v>4050.8245752154012</v>
      </c>
    </row>
    <row r="63" spans="1:34" x14ac:dyDescent="0.2">
      <c r="A63" t="s">
        <v>85</v>
      </c>
      <c r="B63" s="91">
        <f>TINV(0.2, 7)</f>
        <v>1.4149239276505079</v>
      </c>
    </row>
    <row r="64" spans="1:34" x14ac:dyDescent="0.2">
      <c r="A64" t="s">
        <v>86</v>
      </c>
      <c r="B64" s="73">
        <f>B62*B63</f>
        <v>5731.6086181869759</v>
      </c>
    </row>
    <row r="65" spans="1:3" x14ac:dyDescent="0.2">
      <c r="A65" t="s">
        <v>87</v>
      </c>
      <c r="B65" s="72">
        <f>I54+B64</f>
        <v>22778.260494530823</v>
      </c>
      <c r="C65" s="72">
        <f>I54+MAX(B57:H57)*I54</f>
        <v>22465.105300123163</v>
      </c>
    </row>
    <row r="66" spans="1:3" x14ac:dyDescent="0.2">
      <c r="A66" t="s">
        <v>88</v>
      </c>
      <c r="B66" s="72">
        <f>I54-B64</f>
        <v>11315.043258156871</v>
      </c>
      <c r="C66" s="72">
        <f>I54+MIN(B57:H57)*I54</f>
        <v>10154.629310936367</v>
      </c>
    </row>
  </sheetData>
  <mergeCells count="10">
    <mergeCell ref="W3:AA3"/>
    <mergeCell ref="W16:AA16"/>
    <mergeCell ref="W33:AA33"/>
    <mergeCell ref="B52:F52"/>
    <mergeCell ref="B3:F3"/>
    <mergeCell ref="B16:F16"/>
    <mergeCell ref="L16:N16"/>
    <mergeCell ref="B33:F33"/>
    <mergeCell ref="L33:N33"/>
    <mergeCell ref="L3:N3"/>
  </mergeCells>
  <pageMargins left="0.7" right="0.7" top="0.75" bottom="0.75" header="0.3" footer="0.3"/>
  <pageSetup orientation="landscape" r:id="rId1"/>
  <ignoredErrors>
    <ignoredError sqref="H5 H18 G26" formula="1"/>
  </ignoredErrors>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brood (2017)</vt:lpstr>
      <vt:lpstr>1.2 forecast</vt:lpstr>
      <vt:lpstr>1.3 forecast</vt:lpstr>
      <vt:lpstr>1.4 forecast</vt:lpstr>
      <vt:lpstr>Summary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rjyanusz</dc:creator>
  <cp:lastModifiedBy>Reimer, Adam M (DFG)</cp:lastModifiedBy>
  <cp:lastPrinted>2010-11-24T19:52:48Z</cp:lastPrinted>
  <dcterms:created xsi:type="dcterms:W3CDTF">2010-08-18T21:24:14Z</dcterms:created>
  <dcterms:modified xsi:type="dcterms:W3CDTF">2018-01-10T21:19:23Z</dcterms:modified>
</cp:coreProperties>
</file>